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akhar\Finance\"/>
    </mc:Choice>
  </mc:AlternateContent>
  <xr:revisionPtr revIDLastSave="0" documentId="13_ncr:1_{B9D0228D-3317-48D4-BE36-C3123D4D1164}" xr6:coauthVersionLast="47" xr6:coauthVersionMax="47" xr10:uidLastSave="{00000000-0000-0000-0000-000000000000}"/>
  <workbookProtection workbookAlgorithmName="SHA-512" workbookHashValue="/EUxhC38mk6BeQR39Tpnp5hCElBdTeTkeqLP9TOo3YZud4TPiQeQxnJLTHXOL8eajDJAcTFp/t5Nt5aw5hoFMw==" workbookSaltValue="+ECdHS7DkKbGlKxSWBNeHg==" workbookSpinCount="100000" lockStructure="1"/>
  <bookViews>
    <workbookView xWindow="-96" yWindow="-96" windowWidth="20928" windowHeight="12432" tabRatio="731" xr2:uid="{00000000-000D-0000-FFFF-FFFF00000000}"/>
  </bookViews>
  <sheets>
    <sheet name="Summary" sheetId="1" r:id="rId1"/>
    <sheet name="VUSTX" sheetId="13" state="hidden" r:id="rId2"/>
    <sheet name="VUSTX-MCSummary" sheetId="14" state="hidden" r:id="rId3"/>
    <sheet name="VTSMX" sheetId="8" state="hidden" r:id="rId4"/>
    <sheet name="VTSMX-MCSummary" sheetId="15" state="hidden" r:id="rId5"/>
    <sheet name="COKE" sheetId="12" state="hidden" r:id="rId6"/>
    <sheet name="COKE_MCSummary" sheetId="16" state="hidden" r:id="rId7"/>
    <sheet name="MixedAAP" sheetId="10" state="hidden" r:id="rId8"/>
    <sheet name="SWTSX" sheetId="7" state="hidden" r:id="rId9"/>
    <sheet name="SWTSX_MCSummary" sheetId="17" state="hidden" r:id="rId10"/>
    <sheet name="MSFT" sheetId="5" state="hidden" r:id="rId11"/>
    <sheet name="MSFT_MCSummary" sheetId="18" state="hidden" r:id="rId12"/>
    <sheet name="Quotes" sheetId="6" state="hidden" r:id="rId13"/>
  </sheets>
  <externalReferences>
    <externalReference r:id="rId14"/>
  </externalReferences>
  <definedNames>
    <definedName name="AAPL_LastPrice">Quotes!$C$5</definedName>
    <definedName name="AMZN_LastPrice">Quotes!$C$6</definedName>
    <definedName name="COKE_AAP">Summary!$F$20</definedName>
    <definedName name="Coke_LastPrice">Quotes!$C$15</definedName>
    <definedName name="COKE_MixAAP">Summary!$L$20</definedName>
    <definedName name="FinancialGoal">Summary!$B$5</definedName>
    <definedName name="FirstJob_Age">Summary!#REF!</definedName>
    <definedName name="FirstJob_AnnualIncome">Summary!$B$9</definedName>
    <definedName name="FirstJob_IncomeYrlyIncrease">Summary!$B$10</definedName>
    <definedName name="FirstJob_TargetSavingsPercent">Summary!$B$11</definedName>
    <definedName name="INR_LastPrice">Quotes!$C$12</definedName>
    <definedName name="META_LastPrice">Quotes!$C$8</definedName>
    <definedName name="MSFT_AAP">Summary!$F$36</definedName>
    <definedName name="MSFT_LastPrice">Quotes!$C$4</definedName>
    <definedName name="NVDA_LastPrice">Quotes!$C$7</definedName>
    <definedName name="SP500_LastPrice">Quotes!$C$10</definedName>
    <definedName name="StartingPortfolio">Summary!$B$7</definedName>
    <definedName name="SWTSX_AAP">Summary!$K$36</definedName>
    <definedName name="SWTSX_LastPrice">Quotes!$C$3</definedName>
    <definedName name="SWTSX_YourContributions">SWTSX!$E$47</definedName>
    <definedName name="Treasury10Yr_LastPrice">Quotes!$C$11</definedName>
    <definedName name="TSLA_LastPrice">Quotes!$C$9</definedName>
    <definedName name="v1?guccounter_1" localSheetId="12">Quotes!$B$2:$O$16</definedName>
    <definedName name="VBMFX_LastPrice">Quotes!$C$13</definedName>
    <definedName name="VTSMX_AAP">Summary!$L$3</definedName>
    <definedName name="VTSMX_LastPrice">Quotes!$C$14</definedName>
    <definedName name="VTSMX_MixAAP">Summary!$J$20</definedName>
    <definedName name="VUSTX_AAP">Summary!$F$3</definedName>
    <definedName name="VUSTX_LastPrice">Quotes!$C$16</definedName>
    <definedName name="VUSTX_MixAAP">Summary!$N$20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" l="1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5" i="5"/>
  <c r="J2" i="18"/>
  <c r="K2" i="18"/>
  <c r="I2" i="18"/>
  <c r="K41" i="18"/>
  <c r="J41" i="18"/>
  <c r="I41" i="18"/>
  <c r="K40" i="18"/>
  <c r="J40" i="18"/>
  <c r="I40" i="18"/>
  <c r="K39" i="18"/>
  <c r="J39" i="18"/>
  <c r="I39" i="18"/>
  <c r="K38" i="18"/>
  <c r="J38" i="18"/>
  <c r="I38" i="18"/>
  <c r="K37" i="18"/>
  <c r="J37" i="18"/>
  <c r="I37" i="18"/>
  <c r="K36" i="18"/>
  <c r="J36" i="18"/>
  <c r="I36" i="18"/>
  <c r="K35" i="18"/>
  <c r="J35" i="18"/>
  <c r="I35" i="18"/>
  <c r="K34" i="18"/>
  <c r="J34" i="18"/>
  <c r="I34" i="18"/>
  <c r="K33" i="18"/>
  <c r="J33" i="18"/>
  <c r="I33" i="18"/>
  <c r="K32" i="18"/>
  <c r="J32" i="18"/>
  <c r="I32" i="18"/>
  <c r="K31" i="18"/>
  <c r="J31" i="18"/>
  <c r="I31" i="18"/>
  <c r="K30" i="18"/>
  <c r="J30" i="18"/>
  <c r="I30" i="18"/>
  <c r="K29" i="18"/>
  <c r="J29" i="18"/>
  <c r="I29" i="18"/>
  <c r="K28" i="18"/>
  <c r="J28" i="18"/>
  <c r="I28" i="18"/>
  <c r="K27" i="18"/>
  <c r="J27" i="18"/>
  <c r="I27" i="18"/>
  <c r="K26" i="18"/>
  <c r="J26" i="18"/>
  <c r="I26" i="18"/>
  <c r="K25" i="18"/>
  <c r="J25" i="18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K20" i="18"/>
  <c r="J20" i="18"/>
  <c r="I20" i="18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K3" i="18"/>
  <c r="K43" i="18" s="1"/>
  <c r="J3" i="18"/>
  <c r="J43" i="18" s="1"/>
  <c r="I3" i="18"/>
  <c r="I43" i="18" s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5" i="7"/>
  <c r="J2" i="17"/>
  <c r="J5" i="7" s="1"/>
  <c r="K2" i="17"/>
  <c r="I2" i="17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K3" i="17"/>
  <c r="K43" i="17" s="1"/>
  <c r="J3" i="17"/>
  <c r="J43" i="17" s="1"/>
  <c r="I3" i="17"/>
  <c r="I43" i="17" s="1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5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6" i="10"/>
  <c r="AA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5" i="10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5" i="12"/>
  <c r="J2" i="16"/>
  <c r="K2" i="16"/>
  <c r="I2" i="16"/>
  <c r="K41" i="16"/>
  <c r="J41" i="16"/>
  <c r="I41" i="16"/>
  <c r="K40" i="16"/>
  <c r="J40" i="16"/>
  <c r="I40" i="16"/>
  <c r="K39" i="16"/>
  <c r="J39" i="16"/>
  <c r="I39" i="16"/>
  <c r="K38" i="16"/>
  <c r="J38" i="16"/>
  <c r="I38" i="16"/>
  <c r="K37" i="16"/>
  <c r="J37" i="16"/>
  <c r="I37" i="16"/>
  <c r="K36" i="16"/>
  <c r="J36" i="16"/>
  <c r="I36" i="16"/>
  <c r="K35" i="16"/>
  <c r="J35" i="16"/>
  <c r="I35" i="16"/>
  <c r="K34" i="16"/>
  <c r="J34" i="16"/>
  <c r="I34" i="16"/>
  <c r="K33" i="16"/>
  <c r="J33" i="16"/>
  <c r="I33" i="16"/>
  <c r="K32" i="16"/>
  <c r="J32" i="16"/>
  <c r="I32" i="16"/>
  <c r="K31" i="16"/>
  <c r="J31" i="16"/>
  <c r="I31" i="16"/>
  <c r="K30" i="16"/>
  <c r="J30" i="16"/>
  <c r="I30" i="16"/>
  <c r="K29" i="16"/>
  <c r="J29" i="16"/>
  <c r="I29" i="16"/>
  <c r="K28" i="16"/>
  <c r="J28" i="16"/>
  <c r="I28" i="16"/>
  <c r="K27" i="16"/>
  <c r="J27" i="16"/>
  <c r="I27" i="16"/>
  <c r="K26" i="16"/>
  <c r="J26" i="16"/>
  <c r="I26" i="16"/>
  <c r="K25" i="16"/>
  <c r="J25" i="16"/>
  <c r="I25" i="16"/>
  <c r="K24" i="16"/>
  <c r="J24" i="16"/>
  <c r="I24" i="16"/>
  <c r="K23" i="16"/>
  <c r="J23" i="16"/>
  <c r="I23" i="16"/>
  <c r="K22" i="16"/>
  <c r="J22" i="16"/>
  <c r="I22" i="16"/>
  <c r="K21" i="16"/>
  <c r="J21" i="16"/>
  <c r="I21" i="16"/>
  <c r="K20" i="16"/>
  <c r="J20" i="16"/>
  <c r="I20" i="16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K3" i="16"/>
  <c r="K43" i="16" s="1"/>
  <c r="J3" i="16"/>
  <c r="J43" i="16" s="1"/>
  <c r="I3" i="16"/>
  <c r="I43" i="16" s="1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5" i="8"/>
  <c r="K2" i="15"/>
  <c r="Q5" i="8" s="1"/>
  <c r="J2" i="15"/>
  <c r="W5" i="10" s="1"/>
  <c r="I2" i="15"/>
  <c r="J5" i="8" s="1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I43" i="15" s="1"/>
  <c r="K5" i="15"/>
  <c r="J5" i="15"/>
  <c r="I5" i="15"/>
  <c r="K4" i="15"/>
  <c r="K43" i="15" s="1"/>
  <c r="J4" i="15"/>
  <c r="I4" i="15"/>
  <c r="K3" i="15"/>
  <c r="J3" i="15"/>
  <c r="J43" i="15" s="1"/>
  <c r="I3" i="1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5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6" i="13"/>
  <c r="J5" i="13"/>
  <c r="K2" i="14"/>
  <c r="J2" i="14"/>
  <c r="I2" i="14"/>
  <c r="C5" i="13" s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6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5" i="13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K3" i="14"/>
  <c r="K43" i="14" s="1"/>
  <c r="J3" i="14"/>
  <c r="J43" i="14" s="1"/>
  <c r="I3" i="14"/>
  <c r="I43" i="14" s="1"/>
  <c r="S5" i="13"/>
  <c r="V5" i="13" s="1"/>
  <c r="R5" i="13"/>
  <c r="L5" i="13"/>
  <c r="O5" i="13" s="1"/>
  <c r="K5" i="13"/>
  <c r="E5" i="13"/>
  <c r="D5" i="13"/>
  <c r="Q4" i="13"/>
  <c r="J4" i="13"/>
  <c r="C4" i="13"/>
  <c r="A4" i="13"/>
  <c r="S5" i="12"/>
  <c r="R5" i="12"/>
  <c r="L5" i="12"/>
  <c r="O5" i="12" s="1"/>
  <c r="K5" i="12"/>
  <c r="E5" i="12"/>
  <c r="D5" i="12"/>
  <c r="Q4" i="12"/>
  <c r="J4" i="12"/>
  <c r="C4" i="12"/>
  <c r="A4" i="12"/>
  <c r="M5" i="13" l="1"/>
  <c r="N5" i="13" s="1"/>
  <c r="L6" i="13"/>
  <c r="L7" i="13" s="1"/>
  <c r="L8" i="13" s="1"/>
  <c r="L9" i="13" s="1"/>
  <c r="S6" i="13"/>
  <c r="S7" i="13" s="1"/>
  <c r="T5" i="13"/>
  <c r="U5" i="13" s="1"/>
  <c r="F5" i="13"/>
  <c r="E6" i="13"/>
  <c r="H5" i="13"/>
  <c r="T5" i="12"/>
  <c r="R6" i="12" s="1"/>
  <c r="M5" i="12"/>
  <c r="L6" i="12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H5" i="12"/>
  <c r="F5" i="12"/>
  <c r="S6" i="12"/>
  <c r="V5" i="12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AS15" i="10" s="1"/>
  <c r="AS16" i="10" s="1"/>
  <c r="AS17" i="10" s="1"/>
  <c r="AS18" i="10" s="1"/>
  <c r="AS19" i="10" s="1"/>
  <c r="AS20" i="10" s="1"/>
  <c r="AS21" i="10" s="1"/>
  <c r="AS22" i="10" s="1"/>
  <c r="AS23" i="10" s="1"/>
  <c r="AS24" i="10" s="1"/>
  <c r="AS25" i="10" s="1"/>
  <c r="AS26" i="10" s="1"/>
  <c r="AS27" i="10" s="1"/>
  <c r="AS28" i="10" s="1"/>
  <c r="AS29" i="10" s="1"/>
  <c r="AS30" i="10" s="1"/>
  <c r="AS31" i="10" s="1"/>
  <c r="AS32" i="10" s="1"/>
  <c r="AS33" i="10" s="1"/>
  <c r="AS34" i="10" s="1"/>
  <c r="AS35" i="10" s="1"/>
  <c r="AS36" i="10" s="1"/>
  <c r="AS37" i="10" s="1"/>
  <c r="AS38" i="10" s="1"/>
  <c r="AS39" i="10" s="1"/>
  <c r="AS40" i="10" s="1"/>
  <c r="AS41" i="10" s="1"/>
  <c r="AS42" i="10" s="1"/>
  <c r="AS43" i="10" s="1"/>
  <c r="AS44" i="10" s="1"/>
  <c r="AR5" i="10"/>
  <c r="AQ4" i="10"/>
  <c r="AO5" i="10"/>
  <c r="AO6" i="10" s="1"/>
  <c r="AO7" i="10" s="1"/>
  <c r="AO8" i="10" s="1"/>
  <c r="AO9" i="10" s="1"/>
  <c r="AO10" i="10" s="1"/>
  <c r="AO11" i="10" s="1"/>
  <c r="AO12" i="10" s="1"/>
  <c r="AO13" i="10" s="1"/>
  <c r="AO14" i="10" s="1"/>
  <c r="AO15" i="10" s="1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O37" i="10" s="1"/>
  <c r="AO38" i="10" s="1"/>
  <c r="AO39" i="10" s="1"/>
  <c r="AO40" i="10" s="1"/>
  <c r="AO41" i="10" s="1"/>
  <c r="AO42" i="10" s="1"/>
  <c r="AO43" i="10" s="1"/>
  <c r="AO44" i="10" s="1"/>
  <c r="AN5" i="10"/>
  <c r="AK5" i="10"/>
  <c r="AK6" i="10" s="1"/>
  <c r="AJ5" i="10"/>
  <c r="AM4" i="10"/>
  <c r="AC5" i="10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C30" i="10" s="1"/>
  <c r="AC31" i="10" s="1"/>
  <c r="AC32" i="10" s="1"/>
  <c r="AC33" i="10" s="1"/>
  <c r="AC34" i="10" s="1"/>
  <c r="AC35" i="10" s="1"/>
  <c r="AC36" i="10" s="1"/>
  <c r="AC37" i="10" s="1"/>
  <c r="AC38" i="10" s="1"/>
  <c r="AC39" i="10" s="1"/>
  <c r="AC40" i="10" s="1"/>
  <c r="AC41" i="10" s="1"/>
  <c r="AC42" i="10" s="1"/>
  <c r="AC43" i="10" s="1"/>
  <c r="AC44" i="10" s="1"/>
  <c r="AB5" i="10"/>
  <c r="AA4" i="10"/>
  <c r="Y5" i="10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X5" i="10"/>
  <c r="W4" i="10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T5" i="10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L5" i="10"/>
  <c r="K4" i="10"/>
  <c r="I5" i="10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H5" i="10"/>
  <c r="G4" i="10"/>
  <c r="A4" i="10"/>
  <c r="C4" i="10"/>
  <c r="S4" i="10"/>
  <c r="D5" i="10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AI4" i="10"/>
  <c r="S5" i="5"/>
  <c r="S6" i="5" s="1"/>
  <c r="S7" i="5" s="1"/>
  <c r="R5" i="5"/>
  <c r="L5" i="5"/>
  <c r="O5" i="5" s="1"/>
  <c r="K5" i="5"/>
  <c r="E5" i="5"/>
  <c r="D5" i="5"/>
  <c r="S5" i="8"/>
  <c r="V5" i="8" s="1"/>
  <c r="R5" i="8"/>
  <c r="L5" i="8"/>
  <c r="L6" i="8" s="1"/>
  <c r="L7" i="8" s="1"/>
  <c r="K5" i="8"/>
  <c r="E5" i="8"/>
  <c r="D5" i="8"/>
  <c r="Q4" i="5"/>
  <c r="J4" i="5"/>
  <c r="C4" i="5"/>
  <c r="A4" i="5"/>
  <c r="Q4" i="8"/>
  <c r="J4" i="8"/>
  <c r="C4" i="8"/>
  <c r="A4" i="8"/>
  <c r="S5" i="7"/>
  <c r="V5" i="7" s="1"/>
  <c r="R5" i="7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K5" i="7"/>
  <c r="E5" i="7"/>
  <c r="E6" i="7" s="1"/>
  <c r="E7" i="7" s="1"/>
  <c r="E8" i="7" s="1"/>
  <c r="D5" i="7"/>
  <c r="Q4" i="7"/>
  <c r="J4" i="7"/>
  <c r="C4" i="7"/>
  <c r="A4" i="7"/>
  <c r="V6" i="13" l="1"/>
  <c r="V7" i="13" s="1"/>
  <c r="H6" i="13"/>
  <c r="K6" i="13"/>
  <c r="M6" i="13" s="1"/>
  <c r="R6" i="13"/>
  <c r="T6" i="13" s="1"/>
  <c r="U6" i="13" s="1"/>
  <c r="O6" i="13"/>
  <c r="O7" i="13" s="1"/>
  <c r="O8" i="13" s="1"/>
  <c r="O9" i="13" s="1"/>
  <c r="S8" i="13"/>
  <c r="E7" i="13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D6" i="13"/>
  <c r="F6" i="13" s="1"/>
  <c r="G5" i="13"/>
  <c r="L10" i="13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U5" i="12"/>
  <c r="S7" i="12"/>
  <c r="V6" i="12"/>
  <c r="N5" i="12"/>
  <c r="K6" i="12"/>
  <c r="M6" i="12" s="1"/>
  <c r="E47" i="12"/>
  <c r="D6" i="12"/>
  <c r="F6" i="12" s="1"/>
  <c r="G5" i="12"/>
  <c r="O6" i="12"/>
  <c r="L7" i="12"/>
  <c r="T6" i="12"/>
  <c r="AG5" i="10"/>
  <c r="AG6" i="10" s="1"/>
  <c r="AG7" i="10" s="1"/>
  <c r="AG8" i="10" s="1"/>
  <c r="AG9" i="10" s="1"/>
  <c r="AG10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G28" i="10" s="1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W5" i="10"/>
  <c r="AW6" i="10" s="1"/>
  <c r="AD5" i="10"/>
  <c r="AB6" i="10" s="1"/>
  <c r="AD6" i="10" s="1"/>
  <c r="AB7" i="10" s="1"/>
  <c r="AD7" i="10" s="1"/>
  <c r="AB8" i="10" s="1"/>
  <c r="AD8" i="10" s="1"/>
  <c r="AB9" i="10" s="1"/>
  <c r="AD9" i="10" s="1"/>
  <c r="AB10" i="10" s="1"/>
  <c r="AD10" i="10" s="1"/>
  <c r="AB11" i="10" s="1"/>
  <c r="AD11" i="10" s="1"/>
  <c r="AB12" i="10" s="1"/>
  <c r="AD12" i="10" s="1"/>
  <c r="AB13" i="10" s="1"/>
  <c r="AD13" i="10" s="1"/>
  <c r="AB14" i="10" s="1"/>
  <c r="AD14" i="10" s="1"/>
  <c r="AB15" i="10" s="1"/>
  <c r="AD15" i="10" s="1"/>
  <c r="AB16" i="10" s="1"/>
  <c r="AD16" i="10" s="1"/>
  <c r="AB17" i="10" s="1"/>
  <c r="AD17" i="10" s="1"/>
  <c r="AB18" i="10" s="1"/>
  <c r="AD18" i="10" s="1"/>
  <c r="AB19" i="10" s="1"/>
  <c r="AD19" i="10" s="1"/>
  <c r="AB20" i="10" s="1"/>
  <c r="AD20" i="10" s="1"/>
  <c r="AB21" i="10" s="1"/>
  <c r="AD21" i="10" s="1"/>
  <c r="AB22" i="10" s="1"/>
  <c r="AD22" i="10" s="1"/>
  <c r="AB23" i="10" s="1"/>
  <c r="AD23" i="10" s="1"/>
  <c r="AB24" i="10" s="1"/>
  <c r="AD24" i="10" s="1"/>
  <c r="AB25" i="10" s="1"/>
  <c r="AD25" i="10" s="1"/>
  <c r="AB26" i="10" s="1"/>
  <c r="AD26" i="10" s="1"/>
  <c r="AB27" i="10" s="1"/>
  <c r="AD27" i="10" s="1"/>
  <c r="AB28" i="10" s="1"/>
  <c r="AD28" i="10" s="1"/>
  <c r="AB29" i="10" s="1"/>
  <c r="AD29" i="10" s="1"/>
  <c r="AB30" i="10" s="1"/>
  <c r="AD30" i="10" s="1"/>
  <c r="AB31" i="10" s="1"/>
  <c r="AD31" i="10" s="1"/>
  <c r="AB32" i="10" s="1"/>
  <c r="AD32" i="10" s="1"/>
  <c r="AB33" i="10" s="1"/>
  <c r="AD33" i="10" s="1"/>
  <c r="AB34" i="10" s="1"/>
  <c r="AD34" i="10" s="1"/>
  <c r="AB35" i="10" s="1"/>
  <c r="AD35" i="10" s="1"/>
  <c r="AB36" i="10" s="1"/>
  <c r="AD36" i="10" s="1"/>
  <c r="AB37" i="10" s="1"/>
  <c r="AD37" i="10" s="1"/>
  <c r="AB38" i="10" s="1"/>
  <c r="AD38" i="10" s="1"/>
  <c r="AB39" i="10" s="1"/>
  <c r="AD39" i="10" s="1"/>
  <c r="AB40" i="10" s="1"/>
  <c r="AD40" i="10" s="1"/>
  <c r="AB41" i="10" s="1"/>
  <c r="AD41" i="10" s="1"/>
  <c r="AB42" i="10" s="1"/>
  <c r="AD42" i="10" s="1"/>
  <c r="AB43" i="10" s="1"/>
  <c r="AD43" i="10" s="1"/>
  <c r="AB44" i="10" s="1"/>
  <c r="AD44" i="10" s="1"/>
  <c r="AP5" i="10"/>
  <c r="AN6" i="10" s="1"/>
  <c r="AP6" i="10" s="1"/>
  <c r="AN7" i="10" s="1"/>
  <c r="AP7" i="10" s="1"/>
  <c r="AN8" i="10" s="1"/>
  <c r="AP8" i="10" s="1"/>
  <c r="AN9" i="10" s="1"/>
  <c r="AP9" i="10" s="1"/>
  <c r="AN10" i="10" s="1"/>
  <c r="AP10" i="10" s="1"/>
  <c r="AN11" i="10" s="1"/>
  <c r="AP11" i="10" s="1"/>
  <c r="AN12" i="10" s="1"/>
  <c r="AP12" i="10" s="1"/>
  <c r="AN13" i="10" s="1"/>
  <c r="AP13" i="10" s="1"/>
  <c r="AN14" i="10" s="1"/>
  <c r="AP14" i="10" s="1"/>
  <c r="AN15" i="10" s="1"/>
  <c r="AP15" i="10" s="1"/>
  <c r="AN16" i="10" s="1"/>
  <c r="AP16" i="10" s="1"/>
  <c r="AN17" i="10" s="1"/>
  <c r="AP17" i="10" s="1"/>
  <c r="AN18" i="10" s="1"/>
  <c r="AP18" i="10" s="1"/>
  <c r="AN19" i="10" s="1"/>
  <c r="AP19" i="10" s="1"/>
  <c r="AN20" i="10" s="1"/>
  <c r="AP20" i="10" s="1"/>
  <c r="AN21" i="10" s="1"/>
  <c r="AP21" i="10" s="1"/>
  <c r="AN22" i="10" s="1"/>
  <c r="AP22" i="10" s="1"/>
  <c r="AN23" i="10" s="1"/>
  <c r="AP23" i="10" s="1"/>
  <c r="AN24" i="10" s="1"/>
  <c r="AP24" i="10" s="1"/>
  <c r="AN25" i="10" s="1"/>
  <c r="AP25" i="10" s="1"/>
  <c r="AN26" i="10" s="1"/>
  <c r="AP26" i="10" s="1"/>
  <c r="AN27" i="10" s="1"/>
  <c r="AP27" i="10" s="1"/>
  <c r="AN28" i="10" s="1"/>
  <c r="AP28" i="10" s="1"/>
  <c r="AN29" i="10" s="1"/>
  <c r="AP29" i="10" s="1"/>
  <c r="AN30" i="10" s="1"/>
  <c r="AP30" i="10" s="1"/>
  <c r="AN31" i="10" s="1"/>
  <c r="AP31" i="10" s="1"/>
  <c r="AN32" i="10" s="1"/>
  <c r="AP32" i="10" s="1"/>
  <c r="AN33" i="10" s="1"/>
  <c r="AP33" i="10" s="1"/>
  <c r="AN34" i="10" s="1"/>
  <c r="AP34" i="10" s="1"/>
  <c r="AN35" i="10" s="1"/>
  <c r="AP35" i="10" s="1"/>
  <c r="AN36" i="10" s="1"/>
  <c r="AP36" i="10" s="1"/>
  <c r="AN37" i="10" s="1"/>
  <c r="AP37" i="10" s="1"/>
  <c r="AN38" i="10" s="1"/>
  <c r="AP38" i="10" s="1"/>
  <c r="AN39" i="10" s="1"/>
  <c r="AP39" i="10" s="1"/>
  <c r="AN40" i="10" s="1"/>
  <c r="AP40" i="10" s="1"/>
  <c r="AN41" i="10" s="1"/>
  <c r="AP41" i="10" s="1"/>
  <c r="AN42" i="10" s="1"/>
  <c r="AP42" i="10" s="1"/>
  <c r="AN43" i="10" s="1"/>
  <c r="AP43" i="10" s="1"/>
  <c r="AN44" i="10" s="1"/>
  <c r="AP44" i="10" s="1"/>
  <c r="AT5" i="10"/>
  <c r="AR6" i="10" s="1"/>
  <c r="AT6" i="10" s="1"/>
  <c r="AR7" i="10" s="1"/>
  <c r="AT7" i="10" s="1"/>
  <c r="AR8" i="10" s="1"/>
  <c r="AT8" i="10" s="1"/>
  <c r="AR9" i="10" s="1"/>
  <c r="AT9" i="10" s="1"/>
  <c r="AR10" i="10" s="1"/>
  <c r="AT10" i="10" s="1"/>
  <c r="AR11" i="10" s="1"/>
  <c r="AT11" i="10" s="1"/>
  <c r="AR12" i="10" s="1"/>
  <c r="AT12" i="10" s="1"/>
  <c r="AR13" i="10" s="1"/>
  <c r="AT13" i="10" s="1"/>
  <c r="AR14" i="10" s="1"/>
  <c r="AT14" i="10" s="1"/>
  <c r="AR15" i="10" s="1"/>
  <c r="AT15" i="10" s="1"/>
  <c r="AR16" i="10" s="1"/>
  <c r="AT16" i="10" s="1"/>
  <c r="AR17" i="10" s="1"/>
  <c r="AT17" i="10" s="1"/>
  <c r="AR18" i="10" s="1"/>
  <c r="AT18" i="10" s="1"/>
  <c r="AR19" i="10" s="1"/>
  <c r="AT19" i="10" s="1"/>
  <c r="AR20" i="10" s="1"/>
  <c r="AT20" i="10" s="1"/>
  <c r="AR21" i="10" s="1"/>
  <c r="AT21" i="10" s="1"/>
  <c r="AR22" i="10" s="1"/>
  <c r="AT22" i="10" s="1"/>
  <c r="AR23" i="10" s="1"/>
  <c r="AT23" i="10" s="1"/>
  <c r="AR24" i="10" s="1"/>
  <c r="AT24" i="10" s="1"/>
  <c r="AR25" i="10" s="1"/>
  <c r="AT25" i="10" s="1"/>
  <c r="AR26" i="10" s="1"/>
  <c r="AT26" i="10" s="1"/>
  <c r="AR27" i="10" s="1"/>
  <c r="AT27" i="10" s="1"/>
  <c r="AR28" i="10" s="1"/>
  <c r="AT28" i="10" s="1"/>
  <c r="AR29" i="10" s="1"/>
  <c r="AT29" i="10" s="1"/>
  <c r="AR30" i="10" s="1"/>
  <c r="AT30" i="10" s="1"/>
  <c r="AR31" i="10" s="1"/>
  <c r="AT31" i="10" s="1"/>
  <c r="AR32" i="10" s="1"/>
  <c r="AT32" i="10" s="1"/>
  <c r="AR33" i="10" s="1"/>
  <c r="AT33" i="10" s="1"/>
  <c r="AR34" i="10" s="1"/>
  <c r="AT34" i="10" s="1"/>
  <c r="AR35" i="10" s="1"/>
  <c r="AT35" i="10" s="1"/>
  <c r="AR36" i="10" s="1"/>
  <c r="AT36" i="10" s="1"/>
  <c r="AR37" i="10" s="1"/>
  <c r="AT37" i="10" s="1"/>
  <c r="AR38" i="10" s="1"/>
  <c r="AT38" i="10" s="1"/>
  <c r="AR39" i="10" s="1"/>
  <c r="AT39" i="10" s="1"/>
  <c r="AR40" i="10" s="1"/>
  <c r="AT40" i="10" s="1"/>
  <c r="AR41" i="10" s="1"/>
  <c r="AT41" i="10" s="1"/>
  <c r="AR42" i="10" s="1"/>
  <c r="AT42" i="10" s="1"/>
  <c r="AR43" i="10" s="1"/>
  <c r="AT43" i="10" s="1"/>
  <c r="AR44" i="10" s="1"/>
  <c r="AT44" i="10" s="1"/>
  <c r="Z5" i="10"/>
  <c r="X6" i="10" s="1"/>
  <c r="Z6" i="10" s="1"/>
  <c r="X7" i="10" s="1"/>
  <c r="Z7" i="10" s="1"/>
  <c r="X8" i="10" s="1"/>
  <c r="Z8" i="10" s="1"/>
  <c r="X9" i="10" s="1"/>
  <c r="Z9" i="10" s="1"/>
  <c r="X10" i="10" s="1"/>
  <c r="Z10" i="10" s="1"/>
  <c r="X11" i="10" s="1"/>
  <c r="Z11" i="10" s="1"/>
  <c r="X12" i="10" s="1"/>
  <c r="Z12" i="10" s="1"/>
  <c r="X13" i="10" s="1"/>
  <c r="Z13" i="10" s="1"/>
  <c r="X14" i="10" s="1"/>
  <c r="Z14" i="10" s="1"/>
  <c r="X15" i="10" s="1"/>
  <c r="Z15" i="10" s="1"/>
  <c r="X16" i="10" s="1"/>
  <c r="Z16" i="10" s="1"/>
  <c r="X17" i="10" s="1"/>
  <c r="Z17" i="10" s="1"/>
  <c r="X18" i="10" s="1"/>
  <c r="Z18" i="10" s="1"/>
  <c r="X19" i="10" s="1"/>
  <c r="Z19" i="10" s="1"/>
  <c r="X20" i="10" s="1"/>
  <c r="Z20" i="10" s="1"/>
  <c r="X21" i="10" s="1"/>
  <c r="Z21" i="10" s="1"/>
  <c r="X22" i="10" s="1"/>
  <c r="Z22" i="10" s="1"/>
  <c r="X23" i="10" s="1"/>
  <c r="Z23" i="10" s="1"/>
  <c r="X24" i="10" s="1"/>
  <c r="Z24" i="10" s="1"/>
  <c r="X25" i="10" s="1"/>
  <c r="Z25" i="10" s="1"/>
  <c r="X26" i="10" s="1"/>
  <c r="Z26" i="10" s="1"/>
  <c r="X27" i="10" s="1"/>
  <c r="Z27" i="10" s="1"/>
  <c r="X28" i="10" s="1"/>
  <c r="Z28" i="10" s="1"/>
  <c r="X29" i="10" s="1"/>
  <c r="Z29" i="10" s="1"/>
  <c r="X30" i="10" s="1"/>
  <c r="Z30" i="10" s="1"/>
  <c r="X31" i="10" s="1"/>
  <c r="Z31" i="10" s="1"/>
  <c r="X32" i="10" s="1"/>
  <c r="Z32" i="10" s="1"/>
  <c r="X33" i="10" s="1"/>
  <c r="Z33" i="10" s="1"/>
  <c r="X34" i="10" s="1"/>
  <c r="Z34" i="10" s="1"/>
  <c r="X35" i="10" s="1"/>
  <c r="Z35" i="10" s="1"/>
  <c r="X36" i="10" s="1"/>
  <c r="Z36" i="10" s="1"/>
  <c r="X37" i="10" s="1"/>
  <c r="Z37" i="10" s="1"/>
  <c r="X38" i="10" s="1"/>
  <c r="Z38" i="10" s="1"/>
  <c r="X39" i="10" s="1"/>
  <c r="Z39" i="10" s="1"/>
  <c r="X40" i="10" s="1"/>
  <c r="Z40" i="10" s="1"/>
  <c r="X41" i="10" s="1"/>
  <c r="Z41" i="10" s="1"/>
  <c r="X42" i="10" s="1"/>
  <c r="Z42" i="10" s="1"/>
  <c r="X43" i="10" s="1"/>
  <c r="Z43" i="10" s="1"/>
  <c r="X44" i="10" s="1"/>
  <c r="Z44" i="10" s="1"/>
  <c r="N5" i="10"/>
  <c r="L6" i="10" s="1"/>
  <c r="N6" i="10" s="1"/>
  <c r="L7" i="10" s="1"/>
  <c r="N7" i="10" s="1"/>
  <c r="L8" i="10" s="1"/>
  <c r="N8" i="10" s="1"/>
  <c r="L9" i="10" s="1"/>
  <c r="N9" i="10" s="1"/>
  <c r="L10" i="10" s="1"/>
  <c r="N10" i="10" s="1"/>
  <c r="L11" i="10" s="1"/>
  <c r="N11" i="10" s="1"/>
  <c r="L12" i="10" s="1"/>
  <c r="N12" i="10" s="1"/>
  <c r="L13" i="10" s="1"/>
  <c r="N13" i="10" s="1"/>
  <c r="L14" i="10" s="1"/>
  <c r="N14" i="10" s="1"/>
  <c r="L15" i="10" s="1"/>
  <c r="N15" i="10" s="1"/>
  <c r="L16" i="10" s="1"/>
  <c r="N16" i="10" s="1"/>
  <c r="L17" i="10" s="1"/>
  <c r="N17" i="10" s="1"/>
  <c r="L18" i="10" s="1"/>
  <c r="N18" i="10" s="1"/>
  <c r="L19" i="10" s="1"/>
  <c r="N19" i="10" s="1"/>
  <c r="L20" i="10" s="1"/>
  <c r="N20" i="10" s="1"/>
  <c r="L21" i="10" s="1"/>
  <c r="N21" i="10" s="1"/>
  <c r="L22" i="10" s="1"/>
  <c r="N22" i="10" s="1"/>
  <c r="L23" i="10" s="1"/>
  <c r="N23" i="10" s="1"/>
  <c r="L24" i="10" s="1"/>
  <c r="N24" i="10" s="1"/>
  <c r="L25" i="10" s="1"/>
  <c r="N25" i="10" s="1"/>
  <c r="L26" i="10" s="1"/>
  <c r="N26" i="10" s="1"/>
  <c r="L27" i="10" s="1"/>
  <c r="N27" i="10" s="1"/>
  <c r="L28" i="10" s="1"/>
  <c r="N28" i="10" s="1"/>
  <c r="L29" i="10" s="1"/>
  <c r="N29" i="10" s="1"/>
  <c r="L30" i="10" s="1"/>
  <c r="N30" i="10" s="1"/>
  <c r="L31" i="10" s="1"/>
  <c r="N31" i="10" s="1"/>
  <c r="L32" i="10" s="1"/>
  <c r="N32" i="10" s="1"/>
  <c r="L33" i="10" s="1"/>
  <c r="N33" i="10" s="1"/>
  <c r="L34" i="10" s="1"/>
  <c r="N34" i="10" s="1"/>
  <c r="L35" i="10" s="1"/>
  <c r="N35" i="10" s="1"/>
  <c r="L36" i="10" s="1"/>
  <c r="N36" i="10" s="1"/>
  <c r="L37" i="10" s="1"/>
  <c r="N37" i="10" s="1"/>
  <c r="L38" i="10" s="1"/>
  <c r="N38" i="10" s="1"/>
  <c r="L39" i="10" s="1"/>
  <c r="N39" i="10" s="1"/>
  <c r="L40" i="10" s="1"/>
  <c r="N40" i="10" s="1"/>
  <c r="L41" i="10" s="1"/>
  <c r="N41" i="10" s="1"/>
  <c r="L42" i="10" s="1"/>
  <c r="N42" i="10" s="1"/>
  <c r="L43" i="10" s="1"/>
  <c r="N43" i="10" s="1"/>
  <c r="L44" i="10" s="1"/>
  <c r="N44" i="10" s="1"/>
  <c r="V5" i="10"/>
  <c r="Q5" i="10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F5" i="10"/>
  <c r="D6" i="10" s="1"/>
  <c r="F6" i="10" s="1"/>
  <c r="J5" i="10"/>
  <c r="H6" i="10" s="1"/>
  <c r="J6" i="10" s="1"/>
  <c r="H7" i="10" s="1"/>
  <c r="J7" i="10" s="1"/>
  <c r="H8" i="10" s="1"/>
  <c r="J8" i="10" s="1"/>
  <c r="H9" i="10" s="1"/>
  <c r="J9" i="10" s="1"/>
  <c r="H10" i="10" s="1"/>
  <c r="J10" i="10" s="1"/>
  <c r="H11" i="10" s="1"/>
  <c r="J11" i="10" s="1"/>
  <c r="H12" i="10" s="1"/>
  <c r="J12" i="10" s="1"/>
  <c r="H13" i="10" s="1"/>
  <c r="J13" i="10" s="1"/>
  <c r="H14" i="10" s="1"/>
  <c r="J14" i="10" s="1"/>
  <c r="H15" i="10" s="1"/>
  <c r="J15" i="10" s="1"/>
  <c r="H16" i="10" s="1"/>
  <c r="J16" i="10" s="1"/>
  <c r="H17" i="10" s="1"/>
  <c r="J17" i="10" s="1"/>
  <c r="H18" i="10" s="1"/>
  <c r="J18" i="10" s="1"/>
  <c r="H19" i="10" s="1"/>
  <c r="J19" i="10" s="1"/>
  <c r="H20" i="10" s="1"/>
  <c r="J20" i="10" s="1"/>
  <c r="H21" i="10" s="1"/>
  <c r="J21" i="10" s="1"/>
  <c r="H22" i="10" s="1"/>
  <c r="J22" i="10" s="1"/>
  <c r="H23" i="10" s="1"/>
  <c r="J23" i="10" s="1"/>
  <c r="H24" i="10" s="1"/>
  <c r="J24" i="10" s="1"/>
  <c r="H25" i="10" s="1"/>
  <c r="J25" i="10" s="1"/>
  <c r="H26" i="10" s="1"/>
  <c r="J26" i="10" s="1"/>
  <c r="H27" i="10" s="1"/>
  <c r="J27" i="10" s="1"/>
  <c r="H28" i="10" s="1"/>
  <c r="J28" i="10" s="1"/>
  <c r="H29" i="10" s="1"/>
  <c r="J29" i="10" s="1"/>
  <c r="H30" i="10" s="1"/>
  <c r="J30" i="10" s="1"/>
  <c r="H31" i="10" s="1"/>
  <c r="J31" i="10" s="1"/>
  <c r="H32" i="10" s="1"/>
  <c r="J32" i="10" s="1"/>
  <c r="H33" i="10" s="1"/>
  <c r="J33" i="10" s="1"/>
  <c r="H34" i="10" s="1"/>
  <c r="J34" i="10" s="1"/>
  <c r="H35" i="10" s="1"/>
  <c r="J35" i="10" s="1"/>
  <c r="H36" i="10" s="1"/>
  <c r="J36" i="10" s="1"/>
  <c r="H37" i="10" s="1"/>
  <c r="J37" i="10" s="1"/>
  <c r="H38" i="10" s="1"/>
  <c r="J38" i="10" s="1"/>
  <c r="H39" i="10" s="1"/>
  <c r="J39" i="10" s="1"/>
  <c r="H40" i="10" s="1"/>
  <c r="J40" i="10" s="1"/>
  <c r="H41" i="10" s="1"/>
  <c r="J41" i="10" s="1"/>
  <c r="H42" i="10" s="1"/>
  <c r="J42" i="10" s="1"/>
  <c r="H43" i="10" s="1"/>
  <c r="J43" i="10" s="1"/>
  <c r="H44" i="10" s="1"/>
  <c r="J44" i="10" s="1"/>
  <c r="AK7" i="10"/>
  <c r="AL5" i="10"/>
  <c r="E43" i="10"/>
  <c r="E44" i="10" s="1"/>
  <c r="T5" i="8"/>
  <c r="R6" i="8" s="1"/>
  <c r="V5" i="5"/>
  <c r="V6" i="5" s="1"/>
  <c r="V7" i="5" s="1"/>
  <c r="L6" i="5"/>
  <c r="L7" i="5" s="1"/>
  <c r="L8" i="5" s="1"/>
  <c r="L9" i="5" s="1"/>
  <c r="L10" i="5" s="1"/>
  <c r="F5" i="5"/>
  <c r="G5" i="5" s="1"/>
  <c r="T5" i="5"/>
  <c r="R6" i="5" s="1"/>
  <c r="T6" i="5" s="1"/>
  <c r="M5" i="5"/>
  <c r="N5" i="5" s="1"/>
  <c r="S8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H5" i="5"/>
  <c r="O5" i="8"/>
  <c r="O6" i="8" s="1"/>
  <c r="O7" i="8" s="1"/>
  <c r="S6" i="8"/>
  <c r="S7" i="8" s="1"/>
  <c r="F5" i="8"/>
  <c r="G5" i="8" s="1"/>
  <c r="L8" i="8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H5" i="8"/>
  <c r="M5" i="8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H5" i="7"/>
  <c r="H6" i="7" s="1"/>
  <c r="H7" i="7" s="1"/>
  <c r="H8" i="7" s="1"/>
  <c r="T5" i="7"/>
  <c r="M5" i="7"/>
  <c r="S6" i="7"/>
  <c r="F5" i="7"/>
  <c r="E9" i="7"/>
  <c r="R7" i="13" l="1"/>
  <c r="T7" i="13" s="1"/>
  <c r="R8" i="13" s="1"/>
  <c r="T8" i="13" s="1"/>
  <c r="N6" i="13"/>
  <c r="K7" i="13"/>
  <c r="M7" i="13" s="1"/>
  <c r="K8" i="13" s="1"/>
  <c r="M8" i="13" s="1"/>
  <c r="L11" i="13"/>
  <c r="O10" i="13"/>
  <c r="D7" i="13"/>
  <c r="F7" i="13" s="1"/>
  <c r="G6" i="13"/>
  <c r="E47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V8" i="13"/>
  <c r="S9" i="13"/>
  <c r="L8" i="12"/>
  <c r="O7" i="12"/>
  <c r="D7" i="12"/>
  <c r="F7" i="12" s="1"/>
  <c r="G6" i="12"/>
  <c r="R7" i="12"/>
  <c r="T7" i="12" s="1"/>
  <c r="U6" i="12"/>
  <c r="N6" i="12"/>
  <c r="K7" i="12"/>
  <c r="M7" i="12" s="1"/>
  <c r="V7" i="12"/>
  <c r="S8" i="12"/>
  <c r="AU5" i="10"/>
  <c r="AV5" i="10" s="1"/>
  <c r="AW7" i="10"/>
  <c r="O6" i="10"/>
  <c r="P6" i="10" s="1"/>
  <c r="T6" i="10"/>
  <c r="V6" i="10" s="1"/>
  <c r="AE5" i="10"/>
  <c r="AF5" i="10" s="1"/>
  <c r="O5" i="10"/>
  <c r="P5" i="10" s="1"/>
  <c r="Q43" i="10"/>
  <c r="Q44" i="10" s="1"/>
  <c r="D7" i="10"/>
  <c r="F7" i="10" s="1"/>
  <c r="O7" i="10" s="1"/>
  <c r="P7" i="10" s="1"/>
  <c r="AK8" i="10"/>
  <c r="AJ6" i="10"/>
  <c r="AL6" i="10" s="1"/>
  <c r="AU6" i="10" s="1"/>
  <c r="AV6" i="10" s="1"/>
  <c r="E47" i="10"/>
  <c r="U5" i="8"/>
  <c r="O6" i="5"/>
  <c r="O7" i="5" s="1"/>
  <c r="O8" i="5" s="1"/>
  <c r="O9" i="5" s="1"/>
  <c r="O10" i="5" s="1"/>
  <c r="U5" i="5"/>
  <c r="D6" i="5"/>
  <c r="F6" i="5" s="1"/>
  <c r="K6" i="5"/>
  <c r="M6" i="5" s="1"/>
  <c r="K7" i="5" s="1"/>
  <c r="M7" i="5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E47" i="5"/>
  <c r="S9" i="5"/>
  <c r="V8" i="5"/>
  <c r="L11" i="5"/>
  <c r="U6" i="5"/>
  <c r="R7" i="5"/>
  <c r="T7" i="5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V6" i="8"/>
  <c r="V7" i="8" s="1"/>
  <c r="T6" i="8"/>
  <c r="R7" i="8" s="1"/>
  <c r="T7" i="8" s="1"/>
  <c r="D6" i="8"/>
  <c r="F6" i="8" s="1"/>
  <c r="G6" i="8" s="1"/>
  <c r="K6" i="8"/>
  <c r="M6" i="8" s="1"/>
  <c r="N5" i="8"/>
  <c r="E47" i="8"/>
  <c r="L9" i="8"/>
  <c r="O8" i="8"/>
  <c r="S8" i="8"/>
  <c r="S7" i="7"/>
  <c r="V6" i="7"/>
  <c r="H9" i="7"/>
  <c r="R6" i="7"/>
  <c r="T6" i="7" s="1"/>
  <c r="U5" i="7"/>
  <c r="K6" i="7"/>
  <c r="M6" i="7" s="1"/>
  <c r="N5" i="7"/>
  <c r="D6" i="7"/>
  <c r="F6" i="7" s="1"/>
  <c r="G5" i="7"/>
  <c r="E10" i="7"/>
  <c r="N7" i="13" l="1"/>
  <c r="U7" i="13"/>
  <c r="U8" i="13"/>
  <c r="R9" i="13"/>
  <c r="T9" i="13" s="1"/>
  <c r="V9" i="13"/>
  <c r="S10" i="13"/>
  <c r="D8" i="13"/>
  <c r="F8" i="13" s="1"/>
  <c r="G7" i="13"/>
  <c r="O11" i="13"/>
  <c r="L12" i="13"/>
  <c r="K9" i="13"/>
  <c r="M9" i="13" s="1"/>
  <c r="N8" i="13"/>
  <c r="L9" i="12"/>
  <c r="O8" i="12"/>
  <c r="V8" i="12"/>
  <c r="S9" i="12"/>
  <c r="K8" i="12"/>
  <c r="M8" i="12" s="1"/>
  <c r="N7" i="12"/>
  <c r="U7" i="12"/>
  <c r="R8" i="12"/>
  <c r="T8" i="12" s="1"/>
  <c r="D8" i="12"/>
  <c r="F8" i="12" s="1"/>
  <c r="G7" i="12"/>
  <c r="AW8" i="10"/>
  <c r="T7" i="10"/>
  <c r="V7" i="10" s="1"/>
  <c r="AE6" i="10"/>
  <c r="AF6" i="10" s="1"/>
  <c r="D8" i="10"/>
  <c r="F8" i="10" s="1"/>
  <c r="O8" i="10" s="1"/>
  <c r="P8" i="10" s="1"/>
  <c r="AK9" i="10"/>
  <c r="AJ7" i="10"/>
  <c r="AL7" i="10" s="1"/>
  <c r="AU7" i="10" s="1"/>
  <c r="AV7" i="10" s="1"/>
  <c r="N6" i="5"/>
  <c r="U6" i="8"/>
  <c r="U7" i="5"/>
  <c r="R8" i="5"/>
  <c r="T8" i="5" s="1"/>
  <c r="D7" i="5"/>
  <c r="F7" i="5" s="1"/>
  <c r="G6" i="5"/>
  <c r="N7" i="5"/>
  <c r="K8" i="5"/>
  <c r="M8" i="5" s="1"/>
  <c r="L12" i="5"/>
  <c r="O11" i="5"/>
  <c r="V9" i="5"/>
  <c r="S10" i="5"/>
  <c r="D7" i="8"/>
  <c r="F7" i="8" s="1"/>
  <c r="G7" i="8" s="1"/>
  <c r="N6" i="8"/>
  <c r="K7" i="8"/>
  <c r="M7" i="8" s="1"/>
  <c r="R8" i="8"/>
  <c r="T8" i="8" s="1"/>
  <c r="U7" i="8"/>
  <c r="S9" i="8"/>
  <c r="V8" i="8"/>
  <c r="O9" i="8"/>
  <c r="L10" i="8"/>
  <c r="S8" i="7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V7" i="7"/>
  <c r="H10" i="7"/>
  <c r="R7" i="7"/>
  <c r="T7" i="7" s="1"/>
  <c r="U6" i="7"/>
  <c r="K7" i="7"/>
  <c r="M7" i="7" s="1"/>
  <c r="N6" i="7"/>
  <c r="D7" i="7"/>
  <c r="F7" i="7" s="1"/>
  <c r="G6" i="7"/>
  <c r="E11" i="7"/>
  <c r="K10" i="13" l="1"/>
  <c r="M10" i="13" s="1"/>
  <c r="N9" i="13"/>
  <c r="L13" i="13"/>
  <c r="O12" i="13"/>
  <c r="D9" i="13"/>
  <c r="F9" i="13" s="1"/>
  <c r="G8" i="13"/>
  <c r="V10" i="13"/>
  <c r="S11" i="13"/>
  <c r="U9" i="13"/>
  <c r="R10" i="13"/>
  <c r="T10" i="13" s="1"/>
  <c r="G8" i="12"/>
  <c r="D9" i="12"/>
  <c r="F9" i="12" s="1"/>
  <c r="R9" i="12"/>
  <c r="T9" i="12" s="1"/>
  <c r="U8" i="12"/>
  <c r="K9" i="12"/>
  <c r="M9" i="12" s="1"/>
  <c r="N8" i="12"/>
  <c r="V9" i="12"/>
  <c r="S10" i="12"/>
  <c r="L10" i="12"/>
  <c r="O9" i="12"/>
  <c r="AW9" i="10"/>
  <c r="T8" i="10"/>
  <c r="V8" i="10" s="1"/>
  <c r="AE7" i="10"/>
  <c r="AF7" i="10" s="1"/>
  <c r="D9" i="10"/>
  <c r="F9" i="10" s="1"/>
  <c r="O9" i="10" s="1"/>
  <c r="P9" i="10" s="1"/>
  <c r="AK10" i="10"/>
  <c r="AJ8" i="10"/>
  <c r="AL8" i="10" s="1"/>
  <c r="AU8" i="10" s="1"/>
  <c r="AV8" i="10" s="1"/>
  <c r="U8" i="5"/>
  <c r="R9" i="5"/>
  <c r="T9" i="5" s="1"/>
  <c r="V10" i="5"/>
  <c r="S11" i="5"/>
  <c r="O12" i="5"/>
  <c r="L13" i="5"/>
  <c r="N8" i="5"/>
  <c r="K9" i="5"/>
  <c r="M9" i="5" s="1"/>
  <c r="G7" i="5"/>
  <c r="D8" i="5"/>
  <c r="F8" i="5" s="1"/>
  <c r="D8" i="8"/>
  <c r="F8" i="8" s="1"/>
  <c r="G8" i="8" s="1"/>
  <c r="O10" i="8"/>
  <c r="L11" i="8"/>
  <c r="V9" i="8"/>
  <c r="S10" i="8"/>
  <c r="R9" i="8"/>
  <c r="T9" i="8" s="1"/>
  <c r="U8" i="8"/>
  <c r="N7" i="8"/>
  <c r="K8" i="8"/>
  <c r="M8" i="8" s="1"/>
  <c r="V8" i="7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H11" i="7"/>
  <c r="R8" i="7"/>
  <c r="T8" i="7" s="1"/>
  <c r="U7" i="7"/>
  <c r="K8" i="7"/>
  <c r="M8" i="7" s="1"/>
  <c r="N7" i="7"/>
  <c r="D8" i="7"/>
  <c r="F8" i="7" s="1"/>
  <c r="G7" i="7"/>
  <c r="E12" i="7"/>
  <c r="K11" i="13" l="1"/>
  <c r="M11" i="13" s="1"/>
  <c r="N10" i="13"/>
  <c r="U10" i="13"/>
  <c r="R11" i="13"/>
  <c r="T11" i="13" s="1"/>
  <c r="V11" i="13"/>
  <c r="S12" i="13"/>
  <c r="G9" i="13"/>
  <c r="D10" i="13"/>
  <c r="F10" i="13" s="1"/>
  <c r="O13" i="13"/>
  <c r="L14" i="13"/>
  <c r="R10" i="12"/>
  <c r="T10" i="12" s="1"/>
  <c r="U9" i="12"/>
  <c r="D10" i="12"/>
  <c r="F10" i="12" s="1"/>
  <c r="G9" i="12"/>
  <c r="O10" i="12"/>
  <c r="L11" i="12"/>
  <c r="S11" i="12"/>
  <c r="V10" i="12"/>
  <c r="N9" i="12"/>
  <c r="K10" i="12"/>
  <c r="M10" i="12" s="1"/>
  <c r="AW10" i="10"/>
  <c r="T9" i="10"/>
  <c r="V9" i="10" s="1"/>
  <c r="AE8" i="10"/>
  <c r="AF8" i="10" s="1"/>
  <c r="D10" i="10"/>
  <c r="F10" i="10" s="1"/>
  <c r="O10" i="10" s="1"/>
  <c r="P10" i="10" s="1"/>
  <c r="AJ9" i="10"/>
  <c r="AL9" i="10" s="1"/>
  <c r="AU9" i="10" s="1"/>
  <c r="AV9" i="10" s="1"/>
  <c r="AK11" i="10"/>
  <c r="U9" i="5"/>
  <c r="R10" i="5"/>
  <c r="T10" i="5" s="1"/>
  <c r="D9" i="5"/>
  <c r="F9" i="5" s="1"/>
  <c r="G8" i="5"/>
  <c r="K10" i="5"/>
  <c r="M10" i="5" s="1"/>
  <c r="N9" i="5"/>
  <c r="O13" i="5"/>
  <c r="L14" i="5"/>
  <c r="S12" i="5"/>
  <c r="V11" i="5"/>
  <c r="D9" i="8"/>
  <c r="F9" i="8" s="1"/>
  <c r="D10" i="8" s="1"/>
  <c r="F10" i="8" s="1"/>
  <c r="N8" i="8"/>
  <c r="K9" i="8"/>
  <c r="M9" i="8" s="1"/>
  <c r="U9" i="8"/>
  <c r="R10" i="8"/>
  <c r="T10" i="8" s="1"/>
  <c r="V10" i="8"/>
  <c r="S11" i="8"/>
  <c r="L12" i="8"/>
  <c r="O11" i="8"/>
  <c r="H12" i="7"/>
  <c r="R9" i="7"/>
  <c r="T9" i="7" s="1"/>
  <c r="U8" i="7"/>
  <c r="K9" i="7"/>
  <c r="M9" i="7" s="1"/>
  <c r="N8" i="7"/>
  <c r="D9" i="7"/>
  <c r="F9" i="7" s="1"/>
  <c r="G8" i="7"/>
  <c r="E13" i="7"/>
  <c r="K12" i="13" l="1"/>
  <c r="M12" i="13" s="1"/>
  <c r="N11" i="13"/>
  <c r="L15" i="13"/>
  <c r="O14" i="13"/>
  <c r="G10" i="13"/>
  <c r="D11" i="13"/>
  <c r="F11" i="13" s="1"/>
  <c r="S13" i="13"/>
  <c r="V12" i="13"/>
  <c r="U11" i="13"/>
  <c r="R12" i="13"/>
  <c r="T12" i="13" s="1"/>
  <c r="S12" i="12"/>
  <c r="V11" i="12"/>
  <c r="N10" i="12"/>
  <c r="K11" i="12"/>
  <c r="M11" i="12" s="1"/>
  <c r="O11" i="12"/>
  <c r="L12" i="12"/>
  <c r="D11" i="12"/>
  <c r="F11" i="12" s="1"/>
  <c r="G10" i="12"/>
  <c r="U10" i="12"/>
  <c r="R11" i="12"/>
  <c r="T11" i="12" s="1"/>
  <c r="AW11" i="10"/>
  <c r="T10" i="10"/>
  <c r="V10" i="10" s="1"/>
  <c r="AE9" i="10"/>
  <c r="AF9" i="10" s="1"/>
  <c r="D11" i="10"/>
  <c r="F11" i="10" s="1"/>
  <c r="O11" i="10" s="1"/>
  <c r="P11" i="10" s="1"/>
  <c r="AK12" i="10"/>
  <c r="AJ10" i="10"/>
  <c r="AL10" i="10" s="1"/>
  <c r="AU10" i="10" s="1"/>
  <c r="AV10" i="10" s="1"/>
  <c r="K11" i="5"/>
  <c r="M11" i="5" s="1"/>
  <c r="N10" i="5"/>
  <c r="U10" i="5"/>
  <c r="R11" i="5"/>
  <c r="T11" i="5" s="1"/>
  <c r="S13" i="5"/>
  <c r="V12" i="5"/>
  <c r="L15" i="5"/>
  <c r="O14" i="5"/>
  <c r="G9" i="5"/>
  <c r="D10" i="5"/>
  <c r="F10" i="5" s="1"/>
  <c r="G9" i="8"/>
  <c r="N9" i="8"/>
  <c r="K10" i="8"/>
  <c r="M10" i="8" s="1"/>
  <c r="L13" i="8"/>
  <c r="O12" i="8"/>
  <c r="S12" i="8"/>
  <c r="V11" i="8"/>
  <c r="U10" i="8"/>
  <c r="R11" i="8"/>
  <c r="T11" i="8" s="1"/>
  <c r="D11" i="8"/>
  <c r="F11" i="8" s="1"/>
  <c r="G10" i="8"/>
  <c r="H13" i="7"/>
  <c r="R10" i="7"/>
  <c r="T10" i="7" s="1"/>
  <c r="U9" i="7"/>
  <c r="K10" i="7"/>
  <c r="M10" i="7" s="1"/>
  <c r="N9" i="7"/>
  <c r="D10" i="7"/>
  <c r="F10" i="7" s="1"/>
  <c r="G9" i="7"/>
  <c r="E14" i="7"/>
  <c r="K13" i="13" l="1"/>
  <c r="M13" i="13" s="1"/>
  <c r="N12" i="13"/>
  <c r="S14" i="13"/>
  <c r="V13" i="13"/>
  <c r="D12" i="13"/>
  <c r="F12" i="13" s="1"/>
  <c r="G11" i="13"/>
  <c r="R13" i="13"/>
  <c r="T13" i="13" s="1"/>
  <c r="U12" i="13"/>
  <c r="L16" i="13"/>
  <c r="O15" i="13"/>
  <c r="N11" i="12"/>
  <c r="K12" i="12"/>
  <c r="M12" i="12" s="1"/>
  <c r="S13" i="12"/>
  <c r="V12" i="12"/>
  <c r="R12" i="12"/>
  <c r="T12" i="12" s="1"/>
  <c r="U11" i="12"/>
  <c r="D12" i="12"/>
  <c r="F12" i="12" s="1"/>
  <c r="G11" i="12"/>
  <c r="L13" i="12"/>
  <c r="O12" i="12"/>
  <c r="AW12" i="10"/>
  <c r="T11" i="10"/>
  <c r="V11" i="10" s="1"/>
  <c r="AE10" i="10"/>
  <c r="AF10" i="10" s="1"/>
  <c r="D12" i="10"/>
  <c r="F12" i="10" s="1"/>
  <c r="O12" i="10" s="1"/>
  <c r="P12" i="10" s="1"/>
  <c r="AJ11" i="10"/>
  <c r="AL11" i="10" s="1"/>
  <c r="AU11" i="10" s="1"/>
  <c r="AV11" i="10" s="1"/>
  <c r="AK13" i="10"/>
  <c r="N11" i="5"/>
  <c r="K12" i="5"/>
  <c r="M12" i="5" s="1"/>
  <c r="D11" i="5"/>
  <c r="F11" i="5" s="1"/>
  <c r="G10" i="5"/>
  <c r="L16" i="5"/>
  <c r="O15" i="5"/>
  <c r="V13" i="5"/>
  <c r="S14" i="5"/>
  <c r="R12" i="5"/>
  <c r="T12" i="5" s="1"/>
  <c r="U11" i="5"/>
  <c r="D12" i="8"/>
  <c r="F12" i="8" s="1"/>
  <c r="G11" i="8"/>
  <c r="R12" i="8"/>
  <c r="T12" i="8" s="1"/>
  <c r="U11" i="8"/>
  <c r="V12" i="8"/>
  <c r="S13" i="8"/>
  <c r="O13" i="8"/>
  <c r="L14" i="8"/>
  <c r="N10" i="8"/>
  <c r="K11" i="8"/>
  <c r="M11" i="8" s="1"/>
  <c r="H14" i="7"/>
  <c r="R11" i="7"/>
  <c r="T11" i="7" s="1"/>
  <c r="U10" i="7"/>
  <c r="K11" i="7"/>
  <c r="M11" i="7" s="1"/>
  <c r="N10" i="7"/>
  <c r="D11" i="7"/>
  <c r="F11" i="7" s="1"/>
  <c r="G10" i="7"/>
  <c r="E15" i="7"/>
  <c r="N13" i="13" l="1"/>
  <c r="K14" i="13"/>
  <c r="M14" i="13" s="1"/>
  <c r="O16" i="13"/>
  <c r="L17" i="13"/>
  <c r="R14" i="13"/>
  <c r="T14" i="13" s="1"/>
  <c r="U13" i="13"/>
  <c r="D13" i="13"/>
  <c r="F13" i="13" s="1"/>
  <c r="G12" i="13"/>
  <c r="S15" i="13"/>
  <c r="V14" i="13"/>
  <c r="L14" i="12"/>
  <c r="O13" i="12"/>
  <c r="D13" i="12"/>
  <c r="F13" i="12" s="1"/>
  <c r="G12" i="12"/>
  <c r="R13" i="12"/>
  <c r="T13" i="12" s="1"/>
  <c r="U12" i="12"/>
  <c r="V13" i="12"/>
  <c r="S14" i="12"/>
  <c r="K13" i="12"/>
  <c r="M13" i="12" s="1"/>
  <c r="N12" i="12"/>
  <c r="AW13" i="10"/>
  <c r="T12" i="10"/>
  <c r="V12" i="10" s="1"/>
  <c r="AE11" i="10"/>
  <c r="AF11" i="10" s="1"/>
  <c r="D13" i="10"/>
  <c r="F13" i="10" s="1"/>
  <c r="O13" i="10" s="1"/>
  <c r="P13" i="10" s="1"/>
  <c r="AJ12" i="10"/>
  <c r="AL12" i="10" s="1"/>
  <c r="AU12" i="10" s="1"/>
  <c r="AV12" i="10" s="1"/>
  <c r="AK14" i="10"/>
  <c r="R13" i="5"/>
  <c r="T13" i="5" s="1"/>
  <c r="U12" i="5"/>
  <c r="S15" i="5"/>
  <c r="V14" i="5"/>
  <c r="O16" i="5"/>
  <c r="L17" i="5"/>
  <c r="D12" i="5"/>
  <c r="F12" i="5" s="1"/>
  <c r="G11" i="5"/>
  <c r="K13" i="5"/>
  <c r="M13" i="5" s="1"/>
  <c r="N12" i="5"/>
  <c r="R13" i="8"/>
  <c r="T13" i="8" s="1"/>
  <c r="U12" i="8"/>
  <c r="K12" i="8"/>
  <c r="M12" i="8" s="1"/>
  <c r="N11" i="8"/>
  <c r="O14" i="8"/>
  <c r="L15" i="8"/>
  <c r="S14" i="8"/>
  <c r="V13" i="8"/>
  <c r="D13" i="8"/>
  <c r="F13" i="8" s="1"/>
  <c r="G12" i="8"/>
  <c r="H15" i="7"/>
  <c r="R12" i="7"/>
  <c r="T12" i="7" s="1"/>
  <c r="U11" i="7"/>
  <c r="K12" i="7"/>
  <c r="M12" i="7" s="1"/>
  <c r="N11" i="7"/>
  <c r="D12" i="7"/>
  <c r="F12" i="7" s="1"/>
  <c r="G11" i="7"/>
  <c r="E16" i="7"/>
  <c r="K15" i="13" l="1"/>
  <c r="M15" i="13" s="1"/>
  <c r="N14" i="13"/>
  <c r="S16" i="13"/>
  <c r="V15" i="13"/>
  <c r="D14" i="13"/>
  <c r="F14" i="13" s="1"/>
  <c r="G13" i="13"/>
  <c r="R15" i="13"/>
  <c r="T15" i="13" s="1"/>
  <c r="U14" i="13"/>
  <c r="O17" i="13"/>
  <c r="L18" i="13"/>
  <c r="U13" i="12"/>
  <c r="R14" i="12"/>
  <c r="T14" i="12" s="1"/>
  <c r="D14" i="12"/>
  <c r="F14" i="12" s="1"/>
  <c r="G13" i="12"/>
  <c r="O14" i="12"/>
  <c r="L15" i="12"/>
  <c r="N13" i="12"/>
  <c r="K14" i="12"/>
  <c r="M14" i="12" s="1"/>
  <c r="V14" i="12"/>
  <c r="S15" i="12"/>
  <c r="AW14" i="10"/>
  <c r="T13" i="10"/>
  <c r="V13" i="10" s="1"/>
  <c r="AE12" i="10"/>
  <c r="AF12" i="10" s="1"/>
  <c r="D14" i="10"/>
  <c r="F14" i="10" s="1"/>
  <c r="O14" i="10" s="1"/>
  <c r="P14" i="10" s="1"/>
  <c r="AK15" i="10"/>
  <c r="AJ13" i="10"/>
  <c r="AL13" i="10" s="1"/>
  <c r="AU13" i="10" s="1"/>
  <c r="AV13" i="10" s="1"/>
  <c r="N13" i="5"/>
  <c r="K14" i="5"/>
  <c r="M14" i="5" s="1"/>
  <c r="G12" i="5"/>
  <c r="D13" i="5"/>
  <c r="F13" i="5" s="1"/>
  <c r="O17" i="5"/>
  <c r="L18" i="5"/>
  <c r="S16" i="5"/>
  <c r="V15" i="5"/>
  <c r="R14" i="5"/>
  <c r="T14" i="5" s="1"/>
  <c r="U13" i="5"/>
  <c r="R14" i="8"/>
  <c r="T14" i="8" s="1"/>
  <c r="U13" i="8"/>
  <c r="G13" i="8"/>
  <c r="D14" i="8"/>
  <c r="F14" i="8" s="1"/>
  <c r="S15" i="8"/>
  <c r="V14" i="8"/>
  <c r="O15" i="8"/>
  <c r="L16" i="8"/>
  <c r="K13" i="8"/>
  <c r="M13" i="8" s="1"/>
  <c r="N12" i="8"/>
  <c r="H16" i="7"/>
  <c r="R13" i="7"/>
  <c r="T13" i="7" s="1"/>
  <c r="U12" i="7"/>
  <c r="K13" i="7"/>
  <c r="M13" i="7" s="1"/>
  <c r="N12" i="7"/>
  <c r="D13" i="7"/>
  <c r="F13" i="7" s="1"/>
  <c r="G12" i="7"/>
  <c r="E17" i="7"/>
  <c r="O18" i="13" l="1"/>
  <c r="L19" i="13"/>
  <c r="R16" i="13"/>
  <c r="T16" i="13" s="1"/>
  <c r="U15" i="13"/>
  <c r="G14" i="13"/>
  <c r="D15" i="13"/>
  <c r="F15" i="13" s="1"/>
  <c r="S17" i="13"/>
  <c r="V16" i="13"/>
  <c r="K16" i="13"/>
  <c r="M16" i="13" s="1"/>
  <c r="N15" i="13"/>
  <c r="V15" i="12"/>
  <c r="S16" i="12"/>
  <c r="K15" i="12"/>
  <c r="M15" i="12" s="1"/>
  <c r="N14" i="12"/>
  <c r="L16" i="12"/>
  <c r="O15" i="12"/>
  <c r="G14" i="12"/>
  <c r="D15" i="12"/>
  <c r="F15" i="12" s="1"/>
  <c r="U14" i="12"/>
  <c r="R15" i="12"/>
  <c r="T15" i="12" s="1"/>
  <c r="AW15" i="10"/>
  <c r="T14" i="10"/>
  <c r="V14" i="10" s="1"/>
  <c r="AE13" i="10"/>
  <c r="AF13" i="10" s="1"/>
  <c r="D15" i="10"/>
  <c r="F15" i="10" s="1"/>
  <c r="O15" i="10" s="1"/>
  <c r="P15" i="10" s="1"/>
  <c r="AJ14" i="10"/>
  <c r="AL14" i="10" s="1"/>
  <c r="AU14" i="10" s="1"/>
  <c r="AV14" i="10" s="1"/>
  <c r="AK16" i="10"/>
  <c r="N14" i="5"/>
  <c r="K15" i="5"/>
  <c r="M15" i="5" s="1"/>
  <c r="R15" i="5"/>
  <c r="T15" i="5" s="1"/>
  <c r="U14" i="5"/>
  <c r="V16" i="5"/>
  <c r="S17" i="5"/>
  <c r="L19" i="5"/>
  <c r="O18" i="5"/>
  <c r="D14" i="5"/>
  <c r="F14" i="5" s="1"/>
  <c r="G13" i="5"/>
  <c r="R15" i="8"/>
  <c r="T15" i="8" s="1"/>
  <c r="U14" i="8"/>
  <c r="N13" i="8"/>
  <c r="K14" i="8"/>
  <c r="M14" i="8" s="1"/>
  <c r="O16" i="8"/>
  <c r="L17" i="8"/>
  <c r="S16" i="8"/>
  <c r="V15" i="8"/>
  <c r="G14" i="8"/>
  <c r="D15" i="8"/>
  <c r="F15" i="8" s="1"/>
  <c r="H17" i="7"/>
  <c r="R14" i="7"/>
  <c r="T14" i="7" s="1"/>
  <c r="U13" i="7"/>
  <c r="K14" i="7"/>
  <c r="M14" i="7" s="1"/>
  <c r="N13" i="7"/>
  <c r="D14" i="7"/>
  <c r="F14" i="7" s="1"/>
  <c r="G13" i="7"/>
  <c r="E18" i="7"/>
  <c r="S18" i="13" l="1"/>
  <c r="V17" i="13"/>
  <c r="G15" i="13"/>
  <c r="D16" i="13"/>
  <c r="F16" i="13" s="1"/>
  <c r="U16" i="13"/>
  <c r="R17" i="13"/>
  <c r="T17" i="13" s="1"/>
  <c r="L20" i="13"/>
  <c r="O19" i="13"/>
  <c r="K17" i="13"/>
  <c r="M17" i="13" s="1"/>
  <c r="N16" i="13"/>
  <c r="V16" i="12"/>
  <c r="S17" i="12"/>
  <c r="R16" i="12"/>
  <c r="T16" i="12" s="1"/>
  <c r="U15" i="12"/>
  <c r="D16" i="12"/>
  <c r="F16" i="12" s="1"/>
  <c r="G15" i="12"/>
  <c r="O16" i="12"/>
  <c r="L17" i="12"/>
  <c r="N15" i="12"/>
  <c r="K16" i="12"/>
  <c r="M16" i="12" s="1"/>
  <c r="AW16" i="10"/>
  <c r="T15" i="10"/>
  <c r="V15" i="10" s="1"/>
  <c r="AE14" i="10"/>
  <c r="AF14" i="10" s="1"/>
  <c r="D16" i="10"/>
  <c r="F16" i="10" s="1"/>
  <c r="O16" i="10" s="1"/>
  <c r="P16" i="10" s="1"/>
  <c r="AK17" i="10"/>
  <c r="AJ15" i="10"/>
  <c r="AL15" i="10" s="1"/>
  <c r="AU15" i="10" s="1"/>
  <c r="AV15" i="10" s="1"/>
  <c r="K16" i="5"/>
  <c r="M16" i="5" s="1"/>
  <c r="N15" i="5"/>
  <c r="D15" i="5"/>
  <c r="F15" i="5" s="1"/>
  <c r="G14" i="5"/>
  <c r="L20" i="5"/>
  <c r="O19" i="5"/>
  <c r="V17" i="5"/>
  <c r="S18" i="5"/>
  <c r="R16" i="5"/>
  <c r="T16" i="5" s="1"/>
  <c r="U15" i="5"/>
  <c r="L18" i="8"/>
  <c r="O17" i="8"/>
  <c r="G15" i="8"/>
  <c r="D16" i="8"/>
  <c r="F16" i="8" s="1"/>
  <c r="V16" i="8"/>
  <c r="S17" i="8"/>
  <c r="K15" i="8"/>
  <c r="M15" i="8" s="1"/>
  <c r="N14" i="8"/>
  <c r="R16" i="8"/>
  <c r="T16" i="8" s="1"/>
  <c r="U15" i="8"/>
  <c r="H18" i="7"/>
  <c r="R15" i="7"/>
  <c r="T15" i="7" s="1"/>
  <c r="U14" i="7"/>
  <c r="K15" i="7"/>
  <c r="M15" i="7" s="1"/>
  <c r="N14" i="7"/>
  <c r="D15" i="7"/>
  <c r="F15" i="7" s="1"/>
  <c r="G14" i="7"/>
  <c r="E19" i="7"/>
  <c r="K18" i="13" l="1"/>
  <c r="M18" i="13" s="1"/>
  <c r="N17" i="13"/>
  <c r="O20" i="13"/>
  <c r="L21" i="13"/>
  <c r="R18" i="13"/>
  <c r="T18" i="13" s="1"/>
  <c r="U17" i="13"/>
  <c r="D17" i="13"/>
  <c r="F17" i="13" s="1"/>
  <c r="G16" i="13"/>
  <c r="V18" i="13"/>
  <c r="S19" i="13"/>
  <c r="R17" i="12"/>
  <c r="T17" i="12" s="1"/>
  <c r="U16" i="12"/>
  <c r="S18" i="12"/>
  <c r="V17" i="12"/>
  <c r="N16" i="12"/>
  <c r="K17" i="12"/>
  <c r="M17" i="12" s="1"/>
  <c r="L18" i="12"/>
  <c r="O17" i="12"/>
  <c r="D17" i="12"/>
  <c r="F17" i="12" s="1"/>
  <c r="G16" i="12"/>
  <c r="AW17" i="10"/>
  <c r="T16" i="10"/>
  <c r="V16" i="10" s="1"/>
  <c r="AE15" i="10"/>
  <c r="AF15" i="10" s="1"/>
  <c r="D17" i="10"/>
  <c r="F17" i="10" s="1"/>
  <c r="O17" i="10" s="1"/>
  <c r="P17" i="10" s="1"/>
  <c r="AJ16" i="10"/>
  <c r="AL16" i="10" s="1"/>
  <c r="AU16" i="10" s="1"/>
  <c r="AV16" i="10" s="1"/>
  <c r="AK18" i="10"/>
  <c r="N16" i="5"/>
  <c r="K17" i="5"/>
  <c r="M17" i="5" s="1"/>
  <c r="R17" i="5"/>
  <c r="T17" i="5" s="1"/>
  <c r="U16" i="5"/>
  <c r="S19" i="5"/>
  <c r="V18" i="5"/>
  <c r="L21" i="5"/>
  <c r="O20" i="5"/>
  <c r="G15" i="5"/>
  <c r="D16" i="5"/>
  <c r="F16" i="5" s="1"/>
  <c r="U16" i="8"/>
  <c r="R17" i="8"/>
  <c r="T17" i="8" s="1"/>
  <c r="N15" i="8"/>
  <c r="K16" i="8"/>
  <c r="M16" i="8" s="1"/>
  <c r="S18" i="8"/>
  <c r="V17" i="8"/>
  <c r="D17" i="8"/>
  <c r="F17" i="8" s="1"/>
  <c r="G16" i="8"/>
  <c r="L19" i="8"/>
  <c r="O18" i="8"/>
  <c r="H19" i="7"/>
  <c r="R16" i="7"/>
  <c r="T16" i="7" s="1"/>
  <c r="U15" i="7"/>
  <c r="K16" i="7"/>
  <c r="M16" i="7" s="1"/>
  <c r="N15" i="7"/>
  <c r="D16" i="7"/>
  <c r="F16" i="7" s="1"/>
  <c r="G15" i="7"/>
  <c r="E20" i="7"/>
  <c r="N18" i="13" l="1"/>
  <c r="K19" i="13"/>
  <c r="M19" i="13" s="1"/>
  <c r="V19" i="13"/>
  <c r="S20" i="13"/>
  <c r="G17" i="13"/>
  <c r="D18" i="13"/>
  <c r="F18" i="13" s="1"/>
  <c r="U18" i="13"/>
  <c r="R19" i="13"/>
  <c r="T19" i="13" s="1"/>
  <c r="L22" i="13"/>
  <c r="O21" i="13"/>
  <c r="R18" i="12"/>
  <c r="T18" i="12" s="1"/>
  <c r="U17" i="12"/>
  <c r="D18" i="12"/>
  <c r="F18" i="12" s="1"/>
  <c r="G17" i="12"/>
  <c r="O18" i="12"/>
  <c r="L19" i="12"/>
  <c r="N17" i="12"/>
  <c r="K18" i="12"/>
  <c r="M18" i="12" s="1"/>
  <c r="V18" i="12"/>
  <c r="S19" i="12"/>
  <c r="AW18" i="10"/>
  <c r="T17" i="10"/>
  <c r="V17" i="10" s="1"/>
  <c r="AE16" i="10"/>
  <c r="AF16" i="10" s="1"/>
  <c r="D18" i="10"/>
  <c r="F18" i="10" s="1"/>
  <c r="O18" i="10" s="1"/>
  <c r="P18" i="10" s="1"/>
  <c r="AK19" i="10"/>
  <c r="AJ17" i="10"/>
  <c r="AL17" i="10" s="1"/>
  <c r="AU17" i="10" s="1"/>
  <c r="AV17" i="10" s="1"/>
  <c r="N17" i="5"/>
  <c r="K18" i="5"/>
  <c r="M18" i="5" s="1"/>
  <c r="G16" i="5"/>
  <c r="D17" i="5"/>
  <c r="F17" i="5" s="1"/>
  <c r="O21" i="5"/>
  <c r="L22" i="5"/>
  <c r="S20" i="5"/>
  <c r="V19" i="5"/>
  <c r="U17" i="5"/>
  <c r="R18" i="5"/>
  <c r="T18" i="5" s="1"/>
  <c r="L20" i="8"/>
  <c r="O19" i="8"/>
  <c r="D18" i="8"/>
  <c r="F18" i="8" s="1"/>
  <c r="G17" i="8"/>
  <c r="V18" i="8"/>
  <c r="S19" i="8"/>
  <c r="N16" i="8"/>
  <c r="K17" i="8"/>
  <c r="M17" i="8" s="1"/>
  <c r="R18" i="8"/>
  <c r="T18" i="8" s="1"/>
  <c r="U17" i="8"/>
  <c r="H20" i="7"/>
  <c r="R17" i="7"/>
  <c r="T17" i="7" s="1"/>
  <c r="U16" i="7"/>
  <c r="K17" i="7"/>
  <c r="M17" i="7" s="1"/>
  <c r="N16" i="7"/>
  <c r="D17" i="7"/>
  <c r="F17" i="7" s="1"/>
  <c r="G16" i="7"/>
  <c r="E21" i="7"/>
  <c r="L23" i="13" l="1"/>
  <c r="O22" i="13"/>
  <c r="U19" i="13"/>
  <c r="R20" i="13"/>
  <c r="T20" i="13" s="1"/>
  <c r="G18" i="13"/>
  <c r="D19" i="13"/>
  <c r="F19" i="13" s="1"/>
  <c r="S21" i="13"/>
  <c r="V20" i="13"/>
  <c r="K20" i="13"/>
  <c r="M20" i="13" s="1"/>
  <c r="N19" i="13"/>
  <c r="G18" i="12"/>
  <c r="D19" i="12"/>
  <c r="F19" i="12" s="1"/>
  <c r="R19" i="12"/>
  <c r="T19" i="12" s="1"/>
  <c r="U18" i="12"/>
  <c r="S20" i="12"/>
  <c r="V19" i="12"/>
  <c r="K19" i="12"/>
  <c r="M19" i="12" s="1"/>
  <c r="N18" i="12"/>
  <c r="L20" i="12"/>
  <c r="O19" i="12"/>
  <c r="AW19" i="10"/>
  <c r="T18" i="10"/>
  <c r="V18" i="10" s="1"/>
  <c r="AE17" i="10"/>
  <c r="AF17" i="10" s="1"/>
  <c r="D19" i="10"/>
  <c r="F19" i="10" s="1"/>
  <c r="O19" i="10" s="1"/>
  <c r="P19" i="10" s="1"/>
  <c r="AJ18" i="10"/>
  <c r="AL18" i="10" s="1"/>
  <c r="AU18" i="10" s="1"/>
  <c r="AV18" i="10" s="1"/>
  <c r="AK20" i="10"/>
  <c r="K19" i="5"/>
  <c r="M19" i="5" s="1"/>
  <c r="N18" i="5"/>
  <c r="R19" i="5"/>
  <c r="T19" i="5" s="1"/>
  <c r="U18" i="5"/>
  <c r="V20" i="5"/>
  <c r="S21" i="5"/>
  <c r="O22" i="5"/>
  <c r="L23" i="5"/>
  <c r="D18" i="5"/>
  <c r="F18" i="5" s="1"/>
  <c r="G17" i="5"/>
  <c r="U18" i="8"/>
  <c r="R19" i="8"/>
  <c r="T19" i="8" s="1"/>
  <c r="K18" i="8"/>
  <c r="M18" i="8" s="1"/>
  <c r="N17" i="8"/>
  <c r="S20" i="8"/>
  <c r="V19" i="8"/>
  <c r="G18" i="8"/>
  <c r="D19" i="8"/>
  <c r="F19" i="8" s="1"/>
  <c r="O20" i="8"/>
  <c r="L21" i="8"/>
  <c r="H21" i="7"/>
  <c r="R18" i="7"/>
  <c r="T18" i="7" s="1"/>
  <c r="U17" i="7"/>
  <c r="K18" i="7"/>
  <c r="M18" i="7" s="1"/>
  <c r="N17" i="7"/>
  <c r="D18" i="7"/>
  <c r="F18" i="7" s="1"/>
  <c r="G17" i="7"/>
  <c r="E22" i="7"/>
  <c r="V21" i="13" l="1"/>
  <c r="S22" i="13"/>
  <c r="D20" i="13"/>
  <c r="F20" i="13" s="1"/>
  <c r="G19" i="13"/>
  <c r="L24" i="13"/>
  <c r="O23" i="13"/>
  <c r="K21" i="13"/>
  <c r="M21" i="13" s="1"/>
  <c r="N20" i="13"/>
  <c r="U20" i="13"/>
  <c r="R21" i="13"/>
  <c r="T21" i="13" s="1"/>
  <c r="V20" i="12"/>
  <c r="S21" i="12"/>
  <c r="G19" i="12"/>
  <c r="D20" i="12"/>
  <c r="F20" i="12" s="1"/>
  <c r="L21" i="12"/>
  <c r="O20" i="12"/>
  <c r="K20" i="12"/>
  <c r="M20" i="12" s="1"/>
  <c r="N19" i="12"/>
  <c r="U19" i="12"/>
  <c r="R20" i="12"/>
  <c r="T20" i="12" s="1"/>
  <c r="AW20" i="10"/>
  <c r="T19" i="10"/>
  <c r="V19" i="10" s="1"/>
  <c r="AE18" i="10"/>
  <c r="AF18" i="10" s="1"/>
  <c r="D20" i="10"/>
  <c r="F20" i="10" s="1"/>
  <c r="O20" i="10" s="1"/>
  <c r="P20" i="10" s="1"/>
  <c r="AK21" i="10"/>
  <c r="AJ19" i="10"/>
  <c r="AL19" i="10" s="1"/>
  <c r="AU19" i="10" s="1"/>
  <c r="AV19" i="10" s="1"/>
  <c r="G18" i="5"/>
  <c r="D19" i="5"/>
  <c r="F19" i="5" s="1"/>
  <c r="L24" i="5"/>
  <c r="O23" i="5"/>
  <c r="V21" i="5"/>
  <c r="S22" i="5"/>
  <c r="R20" i="5"/>
  <c r="T20" i="5" s="1"/>
  <c r="U19" i="5"/>
  <c r="K20" i="5"/>
  <c r="M20" i="5" s="1"/>
  <c r="N19" i="5"/>
  <c r="L22" i="8"/>
  <c r="O21" i="8"/>
  <c r="K19" i="8"/>
  <c r="M19" i="8" s="1"/>
  <c r="N18" i="8"/>
  <c r="R20" i="8"/>
  <c r="T20" i="8" s="1"/>
  <c r="U19" i="8"/>
  <c r="G19" i="8"/>
  <c r="D20" i="8"/>
  <c r="F20" i="8" s="1"/>
  <c r="S21" i="8"/>
  <c r="V20" i="8"/>
  <c r="H22" i="7"/>
  <c r="R19" i="7"/>
  <c r="T19" i="7" s="1"/>
  <c r="U18" i="7"/>
  <c r="K19" i="7"/>
  <c r="M19" i="7" s="1"/>
  <c r="N18" i="7"/>
  <c r="D19" i="7"/>
  <c r="F19" i="7" s="1"/>
  <c r="G18" i="7"/>
  <c r="E23" i="7"/>
  <c r="R22" i="13" l="1"/>
  <c r="T22" i="13" s="1"/>
  <c r="U21" i="13"/>
  <c r="L25" i="13"/>
  <c r="O24" i="13"/>
  <c r="G20" i="13"/>
  <c r="D21" i="13"/>
  <c r="F21" i="13" s="1"/>
  <c r="K22" i="13"/>
  <c r="M22" i="13" s="1"/>
  <c r="N21" i="13"/>
  <c r="S23" i="13"/>
  <c r="V22" i="13"/>
  <c r="D21" i="12"/>
  <c r="F21" i="12" s="1"/>
  <c r="G20" i="12"/>
  <c r="S22" i="12"/>
  <c r="V21" i="12"/>
  <c r="R21" i="12"/>
  <c r="T21" i="12" s="1"/>
  <c r="U20" i="12"/>
  <c r="N20" i="12"/>
  <c r="K21" i="12"/>
  <c r="M21" i="12" s="1"/>
  <c r="O21" i="12"/>
  <c r="L22" i="12"/>
  <c r="AW21" i="10"/>
  <c r="T20" i="10"/>
  <c r="V20" i="10" s="1"/>
  <c r="AE19" i="10"/>
  <c r="AF19" i="10" s="1"/>
  <c r="D21" i="10"/>
  <c r="F21" i="10" s="1"/>
  <c r="O21" i="10" s="1"/>
  <c r="P21" i="10" s="1"/>
  <c r="AK22" i="10"/>
  <c r="AJ20" i="10"/>
  <c r="AL20" i="10" s="1"/>
  <c r="AU20" i="10" s="1"/>
  <c r="AV20" i="10" s="1"/>
  <c r="G19" i="5"/>
  <c r="D20" i="5"/>
  <c r="F20" i="5" s="1"/>
  <c r="K21" i="5"/>
  <c r="M21" i="5" s="1"/>
  <c r="N20" i="5"/>
  <c r="R21" i="5"/>
  <c r="T21" i="5" s="1"/>
  <c r="U20" i="5"/>
  <c r="S23" i="5"/>
  <c r="V22" i="5"/>
  <c r="L25" i="5"/>
  <c r="O24" i="5"/>
  <c r="G20" i="8"/>
  <c r="D21" i="8"/>
  <c r="F21" i="8" s="1"/>
  <c r="R21" i="8"/>
  <c r="T21" i="8" s="1"/>
  <c r="U20" i="8"/>
  <c r="V21" i="8"/>
  <c r="S22" i="8"/>
  <c r="K20" i="8"/>
  <c r="M20" i="8" s="1"/>
  <c r="N19" i="8"/>
  <c r="O22" i="8"/>
  <c r="L23" i="8"/>
  <c r="H23" i="7"/>
  <c r="R20" i="7"/>
  <c r="T20" i="7" s="1"/>
  <c r="U19" i="7"/>
  <c r="K20" i="7"/>
  <c r="M20" i="7" s="1"/>
  <c r="N19" i="7"/>
  <c r="D20" i="7"/>
  <c r="F20" i="7" s="1"/>
  <c r="G19" i="7"/>
  <c r="E24" i="7"/>
  <c r="K23" i="13" l="1"/>
  <c r="M23" i="13" s="1"/>
  <c r="N22" i="13"/>
  <c r="D22" i="13"/>
  <c r="F22" i="13" s="1"/>
  <c r="G21" i="13"/>
  <c r="L26" i="13"/>
  <c r="O25" i="13"/>
  <c r="U22" i="13"/>
  <c r="R23" i="13"/>
  <c r="T23" i="13" s="1"/>
  <c r="S24" i="13"/>
  <c r="V23" i="13"/>
  <c r="D22" i="12"/>
  <c r="F22" i="12" s="1"/>
  <c r="G21" i="12"/>
  <c r="O22" i="12"/>
  <c r="L23" i="12"/>
  <c r="N21" i="12"/>
  <c r="K22" i="12"/>
  <c r="M22" i="12" s="1"/>
  <c r="R22" i="12"/>
  <c r="T22" i="12" s="1"/>
  <c r="U21" i="12"/>
  <c r="S23" i="12"/>
  <c r="V22" i="12"/>
  <c r="AW22" i="10"/>
  <c r="T21" i="10"/>
  <c r="V21" i="10" s="1"/>
  <c r="AE20" i="10"/>
  <c r="AF20" i="10" s="1"/>
  <c r="D22" i="10"/>
  <c r="F22" i="10" s="1"/>
  <c r="O22" i="10" s="1"/>
  <c r="P22" i="10" s="1"/>
  <c r="AJ21" i="10"/>
  <c r="AL21" i="10" s="1"/>
  <c r="AU21" i="10" s="1"/>
  <c r="AV21" i="10" s="1"/>
  <c r="AK23" i="10"/>
  <c r="D21" i="5"/>
  <c r="F21" i="5" s="1"/>
  <c r="G20" i="5"/>
  <c r="L26" i="5"/>
  <c r="O25" i="5"/>
  <c r="S24" i="5"/>
  <c r="V23" i="5"/>
  <c r="U21" i="5"/>
  <c r="R22" i="5"/>
  <c r="T22" i="5" s="1"/>
  <c r="K22" i="5"/>
  <c r="M22" i="5" s="1"/>
  <c r="N21" i="5"/>
  <c r="L24" i="8"/>
  <c r="O23" i="8"/>
  <c r="S23" i="8"/>
  <c r="V22" i="8"/>
  <c r="U21" i="8"/>
  <c r="R22" i="8"/>
  <c r="T22" i="8" s="1"/>
  <c r="D22" i="8"/>
  <c r="F22" i="8" s="1"/>
  <c r="G21" i="8"/>
  <c r="K21" i="8"/>
  <c r="M21" i="8" s="1"/>
  <c r="N20" i="8"/>
  <c r="H24" i="7"/>
  <c r="R21" i="7"/>
  <c r="T21" i="7" s="1"/>
  <c r="U20" i="7"/>
  <c r="K21" i="7"/>
  <c r="M21" i="7" s="1"/>
  <c r="N20" i="7"/>
  <c r="D21" i="7"/>
  <c r="F21" i="7" s="1"/>
  <c r="G20" i="7"/>
  <c r="E25" i="7"/>
  <c r="K24" i="13" l="1"/>
  <c r="M24" i="13" s="1"/>
  <c r="N23" i="13"/>
  <c r="S25" i="13"/>
  <c r="V24" i="13"/>
  <c r="R24" i="13"/>
  <c r="T24" i="13" s="1"/>
  <c r="U23" i="13"/>
  <c r="O26" i="13"/>
  <c r="L27" i="13"/>
  <c r="G22" i="13"/>
  <c r="D23" i="13"/>
  <c r="F23" i="13" s="1"/>
  <c r="V23" i="12"/>
  <c r="S24" i="12"/>
  <c r="U22" i="12"/>
  <c r="R23" i="12"/>
  <c r="T23" i="12" s="1"/>
  <c r="N22" i="12"/>
  <c r="K23" i="12"/>
  <c r="M23" i="12" s="1"/>
  <c r="L24" i="12"/>
  <c r="O23" i="12"/>
  <c r="G22" i="12"/>
  <c r="D23" i="12"/>
  <c r="F23" i="12" s="1"/>
  <c r="AW23" i="10"/>
  <c r="T22" i="10"/>
  <c r="V22" i="10" s="1"/>
  <c r="AE21" i="10"/>
  <c r="AF21" i="10" s="1"/>
  <c r="D23" i="10"/>
  <c r="F23" i="10" s="1"/>
  <c r="O23" i="10" s="1"/>
  <c r="P23" i="10" s="1"/>
  <c r="AK24" i="10"/>
  <c r="AJ22" i="10"/>
  <c r="AL22" i="10" s="1"/>
  <c r="AU22" i="10" s="1"/>
  <c r="AV22" i="10" s="1"/>
  <c r="K23" i="5"/>
  <c r="M23" i="5" s="1"/>
  <c r="N22" i="5"/>
  <c r="R23" i="5"/>
  <c r="T23" i="5" s="1"/>
  <c r="U22" i="5"/>
  <c r="S25" i="5"/>
  <c r="V24" i="5"/>
  <c r="L27" i="5"/>
  <c r="O26" i="5"/>
  <c r="G21" i="5"/>
  <c r="D22" i="5"/>
  <c r="F22" i="5" s="1"/>
  <c r="V23" i="8"/>
  <c r="S24" i="8"/>
  <c r="L25" i="8"/>
  <c r="O24" i="8"/>
  <c r="K22" i="8"/>
  <c r="M22" i="8" s="1"/>
  <c r="N21" i="8"/>
  <c r="G22" i="8"/>
  <c r="D23" i="8"/>
  <c r="F23" i="8" s="1"/>
  <c r="U22" i="8"/>
  <c r="R23" i="8"/>
  <c r="T23" i="8" s="1"/>
  <c r="H25" i="7"/>
  <c r="R22" i="7"/>
  <c r="T22" i="7" s="1"/>
  <c r="U21" i="7"/>
  <c r="K22" i="7"/>
  <c r="M22" i="7" s="1"/>
  <c r="N21" i="7"/>
  <c r="D22" i="7"/>
  <c r="F22" i="7" s="1"/>
  <c r="G21" i="7"/>
  <c r="E26" i="7"/>
  <c r="K25" i="13" l="1"/>
  <c r="M25" i="13" s="1"/>
  <c r="N24" i="13"/>
  <c r="G23" i="13"/>
  <c r="D24" i="13"/>
  <c r="F24" i="13" s="1"/>
  <c r="O27" i="13"/>
  <c r="L28" i="13"/>
  <c r="R25" i="13"/>
  <c r="T25" i="13" s="1"/>
  <c r="U24" i="13"/>
  <c r="V25" i="13"/>
  <c r="S26" i="13"/>
  <c r="D24" i="12"/>
  <c r="F24" i="12" s="1"/>
  <c r="G23" i="12"/>
  <c r="L25" i="12"/>
  <c r="O24" i="12"/>
  <c r="K24" i="12"/>
  <c r="M24" i="12" s="1"/>
  <c r="N23" i="12"/>
  <c r="U23" i="12"/>
  <c r="R24" i="12"/>
  <c r="T24" i="12" s="1"/>
  <c r="V24" i="12"/>
  <c r="S25" i="12"/>
  <c r="AW24" i="10"/>
  <c r="T23" i="10"/>
  <c r="V23" i="10" s="1"/>
  <c r="AE22" i="10"/>
  <c r="AF22" i="10" s="1"/>
  <c r="D24" i="10"/>
  <c r="F24" i="10" s="1"/>
  <c r="O24" i="10" s="1"/>
  <c r="P24" i="10" s="1"/>
  <c r="AJ23" i="10"/>
  <c r="AL23" i="10" s="1"/>
  <c r="AU23" i="10" s="1"/>
  <c r="AV23" i="10" s="1"/>
  <c r="AK25" i="10"/>
  <c r="U23" i="5"/>
  <c r="R24" i="5"/>
  <c r="T24" i="5" s="1"/>
  <c r="N23" i="5"/>
  <c r="K24" i="5"/>
  <c r="M24" i="5" s="1"/>
  <c r="D23" i="5"/>
  <c r="F23" i="5" s="1"/>
  <c r="G22" i="5"/>
  <c r="L28" i="5"/>
  <c r="O27" i="5"/>
  <c r="V25" i="5"/>
  <c r="S26" i="5"/>
  <c r="U23" i="8"/>
  <c r="R24" i="8"/>
  <c r="T24" i="8" s="1"/>
  <c r="N22" i="8"/>
  <c r="K23" i="8"/>
  <c r="M23" i="8" s="1"/>
  <c r="V24" i="8"/>
  <c r="S25" i="8"/>
  <c r="G23" i="8"/>
  <c r="D24" i="8"/>
  <c r="F24" i="8" s="1"/>
  <c r="L26" i="8"/>
  <c r="O25" i="8"/>
  <c r="H26" i="7"/>
  <c r="R23" i="7"/>
  <c r="T23" i="7" s="1"/>
  <c r="U22" i="7"/>
  <c r="K23" i="7"/>
  <c r="M23" i="7" s="1"/>
  <c r="N22" i="7"/>
  <c r="D23" i="7"/>
  <c r="F23" i="7" s="1"/>
  <c r="G22" i="7"/>
  <c r="E27" i="7"/>
  <c r="K26" i="13" l="1"/>
  <c r="M26" i="13" s="1"/>
  <c r="N25" i="13"/>
  <c r="S27" i="13"/>
  <c r="V26" i="13"/>
  <c r="L29" i="13"/>
  <c r="O28" i="13"/>
  <c r="U25" i="13"/>
  <c r="R26" i="13"/>
  <c r="T26" i="13" s="1"/>
  <c r="G24" i="13"/>
  <c r="D25" i="13"/>
  <c r="F25" i="13" s="1"/>
  <c r="N24" i="12"/>
  <c r="K25" i="12"/>
  <c r="M25" i="12" s="1"/>
  <c r="O25" i="12"/>
  <c r="L26" i="12"/>
  <c r="G24" i="12"/>
  <c r="D25" i="12"/>
  <c r="F25" i="12" s="1"/>
  <c r="V25" i="12"/>
  <c r="S26" i="12"/>
  <c r="U24" i="12"/>
  <c r="R25" i="12"/>
  <c r="T25" i="12" s="1"/>
  <c r="AW25" i="10"/>
  <c r="T24" i="10"/>
  <c r="V24" i="10" s="1"/>
  <c r="AE23" i="10"/>
  <c r="AF23" i="10" s="1"/>
  <c r="D25" i="10"/>
  <c r="F25" i="10" s="1"/>
  <c r="O25" i="10" s="1"/>
  <c r="P25" i="10" s="1"/>
  <c r="AK26" i="10"/>
  <c r="AJ24" i="10"/>
  <c r="AL24" i="10" s="1"/>
  <c r="AU24" i="10" s="1"/>
  <c r="AV24" i="10" s="1"/>
  <c r="U24" i="5"/>
  <c r="R25" i="5"/>
  <c r="T25" i="5" s="1"/>
  <c r="V26" i="5"/>
  <c r="S27" i="5"/>
  <c r="O28" i="5"/>
  <c r="L29" i="5"/>
  <c r="D24" i="5"/>
  <c r="F24" i="5" s="1"/>
  <c r="G23" i="5"/>
  <c r="N24" i="5"/>
  <c r="K25" i="5"/>
  <c r="M25" i="5" s="1"/>
  <c r="D25" i="8"/>
  <c r="F25" i="8" s="1"/>
  <c r="G24" i="8"/>
  <c r="V25" i="8"/>
  <c r="S26" i="8"/>
  <c r="K24" i="8"/>
  <c r="M24" i="8" s="1"/>
  <c r="N23" i="8"/>
  <c r="U24" i="8"/>
  <c r="R25" i="8"/>
  <c r="T25" i="8" s="1"/>
  <c r="O26" i="8"/>
  <c r="L27" i="8"/>
  <c r="H27" i="7"/>
  <c r="R24" i="7"/>
  <c r="T24" i="7" s="1"/>
  <c r="U23" i="7"/>
  <c r="K24" i="7"/>
  <c r="M24" i="7" s="1"/>
  <c r="N23" i="7"/>
  <c r="D24" i="7"/>
  <c r="F24" i="7" s="1"/>
  <c r="G23" i="7"/>
  <c r="E28" i="7"/>
  <c r="N26" i="13" l="1"/>
  <c r="K27" i="13"/>
  <c r="M27" i="13" s="1"/>
  <c r="G25" i="13"/>
  <c r="D26" i="13"/>
  <c r="F26" i="13" s="1"/>
  <c r="L30" i="13"/>
  <c r="O29" i="13"/>
  <c r="S28" i="13"/>
  <c r="V27" i="13"/>
  <c r="U26" i="13"/>
  <c r="R27" i="13"/>
  <c r="T27" i="13" s="1"/>
  <c r="D26" i="12"/>
  <c r="F26" i="12" s="1"/>
  <c r="G25" i="12"/>
  <c r="K26" i="12"/>
  <c r="M26" i="12" s="1"/>
  <c r="N25" i="12"/>
  <c r="U25" i="12"/>
  <c r="R26" i="12"/>
  <c r="T26" i="12" s="1"/>
  <c r="S27" i="12"/>
  <c r="V26" i="12"/>
  <c r="L27" i="12"/>
  <c r="O26" i="12"/>
  <c r="AW26" i="10"/>
  <c r="T25" i="10"/>
  <c r="V25" i="10" s="1"/>
  <c r="AE24" i="10"/>
  <c r="AF24" i="10" s="1"/>
  <c r="D26" i="10"/>
  <c r="F26" i="10" s="1"/>
  <c r="O26" i="10" s="1"/>
  <c r="P26" i="10" s="1"/>
  <c r="AJ25" i="10"/>
  <c r="AL25" i="10" s="1"/>
  <c r="AU25" i="10" s="1"/>
  <c r="AV25" i="10" s="1"/>
  <c r="AK27" i="10"/>
  <c r="U25" i="5"/>
  <c r="R26" i="5"/>
  <c r="T26" i="5" s="1"/>
  <c r="K26" i="5"/>
  <c r="M26" i="5" s="1"/>
  <c r="N25" i="5"/>
  <c r="G24" i="5"/>
  <c r="D25" i="5"/>
  <c r="F25" i="5" s="1"/>
  <c r="L30" i="5"/>
  <c r="O29" i="5"/>
  <c r="V27" i="5"/>
  <c r="S28" i="5"/>
  <c r="K25" i="8"/>
  <c r="M25" i="8" s="1"/>
  <c r="N24" i="8"/>
  <c r="O27" i="8"/>
  <c r="L28" i="8"/>
  <c r="U25" i="8"/>
  <c r="R26" i="8"/>
  <c r="T26" i="8" s="1"/>
  <c r="V26" i="8"/>
  <c r="S27" i="8"/>
  <c r="G25" i="8"/>
  <c r="D26" i="8"/>
  <c r="F26" i="8" s="1"/>
  <c r="H28" i="7"/>
  <c r="R25" i="7"/>
  <c r="T25" i="7" s="1"/>
  <c r="U24" i="7"/>
  <c r="K25" i="7"/>
  <c r="M25" i="7" s="1"/>
  <c r="N24" i="7"/>
  <c r="D25" i="7"/>
  <c r="F25" i="7" s="1"/>
  <c r="G24" i="7"/>
  <c r="E29" i="7"/>
  <c r="U27" i="13" l="1"/>
  <c r="R28" i="13"/>
  <c r="T28" i="13" s="1"/>
  <c r="S29" i="13"/>
  <c r="V28" i="13"/>
  <c r="L31" i="13"/>
  <c r="O30" i="13"/>
  <c r="G26" i="13"/>
  <c r="D27" i="13"/>
  <c r="F27" i="13" s="1"/>
  <c r="N27" i="13"/>
  <c r="K28" i="13"/>
  <c r="M28" i="13" s="1"/>
  <c r="G26" i="12"/>
  <c r="D27" i="12"/>
  <c r="F27" i="12" s="1"/>
  <c r="L28" i="12"/>
  <c r="O27" i="12"/>
  <c r="V27" i="12"/>
  <c r="S28" i="12"/>
  <c r="U26" i="12"/>
  <c r="R27" i="12"/>
  <c r="T27" i="12" s="1"/>
  <c r="K27" i="12"/>
  <c r="M27" i="12" s="1"/>
  <c r="N26" i="12"/>
  <c r="AW27" i="10"/>
  <c r="T26" i="10"/>
  <c r="V26" i="10" s="1"/>
  <c r="AE25" i="10"/>
  <c r="AF25" i="10" s="1"/>
  <c r="D27" i="10"/>
  <c r="F27" i="10" s="1"/>
  <c r="O27" i="10" s="1"/>
  <c r="P27" i="10" s="1"/>
  <c r="AK28" i="10"/>
  <c r="AJ26" i="10"/>
  <c r="AL26" i="10" s="1"/>
  <c r="AU26" i="10" s="1"/>
  <c r="AV26" i="10" s="1"/>
  <c r="K27" i="5"/>
  <c r="M27" i="5" s="1"/>
  <c r="N26" i="5"/>
  <c r="U26" i="5"/>
  <c r="R27" i="5"/>
  <c r="T27" i="5" s="1"/>
  <c r="V28" i="5"/>
  <c r="S29" i="5"/>
  <c r="L31" i="5"/>
  <c r="O30" i="5"/>
  <c r="G25" i="5"/>
  <c r="D26" i="5"/>
  <c r="F26" i="5" s="1"/>
  <c r="H29" i="7"/>
  <c r="V27" i="8"/>
  <c r="S28" i="8"/>
  <c r="U26" i="8"/>
  <c r="R27" i="8"/>
  <c r="T27" i="8" s="1"/>
  <c r="O28" i="8"/>
  <c r="L29" i="8"/>
  <c r="N25" i="8"/>
  <c r="K26" i="8"/>
  <c r="M26" i="8" s="1"/>
  <c r="D27" i="8"/>
  <c r="F27" i="8" s="1"/>
  <c r="G26" i="8"/>
  <c r="R26" i="7"/>
  <c r="T26" i="7" s="1"/>
  <c r="U25" i="7"/>
  <c r="K26" i="7"/>
  <c r="M26" i="7" s="1"/>
  <c r="N25" i="7"/>
  <c r="D26" i="7"/>
  <c r="F26" i="7" s="1"/>
  <c r="G25" i="7"/>
  <c r="E30" i="7"/>
  <c r="R29" i="13" l="1"/>
  <c r="T29" i="13" s="1"/>
  <c r="U28" i="13"/>
  <c r="S30" i="13"/>
  <c r="V29" i="13"/>
  <c r="K29" i="13"/>
  <c r="M29" i="13" s="1"/>
  <c r="N28" i="13"/>
  <c r="D28" i="13"/>
  <c r="F28" i="13" s="1"/>
  <c r="G27" i="13"/>
  <c r="O31" i="13"/>
  <c r="L32" i="13"/>
  <c r="S29" i="12"/>
  <c r="V28" i="12"/>
  <c r="K28" i="12"/>
  <c r="M28" i="12" s="1"/>
  <c r="N27" i="12"/>
  <c r="U27" i="12"/>
  <c r="R28" i="12"/>
  <c r="T28" i="12" s="1"/>
  <c r="L29" i="12"/>
  <c r="O28" i="12"/>
  <c r="D28" i="12"/>
  <c r="F28" i="12" s="1"/>
  <c r="G27" i="12"/>
  <c r="AW28" i="10"/>
  <c r="T27" i="10"/>
  <c r="V27" i="10" s="1"/>
  <c r="AE26" i="10"/>
  <c r="AF26" i="10" s="1"/>
  <c r="D28" i="10"/>
  <c r="F28" i="10" s="1"/>
  <c r="O28" i="10" s="1"/>
  <c r="P28" i="10" s="1"/>
  <c r="AJ27" i="10"/>
  <c r="AL27" i="10" s="1"/>
  <c r="AU27" i="10" s="1"/>
  <c r="AV27" i="10" s="1"/>
  <c r="H30" i="7"/>
  <c r="AK29" i="10"/>
  <c r="N27" i="5"/>
  <c r="K28" i="5"/>
  <c r="M28" i="5" s="1"/>
  <c r="G26" i="5"/>
  <c r="D27" i="5"/>
  <c r="F27" i="5" s="1"/>
  <c r="L32" i="5"/>
  <c r="O31" i="5"/>
  <c r="V29" i="5"/>
  <c r="S30" i="5"/>
  <c r="U27" i="5"/>
  <c r="R28" i="5"/>
  <c r="T28" i="5" s="1"/>
  <c r="G27" i="8"/>
  <c r="D28" i="8"/>
  <c r="F28" i="8" s="1"/>
  <c r="N26" i="8"/>
  <c r="K27" i="8"/>
  <c r="M27" i="8" s="1"/>
  <c r="L30" i="8"/>
  <c r="O29" i="8"/>
  <c r="R28" i="8"/>
  <c r="T28" i="8" s="1"/>
  <c r="U27" i="8"/>
  <c r="S29" i="8"/>
  <c r="V28" i="8"/>
  <c r="R27" i="7"/>
  <c r="T27" i="7" s="1"/>
  <c r="U26" i="7"/>
  <c r="K27" i="7"/>
  <c r="M27" i="7" s="1"/>
  <c r="N26" i="7"/>
  <c r="D27" i="7"/>
  <c r="F27" i="7" s="1"/>
  <c r="G26" i="7"/>
  <c r="E31" i="7"/>
  <c r="K30" i="13" l="1"/>
  <c r="M30" i="13" s="1"/>
  <c r="N29" i="13"/>
  <c r="S31" i="13"/>
  <c r="V30" i="13"/>
  <c r="R30" i="13"/>
  <c r="T30" i="13" s="1"/>
  <c r="U29" i="13"/>
  <c r="O32" i="13"/>
  <c r="L33" i="13"/>
  <c r="G28" i="13"/>
  <c r="D29" i="13"/>
  <c r="F29" i="13" s="1"/>
  <c r="R29" i="12"/>
  <c r="T29" i="12" s="1"/>
  <c r="U28" i="12"/>
  <c r="N28" i="12"/>
  <c r="K29" i="12"/>
  <c r="M29" i="12" s="1"/>
  <c r="V29" i="12"/>
  <c r="S30" i="12"/>
  <c r="G28" i="12"/>
  <c r="D29" i="12"/>
  <c r="F29" i="12" s="1"/>
  <c r="O29" i="12"/>
  <c r="L30" i="12"/>
  <c r="AW29" i="10"/>
  <c r="T28" i="10"/>
  <c r="V28" i="10" s="1"/>
  <c r="AE27" i="10"/>
  <c r="AF27" i="10" s="1"/>
  <c r="D29" i="10"/>
  <c r="F29" i="10" s="1"/>
  <c r="O29" i="10" s="1"/>
  <c r="P29" i="10" s="1"/>
  <c r="AK30" i="10"/>
  <c r="H31" i="7"/>
  <c r="AJ28" i="10"/>
  <c r="AL28" i="10" s="1"/>
  <c r="AU28" i="10" s="1"/>
  <c r="AV28" i="10" s="1"/>
  <c r="N28" i="5"/>
  <c r="K29" i="5"/>
  <c r="M29" i="5" s="1"/>
  <c r="U28" i="5"/>
  <c r="R29" i="5"/>
  <c r="T29" i="5" s="1"/>
  <c r="V30" i="5"/>
  <c r="S31" i="5"/>
  <c r="O32" i="5"/>
  <c r="L33" i="5"/>
  <c r="G27" i="5"/>
  <c r="D28" i="5"/>
  <c r="F28" i="5" s="1"/>
  <c r="O30" i="8"/>
  <c r="L31" i="8"/>
  <c r="S30" i="8"/>
  <c r="V29" i="8"/>
  <c r="R29" i="8"/>
  <c r="T29" i="8" s="1"/>
  <c r="U28" i="8"/>
  <c r="N27" i="8"/>
  <c r="K28" i="8"/>
  <c r="M28" i="8" s="1"/>
  <c r="D29" i="8"/>
  <c r="F29" i="8" s="1"/>
  <c r="G28" i="8"/>
  <c r="R28" i="7"/>
  <c r="T28" i="7" s="1"/>
  <c r="U27" i="7"/>
  <c r="K28" i="7"/>
  <c r="M28" i="7" s="1"/>
  <c r="N27" i="7"/>
  <c r="D28" i="7"/>
  <c r="F28" i="7" s="1"/>
  <c r="G27" i="7"/>
  <c r="E32" i="7"/>
  <c r="K31" i="13" l="1"/>
  <c r="M31" i="13" s="1"/>
  <c r="N30" i="13"/>
  <c r="G29" i="13"/>
  <c r="D30" i="13"/>
  <c r="F30" i="13" s="1"/>
  <c r="O33" i="13"/>
  <c r="L34" i="13"/>
  <c r="R31" i="13"/>
  <c r="T31" i="13" s="1"/>
  <c r="U30" i="13"/>
  <c r="S32" i="13"/>
  <c r="V31" i="13"/>
  <c r="S31" i="12"/>
  <c r="V30" i="12"/>
  <c r="N29" i="12"/>
  <c r="K30" i="12"/>
  <c r="M30" i="12" s="1"/>
  <c r="U29" i="12"/>
  <c r="R30" i="12"/>
  <c r="T30" i="12" s="1"/>
  <c r="L31" i="12"/>
  <c r="O30" i="12"/>
  <c r="G29" i="12"/>
  <c r="D30" i="12"/>
  <c r="F30" i="12" s="1"/>
  <c r="AW30" i="10"/>
  <c r="T29" i="10"/>
  <c r="V29" i="10" s="1"/>
  <c r="AE28" i="10"/>
  <c r="AF28" i="10" s="1"/>
  <c r="D30" i="10"/>
  <c r="F30" i="10" s="1"/>
  <c r="O30" i="10" s="1"/>
  <c r="P30" i="10" s="1"/>
  <c r="AJ29" i="10"/>
  <c r="AL29" i="10" s="1"/>
  <c r="AU29" i="10" s="1"/>
  <c r="AV29" i="10" s="1"/>
  <c r="AK31" i="10"/>
  <c r="H32" i="7"/>
  <c r="K30" i="5"/>
  <c r="M30" i="5" s="1"/>
  <c r="N29" i="5"/>
  <c r="G28" i="5"/>
  <c r="D29" i="5"/>
  <c r="F29" i="5" s="1"/>
  <c r="L34" i="5"/>
  <c r="O33" i="5"/>
  <c r="V31" i="5"/>
  <c r="S32" i="5"/>
  <c r="R30" i="5"/>
  <c r="T30" i="5" s="1"/>
  <c r="U29" i="5"/>
  <c r="N28" i="8"/>
  <c r="K29" i="8"/>
  <c r="M29" i="8" s="1"/>
  <c r="S31" i="8"/>
  <c r="V30" i="8"/>
  <c r="D30" i="8"/>
  <c r="F30" i="8" s="1"/>
  <c r="G29" i="8"/>
  <c r="R30" i="8"/>
  <c r="T30" i="8" s="1"/>
  <c r="U29" i="8"/>
  <c r="O31" i="8"/>
  <c r="L32" i="8"/>
  <c r="R29" i="7"/>
  <c r="T29" i="7" s="1"/>
  <c r="U28" i="7"/>
  <c r="K29" i="7"/>
  <c r="M29" i="7" s="1"/>
  <c r="N28" i="7"/>
  <c r="D29" i="7"/>
  <c r="F29" i="7" s="1"/>
  <c r="G28" i="7"/>
  <c r="E33" i="7"/>
  <c r="V32" i="13" l="1"/>
  <c r="S33" i="13"/>
  <c r="U31" i="13"/>
  <c r="R32" i="13"/>
  <c r="T32" i="13" s="1"/>
  <c r="L35" i="13"/>
  <c r="O34" i="13"/>
  <c r="D31" i="13"/>
  <c r="F31" i="13" s="1"/>
  <c r="G30" i="13"/>
  <c r="K32" i="13"/>
  <c r="M32" i="13" s="1"/>
  <c r="N31" i="13"/>
  <c r="D31" i="12"/>
  <c r="F31" i="12" s="1"/>
  <c r="G30" i="12"/>
  <c r="L32" i="12"/>
  <c r="O31" i="12"/>
  <c r="U30" i="12"/>
  <c r="R31" i="12"/>
  <c r="T31" i="12" s="1"/>
  <c r="K31" i="12"/>
  <c r="M31" i="12" s="1"/>
  <c r="N30" i="12"/>
  <c r="S32" i="12"/>
  <c r="V31" i="12"/>
  <c r="AW31" i="10"/>
  <c r="T30" i="10"/>
  <c r="V30" i="10" s="1"/>
  <c r="AE29" i="10"/>
  <c r="AF29" i="10" s="1"/>
  <c r="D31" i="10"/>
  <c r="F31" i="10" s="1"/>
  <c r="O31" i="10" s="1"/>
  <c r="P31" i="10" s="1"/>
  <c r="H33" i="7"/>
  <c r="AK32" i="10"/>
  <c r="AJ30" i="10"/>
  <c r="AL30" i="10" s="1"/>
  <c r="AU30" i="10" s="1"/>
  <c r="AV30" i="10" s="1"/>
  <c r="U30" i="5"/>
  <c r="R31" i="5"/>
  <c r="T31" i="5" s="1"/>
  <c r="V32" i="5"/>
  <c r="S33" i="5"/>
  <c r="L35" i="5"/>
  <c r="O34" i="5"/>
  <c r="G29" i="5"/>
  <c r="D30" i="5"/>
  <c r="F30" i="5" s="1"/>
  <c r="K31" i="5"/>
  <c r="M31" i="5" s="1"/>
  <c r="N30" i="5"/>
  <c r="R31" i="8"/>
  <c r="T31" i="8" s="1"/>
  <c r="U30" i="8"/>
  <c r="G30" i="8"/>
  <c r="D31" i="8"/>
  <c r="F31" i="8" s="1"/>
  <c r="S32" i="8"/>
  <c r="V31" i="8"/>
  <c r="N29" i="8"/>
  <c r="K30" i="8"/>
  <c r="M30" i="8" s="1"/>
  <c r="O32" i="8"/>
  <c r="L33" i="8"/>
  <c r="R30" i="7"/>
  <c r="T30" i="7" s="1"/>
  <c r="U29" i="7"/>
  <c r="K30" i="7"/>
  <c r="M30" i="7" s="1"/>
  <c r="N29" i="7"/>
  <c r="D30" i="7"/>
  <c r="F30" i="7" s="1"/>
  <c r="G29" i="7"/>
  <c r="E34" i="7"/>
  <c r="U32" i="13" l="1"/>
  <c r="R33" i="13"/>
  <c r="T33" i="13" s="1"/>
  <c r="S34" i="13"/>
  <c r="V33" i="13"/>
  <c r="N32" i="13"/>
  <c r="K33" i="13"/>
  <c r="M33" i="13" s="1"/>
  <c r="D32" i="13"/>
  <c r="F32" i="13" s="1"/>
  <c r="G31" i="13"/>
  <c r="L36" i="13"/>
  <c r="O35" i="13"/>
  <c r="D32" i="12"/>
  <c r="F32" i="12" s="1"/>
  <c r="G31" i="12"/>
  <c r="V32" i="12"/>
  <c r="S33" i="12"/>
  <c r="K32" i="12"/>
  <c r="M32" i="12" s="1"/>
  <c r="N31" i="12"/>
  <c r="U31" i="12"/>
  <c r="R32" i="12"/>
  <c r="T32" i="12" s="1"/>
  <c r="L33" i="12"/>
  <c r="O32" i="12"/>
  <c r="AW32" i="10"/>
  <c r="T31" i="10"/>
  <c r="V31" i="10" s="1"/>
  <c r="AE30" i="10"/>
  <c r="AF30" i="10" s="1"/>
  <c r="D32" i="10"/>
  <c r="F32" i="10" s="1"/>
  <c r="O32" i="10" s="1"/>
  <c r="P32" i="10" s="1"/>
  <c r="AJ31" i="10"/>
  <c r="AL31" i="10" s="1"/>
  <c r="AU31" i="10" s="1"/>
  <c r="AV31" i="10" s="1"/>
  <c r="AK33" i="10"/>
  <c r="H34" i="7"/>
  <c r="K32" i="5"/>
  <c r="M32" i="5" s="1"/>
  <c r="N31" i="5"/>
  <c r="D31" i="5"/>
  <c r="F31" i="5" s="1"/>
  <c r="G30" i="5"/>
  <c r="L36" i="5"/>
  <c r="O35" i="5"/>
  <c r="V33" i="5"/>
  <c r="S34" i="5"/>
  <c r="U31" i="5"/>
  <c r="R32" i="5"/>
  <c r="T32" i="5" s="1"/>
  <c r="K31" i="8"/>
  <c r="M31" i="8" s="1"/>
  <c r="N30" i="8"/>
  <c r="S33" i="8"/>
  <c r="V32" i="8"/>
  <c r="R32" i="8"/>
  <c r="T32" i="8" s="1"/>
  <c r="U31" i="8"/>
  <c r="O33" i="8"/>
  <c r="L34" i="8"/>
  <c r="D32" i="8"/>
  <c r="F32" i="8" s="1"/>
  <c r="G31" i="8"/>
  <c r="R31" i="7"/>
  <c r="T31" i="7" s="1"/>
  <c r="U30" i="7"/>
  <c r="K31" i="7"/>
  <c r="M31" i="7" s="1"/>
  <c r="N30" i="7"/>
  <c r="D31" i="7"/>
  <c r="F31" i="7" s="1"/>
  <c r="G30" i="7"/>
  <c r="E35" i="7"/>
  <c r="V34" i="13" l="1"/>
  <c r="S35" i="13"/>
  <c r="O36" i="13"/>
  <c r="L37" i="13"/>
  <c r="D33" i="13"/>
  <c r="F33" i="13" s="1"/>
  <c r="G32" i="13"/>
  <c r="N33" i="13"/>
  <c r="K34" i="13"/>
  <c r="M34" i="13" s="1"/>
  <c r="R34" i="13"/>
  <c r="T34" i="13" s="1"/>
  <c r="U33" i="13"/>
  <c r="S34" i="12"/>
  <c r="V33" i="12"/>
  <c r="D33" i="12"/>
  <c r="F33" i="12" s="1"/>
  <c r="G32" i="12"/>
  <c r="L34" i="12"/>
  <c r="O33" i="12"/>
  <c r="R33" i="12"/>
  <c r="T33" i="12" s="1"/>
  <c r="U32" i="12"/>
  <c r="K33" i="12"/>
  <c r="M33" i="12" s="1"/>
  <c r="N32" i="12"/>
  <c r="AW33" i="10"/>
  <c r="T32" i="10"/>
  <c r="V32" i="10" s="1"/>
  <c r="AE31" i="10"/>
  <c r="AF31" i="10" s="1"/>
  <c r="D33" i="10"/>
  <c r="F33" i="10" s="1"/>
  <c r="O33" i="10" s="1"/>
  <c r="P33" i="10" s="1"/>
  <c r="AK34" i="10"/>
  <c r="AJ32" i="10"/>
  <c r="AL32" i="10" s="1"/>
  <c r="AU32" i="10" s="1"/>
  <c r="AV32" i="10" s="1"/>
  <c r="H35" i="7"/>
  <c r="L37" i="5"/>
  <c r="O36" i="5"/>
  <c r="D32" i="5"/>
  <c r="F32" i="5" s="1"/>
  <c r="G31" i="5"/>
  <c r="K33" i="5"/>
  <c r="M33" i="5" s="1"/>
  <c r="N32" i="5"/>
  <c r="U32" i="5"/>
  <c r="R33" i="5"/>
  <c r="T33" i="5" s="1"/>
  <c r="V34" i="5"/>
  <c r="S35" i="5"/>
  <c r="O34" i="8"/>
  <c r="L35" i="8"/>
  <c r="D33" i="8"/>
  <c r="F33" i="8" s="1"/>
  <c r="G32" i="8"/>
  <c r="V33" i="8"/>
  <c r="S34" i="8"/>
  <c r="R33" i="8"/>
  <c r="T33" i="8" s="1"/>
  <c r="U32" i="8"/>
  <c r="N31" i="8"/>
  <c r="K32" i="8"/>
  <c r="M32" i="8" s="1"/>
  <c r="R32" i="7"/>
  <c r="T32" i="7" s="1"/>
  <c r="U31" i="7"/>
  <c r="K32" i="7"/>
  <c r="M32" i="7" s="1"/>
  <c r="N31" i="7"/>
  <c r="D32" i="7"/>
  <c r="F32" i="7" s="1"/>
  <c r="G31" i="7"/>
  <c r="E36" i="7"/>
  <c r="G33" i="13" l="1"/>
  <c r="D34" i="13"/>
  <c r="F34" i="13" s="1"/>
  <c r="S36" i="13"/>
  <c r="V35" i="13"/>
  <c r="U34" i="13"/>
  <c r="R35" i="13"/>
  <c r="T35" i="13" s="1"/>
  <c r="K35" i="13"/>
  <c r="M35" i="13" s="1"/>
  <c r="N34" i="13"/>
  <c r="O37" i="13"/>
  <c r="L38" i="13"/>
  <c r="O34" i="12"/>
  <c r="L35" i="12"/>
  <c r="G33" i="12"/>
  <c r="D34" i="12"/>
  <c r="F34" i="12" s="1"/>
  <c r="S35" i="12"/>
  <c r="V34" i="12"/>
  <c r="K34" i="12"/>
  <c r="M34" i="12" s="1"/>
  <c r="N33" i="12"/>
  <c r="R34" i="12"/>
  <c r="T34" i="12" s="1"/>
  <c r="U33" i="12"/>
  <c r="AW34" i="10"/>
  <c r="T33" i="10"/>
  <c r="V33" i="10" s="1"/>
  <c r="AE32" i="10"/>
  <c r="AF32" i="10" s="1"/>
  <c r="D34" i="10"/>
  <c r="F34" i="10" s="1"/>
  <c r="O34" i="10" s="1"/>
  <c r="P34" i="10" s="1"/>
  <c r="AJ33" i="10"/>
  <c r="AL33" i="10" s="1"/>
  <c r="AU33" i="10" s="1"/>
  <c r="AV33" i="10" s="1"/>
  <c r="AK35" i="10"/>
  <c r="H36" i="7"/>
  <c r="D33" i="5"/>
  <c r="F33" i="5" s="1"/>
  <c r="G32" i="5"/>
  <c r="O37" i="5"/>
  <c r="L38" i="5"/>
  <c r="V35" i="5"/>
  <c r="S36" i="5"/>
  <c r="R34" i="5"/>
  <c r="T34" i="5" s="1"/>
  <c r="U33" i="5"/>
  <c r="K34" i="5"/>
  <c r="M34" i="5" s="1"/>
  <c r="N33" i="5"/>
  <c r="U33" i="8"/>
  <c r="R34" i="8"/>
  <c r="T34" i="8" s="1"/>
  <c r="S35" i="8"/>
  <c r="V34" i="8"/>
  <c r="D34" i="8"/>
  <c r="F34" i="8" s="1"/>
  <c r="G33" i="8"/>
  <c r="O35" i="8"/>
  <c r="L36" i="8"/>
  <c r="K33" i="8"/>
  <c r="M33" i="8" s="1"/>
  <c r="N32" i="8"/>
  <c r="R33" i="7"/>
  <c r="T33" i="7" s="1"/>
  <c r="U32" i="7"/>
  <c r="K33" i="7"/>
  <c r="M33" i="7" s="1"/>
  <c r="N32" i="7"/>
  <c r="D33" i="7"/>
  <c r="F33" i="7" s="1"/>
  <c r="G32" i="7"/>
  <c r="E37" i="7"/>
  <c r="S37" i="13" l="1"/>
  <c r="V36" i="13"/>
  <c r="L39" i="13"/>
  <c r="O38" i="13"/>
  <c r="K36" i="13"/>
  <c r="M36" i="13" s="1"/>
  <c r="N35" i="13"/>
  <c r="U35" i="13"/>
  <c r="R36" i="13"/>
  <c r="T36" i="13" s="1"/>
  <c r="G34" i="13"/>
  <c r="D35" i="13"/>
  <c r="F35" i="13" s="1"/>
  <c r="L36" i="12"/>
  <c r="O35" i="12"/>
  <c r="R35" i="12"/>
  <c r="T35" i="12" s="1"/>
  <c r="U34" i="12"/>
  <c r="K35" i="12"/>
  <c r="M35" i="12" s="1"/>
  <c r="N34" i="12"/>
  <c r="S36" i="12"/>
  <c r="V35" i="12"/>
  <c r="G34" i="12"/>
  <c r="D35" i="12"/>
  <c r="F35" i="12" s="1"/>
  <c r="AW35" i="10"/>
  <c r="T34" i="10"/>
  <c r="V34" i="10" s="1"/>
  <c r="AE33" i="10"/>
  <c r="AF33" i="10" s="1"/>
  <c r="D35" i="10"/>
  <c r="F35" i="10" s="1"/>
  <c r="O35" i="10" s="1"/>
  <c r="P35" i="10" s="1"/>
  <c r="AK36" i="10"/>
  <c r="H37" i="7"/>
  <c r="AJ34" i="10"/>
  <c r="AL34" i="10" s="1"/>
  <c r="AU34" i="10" s="1"/>
  <c r="AV34" i="10" s="1"/>
  <c r="K35" i="5"/>
  <c r="M35" i="5" s="1"/>
  <c r="N34" i="5"/>
  <c r="R35" i="5"/>
  <c r="T35" i="5" s="1"/>
  <c r="U34" i="5"/>
  <c r="V36" i="5"/>
  <c r="S37" i="5"/>
  <c r="O38" i="5"/>
  <c r="L39" i="5"/>
  <c r="G33" i="5"/>
  <c r="D34" i="5"/>
  <c r="F34" i="5" s="1"/>
  <c r="N33" i="8"/>
  <c r="K34" i="8"/>
  <c r="M34" i="8" s="1"/>
  <c r="O36" i="8"/>
  <c r="L37" i="8"/>
  <c r="G34" i="8"/>
  <c r="D35" i="8"/>
  <c r="F35" i="8" s="1"/>
  <c r="V35" i="8"/>
  <c r="S36" i="8"/>
  <c r="U34" i="8"/>
  <c r="R35" i="8"/>
  <c r="T35" i="8" s="1"/>
  <c r="R34" i="7"/>
  <c r="T34" i="7" s="1"/>
  <c r="U33" i="7"/>
  <c r="D34" i="7"/>
  <c r="F34" i="7" s="1"/>
  <c r="G33" i="7"/>
  <c r="K34" i="7"/>
  <c r="M34" i="7" s="1"/>
  <c r="N33" i="7"/>
  <c r="E38" i="7"/>
  <c r="K37" i="13" l="1"/>
  <c r="M37" i="13" s="1"/>
  <c r="N36" i="13"/>
  <c r="O39" i="13"/>
  <c r="L40" i="13"/>
  <c r="V37" i="13"/>
  <c r="S38" i="13"/>
  <c r="G35" i="13"/>
  <c r="D36" i="13"/>
  <c r="F36" i="13" s="1"/>
  <c r="R37" i="13"/>
  <c r="T37" i="13" s="1"/>
  <c r="U36" i="13"/>
  <c r="G35" i="12"/>
  <c r="D36" i="12"/>
  <c r="F36" i="12" s="1"/>
  <c r="V36" i="12"/>
  <c r="S37" i="12"/>
  <c r="K36" i="12"/>
  <c r="M36" i="12" s="1"/>
  <c r="N35" i="12"/>
  <c r="U35" i="12"/>
  <c r="R36" i="12"/>
  <c r="T36" i="12" s="1"/>
  <c r="O36" i="12"/>
  <c r="L37" i="12"/>
  <c r="AW36" i="10"/>
  <c r="T35" i="10"/>
  <c r="V35" i="10" s="1"/>
  <c r="AE34" i="10"/>
  <c r="AF34" i="10" s="1"/>
  <c r="D36" i="10"/>
  <c r="F36" i="10" s="1"/>
  <c r="O36" i="10" s="1"/>
  <c r="P36" i="10" s="1"/>
  <c r="AJ35" i="10"/>
  <c r="AL35" i="10" s="1"/>
  <c r="AU35" i="10" s="1"/>
  <c r="AV35" i="10" s="1"/>
  <c r="H38" i="7"/>
  <c r="AK37" i="10"/>
  <c r="U35" i="5"/>
  <c r="R36" i="5"/>
  <c r="T36" i="5" s="1"/>
  <c r="G34" i="5"/>
  <c r="D35" i="5"/>
  <c r="F35" i="5" s="1"/>
  <c r="O39" i="5"/>
  <c r="L40" i="5"/>
  <c r="S38" i="5"/>
  <c r="V37" i="5"/>
  <c r="K36" i="5"/>
  <c r="M36" i="5" s="1"/>
  <c r="N35" i="5"/>
  <c r="N34" i="8"/>
  <c r="K35" i="8"/>
  <c r="M35" i="8" s="1"/>
  <c r="U35" i="8"/>
  <c r="R36" i="8"/>
  <c r="T36" i="8" s="1"/>
  <c r="V36" i="8"/>
  <c r="S37" i="8"/>
  <c r="D36" i="8"/>
  <c r="F36" i="8" s="1"/>
  <c r="G35" i="8"/>
  <c r="L38" i="8"/>
  <c r="O37" i="8"/>
  <c r="R35" i="7"/>
  <c r="T35" i="7" s="1"/>
  <c r="U34" i="7"/>
  <c r="K35" i="7"/>
  <c r="M35" i="7" s="1"/>
  <c r="N34" i="7"/>
  <c r="D35" i="7"/>
  <c r="F35" i="7" s="1"/>
  <c r="G34" i="7"/>
  <c r="E39" i="7"/>
  <c r="K38" i="13" l="1"/>
  <c r="M38" i="13" s="1"/>
  <c r="N37" i="13"/>
  <c r="R38" i="13"/>
  <c r="T38" i="13" s="1"/>
  <c r="U37" i="13"/>
  <c r="G36" i="13"/>
  <c r="D37" i="13"/>
  <c r="F37" i="13" s="1"/>
  <c r="S39" i="13"/>
  <c r="V38" i="13"/>
  <c r="L41" i="13"/>
  <c r="O40" i="13"/>
  <c r="D37" i="12"/>
  <c r="F37" i="12" s="1"/>
  <c r="G36" i="12"/>
  <c r="L38" i="12"/>
  <c r="O37" i="12"/>
  <c r="R37" i="12"/>
  <c r="T37" i="12" s="1"/>
  <c r="U36" i="12"/>
  <c r="K37" i="12"/>
  <c r="M37" i="12" s="1"/>
  <c r="N36" i="12"/>
  <c r="S38" i="12"/>
  <c r="V37" i="12"/>
  <c r="AW37" i="10"/>
  <c r="T36" i="10"/>
  <c r="V36" i="10" s="1"/>
  <c r="AE35" i="10"/>
  <c r="AF35" i="10" s="1"/>
  <c r="D37" i="10"/>
  <c r="F37" i="10" s="1"/>
  <c r="O37" i="10" s="1"/>
  <c r="P37" i="10" s="1"/>
  <c r="AK38" i="10"/>
  <c r="AJ36" i="10"/>
  <c r="AL36" i="10" s="1"/>
  <c r="AU36" i="10" s="1"/>
  <c r="AV36" i="10" s="1"/>
  <c r="H39" i="7"/>
  <c r="R37" i="5"/>
  <c r="T37" i="5" s="1"/>
  <c r="U36" i="5"/>
  <c r="K37" i="5"/>
  <c r="M37" i="5" s="1"/>
  <c r="N36" i="5"/>
  <c r="S39" i="5"/>
  <c r="V38" i="5"/>
  <c r="G35" i="5"/>
  <c r="D36" i="5"/>
  <c r="F36" i="5" s="1"/>
  <c r="L41" i="5"/>
  <c r="O40" i="5"/>
  <c r="N35" i="8"/>
  <c r="K36" i="8"/>
  <c r="M36" i="8" s="1"/>
  <c r="O38" i="8"/>
  <c r="L39" i="8"/>
  <c r="D37" i="8"/>
  <c r="F37" i="8" s="1"/>
  <c r="G36" i="8"/>
  <c r="S38" i="8"/>
  <c r="V37" i="8"/>
  <c r="U36" i="8"/>
  <c r="R37" i="8"/>
  <c r="T37" i="8" s="1"/>
  <c r="R36" i="7"/>
  <c r="T36" i="7" s="1"/>
  <c r="U35" i="7"/>
  <c r="D36" i="7"/>
  <c r="F36" i="7" s="1"/>
  <c r="G35" i="7"/>
  <c r="K36" i="7"/>
  <c r="M36" i="7" s="1"/>
  <c r="N35" i="7"/>
  <c r="E40" i="7"/>
  <c r="R39" i="13" l="1"/>
  <c r="T39" i="13" s="1"/>
  <c r="U38" i="13"/>
  <c r="O41" i="13"/>
  <c r="L42" i="13"/>
  <c r="S40" i="13"/>
  <c r="V39" i="13"/>
  <c r="D38" i="13"/>
  <c r="F38" i="13" s="1"/>
  <c r="G37" i="13"/>
  <c r="N38" i="13"/>
  <c r="K39" i="13"/>
  <c r="M39" i="13" s="1"/>
  <c r="R38" i="12"/>
  <c r="T38" i="12" s="1"/>
  <c r="U37" i="12"/>
  <c r="D38" i="12"/>
  <c r="F38" i="12" s="1"/>
  <c r="G37" i="12"/>
  <c r="S39" i="12"/>
  <c r="V38" i="12"/>
  <c r="K38" i="12"/>
  <c r="M38" i="12" s="1"/>
  <c r="N37" i="12"/>
  <c r="L39" i="12"/>
  <c r="O38" i="12"/>
  <c r="AW38" i="10"/>
  <c r="T37" i="10"/>
  <c r="V37" i="10" s="1"/>
  <c r="AE36" i="10"/>
  <c r="AF36" i="10" s="1"/>
  <c r="D38" i="10"/>
  <c r="F38" i="10" s="1"/>
  <c r="O38" i="10" s="1"/>
  <c r="P38" i="10" s="1"/>
  <c r="AJ37" i="10"/>
  <c r="AL37" i="10" s="1"/>
  <c r="AU37" i="10" s="1"/>
  <c r="AV37" i="10" s="1"/>
  <c r="AK39" i="10"/>
  <c r="H40" i="7"/>
  <c r="V39" i="5"/>
  <c r="S40" i="5"/>
  <c r="G36" i="5"/>
  <c r="D37" i="5"/>
  <c r="F37" i="5" s="1"/>
  <c r="N37" i="5"/>
  <c r="K38" i="5"/>
  <c r="M38" i="5" s="1"/>
  <c r="L42" i="5"/>
  <c r="O41" i="5"/>
  <c r="R38" i="5"/>
  <c r="T38" i="5" s="1"/>
  <c r="U37" i="5"/>
  <c r="N36" i="8"/>
  <c r="K37" i="8"/>
  <c r="M37" i="8" s="1"/>
  <c r="R38" i="8"/>
  <c r="T38" i="8" s="1"/>
  <c r="U37" i="8"/>
  <c r="S39" i="8"/>
  <c r="V38" i="8"/>
  <c r="D38" i="8"/>
  <c r="F38" i="8" s="1"/>
  <c r="G37" i="8"/>
  <c r="O39" i="8"/>
  <c r="L40" i="8"/>
  <c r="R37" i="7"/>
  <c r="T37" i="7" s="1"/>
  <c r="U36" i="7"/>
  <c r="K37" i="7"/>
  <c r="M37" i="7" s="1"/>
  <c r="N36" i="7"/>
  <c r="D37" i="7"/>
  <c r="F37" i="7" s="1"/>
  <c r="G36" i="7"/>
  <c r="E41" i="7"/>
  <c r="K40" i="13" l="1"/>
  <c r="M40" i="13" s="1"/>
  <c r="N39" i="13"/>
  <c r="D39" i="13"/>
  <c r="F39" i="13" s="1"/>
  <c r="G38" i="13"/>
  <c r="S41" i="13"/>
  <c r="V40" i="13"/>
  <c r="O42" i="13"/>
  <c r="L43" i="13"/>
  <c r="R40" i="13"/>
  <c r="T40" i="13" s="1"/>
  <c r="U39" i="13"/>
  <c r="R39" i="12"/>
  <c r="T39" i="12" s="1"/>
  <c r="U38" i="12"/>
  <c r="L40" i="12"/>
  <c r="O39" i="12"/>
  <c r="K39" i="12"/>
  <c r="M39" i="12" s="1"/>
  <c r="N38" i="12"/>
  <c r="S40" i="12"/>
  <c r="V39" i="12"/>
  <c r="D39" i="12"/>
  <c r="F39" i="12" s="1"/>
  <c r="G38" i="12"/>
  <c r="AW39" i="10"/>
  <c r="T38" i="10"/>
  <c r="V38" i="10" s="1"/>
  <c r="AE37" i="10"/>
  <c r="AF37" i="10" s="1"/>
  <c r="D39" i="10"/>
  <c r="F39" i="10" s="1"/>
  <c r="O39" i="10" s="1"/>
  <c r="P39" i="10" s="1"/>
  <c r="AK40" i="10"/>
  <c r="AJ38" i="10"/>
  <c r="AL38" i="10" s="1"/>
  <c r="AU38" i="10" s="1"/>
  <c r="AV38" i="10" s="1"/>
  <c r="H41" i="7"/>
  <c r="U38" i="5"/>
  <c r="R39" i="5"/>
  <c r="T39" i="5" s="1"/>
  <c r="L43" i="5"/>
  <c r="O42" i="5"/>
  <c r="N38" i="5"/>
  <c r="K39" i="5"/>
  <c r="M39" i="5" s="1"/>
  <c r="G37" i="5"/>
  <c r="D38" i="5"/>
  <c r="F38" i="5" s="1"/>
  <c r="V40" i="5"/>
  <c r="S41" i="5"/>
  <c r="R39" i="8"/>
  <c r="T39" i="8" s="1"/>
  <c r="U38" i="8"/>
  <c r="N37" i="8"/>
  <c r="K38" i="8"/>
  <c r="M38" i="8" s="1"/>
  <c r="L41" i="8"/>
  <c r="O40" i="8"/>
  <c r="D39" i="8"/>
  <c r="F39" i="8" s="1"/>
  <c r="G38" i="8"/>
  <c r="V39" i="8"/>
  <c r="S40" i="8"/>
  <c r="R38" i="7"/>
  <c r="T38" i="7" s="1"/>
  <c r="U37" i="7"/>
  <c r="D38" i="7"/>
  <c r="F38" i="7" s="1"/>
  <c r="G37" i="7"/>
  <c r="K38" i="7"/>
  <c r="M38" i="7" s="1"/>
  <c r="N37" i="7"/>
  <c r="E42" i="7"/>
  <c r="V41" i="13" l="1"/>
  <c r="S42" i="13"/>
  <c r="G39" i="13"/>
  <c r="D40" i="13"/>
  <c r="F40" i="13" s="1"/>
  <c r="K41" i="13"/>
  <c r="M41" i="13" s="1"/>
  <c r="N40" i="13"/>
  <c r="R41" i="13"/>
  <c r="T41" i="13" s="1"/>
  <c r="U40" i="13"/>
  <c r="O43" i="13"/>
  <c r="L44" i="13"/>
  <c r="H42" i="7"/>
  <c r="R40" i="12"/>
  <c r="T40" i="12" s="1"/>
  <c r="U39" i="12"/>
  <c r="G39" i="12"/>
  <c r="D40" i="12"/>
  <c r="F40" i="12" s="1"/>
  <c r="V40" i="12"/>
  <c r="S41" i="12"/>
  <c r="K40" i="12"/>
  <c r="M40" i="12" s="1"/>
  <c r="N39" i="12"/>
  <c r="L41" i="12"/>
  <c r="O40" i="12"/>
  <c r="AW40" i="10"/>
  <c r="T39" i="10"/>
  <c r="V39" i="10" s="1"/>
  <c r="AE38" i="10"/>
  <c r="AF38" i="10" s="1"/>
  <c r="D40" i="10"/>
  <c r="F40" i="10" s="1"/>
  <c r="O40" i="10" s="1"/>
  <c r="P40" i="10" s="1"/>
  <c r="AJ39" i="10"/>
  <c r="AL39" i="10" s="1"/>
  <c r="AU39" i="10" s="1"/>
  <c r="AV39" i="10" s="1"/>
  <c r="AK41" i="10"/>
  <c r="V41" i="5"/>
  <c r="S42" i="5"/>
  <c r="D39" i="5"/>
  <c r="F39" i="5" s="1"/>
  <c r="G38" i="5"/>
  <c r="K40" i="5"/>
  <c r="M40" i="5" s="1"/>
  <c r="N39" i="5"/>
  <c r="L44" i="5"/>
  <c r="O43" i="5"/>
  <c r="U39" i="5"/>
  <c r="R40" i="5"/>
  <c r="T40" i="5" s="1"/>
  <c r="U39" i="8"/>
  <c r="R40" i="8"/>
  <c r="T40" i="8" s="1"/>
  <c r="V40" i="8"/>
  <c r="S41" i="8"/>
  <c r="G39" i="8"/>
  <c r="D40" i="8"/>
  <c r="F40" i="8" s="1"/>
  <c r="L42" i="8"/>
  <c r="O41" i="8"/>
  <c r="K39" i="8"/>
  <c r="M39" i="8" s="1"/>
  <c r="N38" i="8"/>
  <c r="R39" i="7"/>
  <c r="T39" i="7" s="1"/>
  <c r="U38" i="7"/>
  <c r="K39" i="7"/>
  <c r="M39" i="7" s="1"/>
  <c r="N38" i="7"/>
  <c r="D39" i="7"/>
  <c r="F39" i="7" s="1"/>
  <c r="G38" i="7"/>
  <c r="E43" i="7"/>
  <c r="O44" i="13" l="1"/>
  <c r="S43" i="13"/>
  <c r="V42" i="13"/>
  <c r="R42" i="13"/>
  <c r="T42" i="13" s="1"/>
  <c r="U41" i="13"/>
  <c r="K42" i="13"/>
  <c r="M42" i="13" s="1"/>
  <c r="N41" i="13"/>
  <c r="G40" i="13"/>
  <c r="D41" i="13"/>
  <c r="F41" i="13" s="1"/>
  <c r="H43" i="7"/>
  <c r="U40" i="12"/>
  <c r="R41" i="12"/>
  <c r="T41" i="12" s="1"/>
  <c r="L42" i="12"/>
  <c r="O41" i="12"/>
  <c r="K41" i="12"/>
  <c r="M41" i="12" s="1"/>
  <c r="N40" i="12"/>
  <c r="V41" i="12"/>
  <c r="S42" i="12"/>
  <c r="G40" i="12"/>
  <c r="D41" i="12"/>
  <c r="F41" i="12" s="1"/>
  <c r="AW41" i="10"/>
  <c r="T40" i="10"/>
  <c r="V40" i="10" s="1"/>
  <c r="AE39" i="10"/>
  <c r="AF39" i="10" s="1"/>
  <c r="D41" i="10"/>
  <c r="F41" i="10" s="1"/>
  <c r="O41" i="10" s="1"/>
  <c r="P41" i="10" s="1"/>
  <c r="AK42" i="10"/>
  <c r="AJ40" i="10"/>
  <c r="AL40" i="10" s="1"/>
  <c r="AU40" i="10" s="1"/>
  <c r="AV40" i="10" s="1"/>
  <c r="O44" i="5"/>
  <c r="D40" i="5"/>
  <c r="F40" i="5" s="1"/>
  <c r="G39" i="5"/>
  <c r="U40" i="5"/>
  <c r="R41" i="5"/>
  <c r="T41" i="5" s="1"/>
  <c r="N40" i="5"/>
  <c r="K41" i="5"/>
  <c r="M41" i="5" s="1"/>
  <c r="V42" i="5"/>
  <c r="S43" i="5"/>
  <c r="U40" i="8"/>
  <c r="R41" i="8"/>
  <c r="T41" i="8" s="1"/>
  <c r="K40" i="8"/>
  <c r="M40" i="8" s="1"/>
  <c r="N39" i="8"/>
  <c r="O42" i="8"/>
  <c r="L43" i="8"/>
  <c r="D41" i="8"/>
  <c r="F41" i="8" s="1"/>
  <c r="G40" i="8"/>
  <c r="V41" i="8"/>
  <c r="S42" i="8"/>
  <c r="R40" i="7"/>
  <c r="T40" i="7" s="1"/>
  <c r="U39" i="7"/>
  <c r="D40" i="7"/>
  <c r="F40" i="7" s="1"/>
  <c r="G39" i="7"/>
  <c r="K40" i="7"/>
  <c r="M40" i="7" s="1"/>
  <c r="N39" i="7"/>
  <c r="E44" i="7"/>
  <c r="E47" i="7" s="1"/>
  <c r="N42" i="13" l="1"/>
  <c r="K43" i="13"/>
  <c r="M43" i="13" s="1"/>
  <c r="S44" i="13"/>
  <c r="V43" i="13"/>
  <c r="G41" i="13"/>
  <c r="D42" i="13"/>
  <c r="F42" i="13" s="1"/>
  <c r="U42" i="13"/>
  <c r="R43" i="13"/>
  <c r="T43" i="13" s="1"/>
  <c r="D42" i="12"/>
  <c r="F42" i="12" s="1"/>
  <c r="G41" i="12"/>
  <c r="S43" i="12"/>
  <c r="V42" i="12"/>
  <c r="K42" i="12"/>
  <c r="M42" i="12" s="1"/>
  <c r="N41" i="12"/>
  <c r="L43" i="12"/>
  <c r="O42" i="12"/>
  <c r="U41" i="12"/>
  <c r="R42" i="12"/>
  <c r="T42" i="12" s="1"/>
  <c r="AW42" i="10"/>
  <c r="T41" i="10"/>
  <c r="V41" i="10" s="1"/>
  <c r="AE40" i="10"/>
  <c r="AF40" i="10" s="1"/>
  <c r="D42" i="10"/>
  <c r="F42" i="10" s="1"/>
  <c r="O42" i="10" s="1"/>
  <c r="P42" i="10" s="1"/>
  <c r="AJ41" i="10"/>
  <c r="AL41" i="10" s="1"/>
  <c r="AU41" i="10" s="1"/>
  <c r="AV41" i="10" s="1"/>
  <c r="AK43" i="10"/>
  <c r="U43" i="10"/>
  <c r="AG43" i="10" s="1"/>
  <c r="H44" i="7"/>
  <c r="V43" i="5"/>
  <c r="S44" i="5"/>
  <c r="K42" i="5"/>
  <c r="M42" i="5" s="1"/>
  <c r="N41" i="5"/>
  <c r="R42" i="5"/>
  <c r="T42" i="5" s="1"/>
  <c r="U41" i="5"/>
  <c r="G40" i="5"/>
  <c r="D41" i="5"/>
  <c r="F41" i="5" s="1"/>
  <c r="K41" i="8"/>
  <c r="M41" i="8" s="1"/>
  <c r="N40" i="8"/>
  <c r="U41" i="8"/>
  <c r="R42" i="8"/>
  <c r="T42" i="8" s="1"/>
  <c r="S43" i="8"/>
  <c r="V42" i="8"/>
  <c r="G41" i="8"/>
  <c r="D42" i="8"/>
  <c r="F42" i="8" s="1"/>
  <c r="O43" i="8"/>
  <c r="L44" i="8"/>
  <c r="R41" i="7"/>
  <c r="T41" i="7" s="1"/>
  <c r="U40" i="7"/>
  <c r="K41" i="7"/>
  <c r="M41" i="7" s="1"/>
  <c r="N40" i="7"/>
  <c r="D41" i="7"/>
  <c r="F41" i="7" s="1"/>
  <c r="G40" i="7"/>
  <c r="V44" i="13" l="1"/>
  <c r="R44" i="13"/>
  <c r="T44" i="13" s="1"/>
  <c r="U44" i="13" s="1"/>
  <c r="U43" i="13"/>
  <c r="D43" i="13"/>
  <c r="F43" i="13" s="1"/>
  <c r="G42" i="13"/>
  <c r="N43" i="13"/>
  <c r="K44" i="13"/>
  <c r="M44" i="13" s="1"/>
  <c r="N44" i="13" s="1"/>
  <c r="L44" i="12"/>
  <c r="O43" i="12"/>
  <c r="V43" i="12"/>
  <c r="S44" i="12"/>
  <c r="V44" i="12" s="1"/>
  <c r="R43" i="12"/>
  <c r="T43" i="12" s="1"/>
  <c r="U42" i="12"/>
  <c r="K43" i="12"/>
  <c r="M43" i="12" s="1"/>
  <c r="N42" i="12"/>
  <c r="G42" i="12"/>
  <c r="D43" i="12"/>
  <c r="F43" i="12" s="1"/>
  <c r="AW43" i="10"/>
  <c r="O44" i="8"/>
  <c r="V44" i="5"/>
  <c r="T42" i="10"/>
  <c r="V42" i="10" s="1"/>
  <c r="AE42" i="10" s="1"/>
  <c r="AF42" i="10" s="1"/>
  <c r="AE41" i="10"/>
  <c r="AF41" i="10" s="1"/>
  <c r="AK44" i="10"/>
  <c r="U44" i="10"/>
  <c r="AG44" i="10" s="1"/>
  <c r="D43" i="10"/>
  <c r="F43" i="10" s="1"/>
  <c r="O43" i="10" s="1"/>
  <c r="P43" i="10" s="1"/>
  <c r="AJ42" i="10"/>
  <c r="AL42" i="10" s="1"/>
  <c r="AU42" i="10" s="1"/>
  <c r="AV42" i="10" s="1"/>
  <c r="G41" i="5"/>
  <c r="D42" i="5"/>
  <c r="F42" i="5" s="1"/>
  <c r="R43" i="5"/>
  <c r="T43" i="5" s="1"/>
  <c r="U42" i="5"/>
  <c r="K43" i="5"/>
  <c r="M43" i="5" s="1"/>
  <c r="N42" i="5"/>
  <c r="G42" i="8"/>
  <c r="D43" i="8"/>
  <c r="F43" i="8" s="1"/>
  <c r="S44" i="8"/>
  <c r="V43" i="8"/>
  <c r="U42" i="8"/>
  <c r="R43" i="8"/>
  <c r="T43" i="8" s="1"/>
  <c r="N41" i="8"/>
  <c r="K42" i="8"/>
  <c r="M42" i="8" s="1"/>
  <c r="R42" i="7"/>
  <c r="T42" i="7" s="1"/>
  <c r="U41" i="7"/>
  <c r="D42" i="7"/>
  <c r="F42" i="7" s="1"/>
  <c r="G41" i="7"/>
  <c r="K42" i="7"/>
  <c r="M42" i="7" s="1"/>
  <c r="N41" i="7"/>
  <c r="S18" i="1" l="1"/>
  <c r="S19" i="1"/>
  <c r="T19" i="1"/>
  <c r="T18" i="1"/>
  <c r="D44" i="13"/>
  <c r="F44" i="13" s="1"/>
  <c r="G44" i="13" s="1"/>
  <c r="G43" i="13"/>
  <c r="O44" i="12"/>
  <c r="D44" i="12"/>
  <c r="F44" i="12" s="1"/>
  <c r="G44" i="12" s="1"/>
  <c r="G43" i="12"/>
  <c r="N43" i="12"/>
  <c r="K44" i="12"/>
  <c r="M44" i="12" s="1"/>
  <c r="N44" i="12" s="1"/>
  <c r="R44" i="12"/>
  <c r="T44" i="12" s="1"/>
  <c r="U44" i="12" s="1"/>
  <c r="U43" i="12"/>
  <c r="AW44" i="10"/>
  <c r="T43" i="10"/>
  <c r="V43" i="10" s="1"/>
  <c r="AE43" i="10" s="1"/>
  <c r="AF43" i="10" s="1"/>
  <c r="AJ43" i="10"/>
  <c r="AL43" i="10" s="1"/>
  <c r="AU43" i="10" s="1"/>
  <c r="AV43" i="10" s="1"/>
  <c r="D44" i="10"/>
  <c r="F44" i="10" s="1"/>
  <c r="O44" i="10" s="1"/>
  <c r="P44" i="10" s="1"/>
  <c r="U43" i="5"/>
  <c r="R44" i="5"/>
  <c r="T44" i="5" s="1"/>
  <c r="U44" i="5" s="1"/>
  <c r="G42" i="5"/>
  <c r="D43" i="5"/>
  <c r="F43" i="5" s="1"/>
  <c r="N43" i="5"/>
  <c r="K44" i="5"/>
  <c r="M44" i="5" s="1"/>
  <c r="N44" i="5" s="1"/>
  <c r="V44" i="8"/>
  <c r="D44" i="8"/>
  <c r="F44" i="8" s="1"/>
  <c r="G44" i="8" s="1"/>
  <c r="G43" i="8"/>
  <c r="N42" i="8"/>
  <c r="K43" i="8"/>
  <c r="M43" i="8" s="1"/>
  <c r="U43" i="8"/>
  <c r="R44" i="8"/>
  <c r="T44" i="8" s="1"/>
  <c r="U44" i="8" s="1"/>
  <c r="R43" i="7"/>
  <c r="T43" i="7" s="1"/>
  <c r="U42" i="7"/>
  <c r="K43" i="7"/>
  <c r="M43" i="7" s="1"/>
  <c r="N42" i="7"/>
  <c r="D43" i="7"/>
  <c r="F43" i="7" s="1"/>
  <c r="G42" i="7"/>
  <c r="R18" i="1" l="1"/>
  <c r="R19" i="1"/>
  <c r="T30" i="1"/>
  <c r="T29" i="1"/>
  <c r="S30" i="1"/>
  <c r="S29" i="1"/>
  <c r="R30" i="1"/>
  <c r="R29" i="1"/>
  <c r="T44" i="10"/>
  <c r="V44" i="10" s="1"/>
  <c r="AE44" i="10" s="1"/>
  <c r="AF44" i="10" s="1"/>
  <c r="S35" i="1" s="1"/>
  <c r="T25" i="1"/>
  <c r="T24" i="1"/>
  <c r="R35" i="1"/>
  <c r="R34" i="1"/>
  <c r="T40" i="1"/>
  <c r="T39" i="1"/>
  <c r="R25" i="1"/>
  <c r="R24" i="1"/>
  <c r="S40" i="1"/>
  <c r="S39" i="1"/>
  <c r="AJ44" i="10"/>
  <c r="AL44" i="10" s="1"/>
  <c r="AU44" i="10" s="1"/>
  <c r="AV44" i="10" s="1"/>
  <c r="D44" i="5"/>
  <c r="F44" i="5" s="1"/>
  <c r="G44" i="5" s="1"/>
  <c r="G43" i="5"/>
  <c r="N43" i="8"/>
  <c r="K44" i="8"/>
  <c r="M44" i="8" s="1"/>
  <c r="N44" i="8" s="1"/>
  <c r="R44" i="7"/>
  <c r="T44" i="7" s="1"/>
  <c r="U44" i="7" s="1"/>
  <c r="U43" i="7"/>
  <c r="D44" i="7"/>
  <c r="F44" i="7" s="1"/>
  <c r="G44" i="7" s="1"/>
  <c r="G43" i="7"/>
  <c r="K44" i="7"/>
  <c r="M44" i="7" s="1"/>
  <c r="N44" i="7" s="1"/>
  <c r="N43" i="7"/>
  <c r="S34" i="1" l="1"/>
  <c r="R46" i="1"/>
  <c r="T34" i="1"/>
  <c r="T35" i="1"/>
  <c r="R39" i="1"/>
  <c r="R40" i="1"/>
  <c r="S25" i="1"/>
  <c r="S24" i="1"/>
  <c r="T45" i="1"/>
  <c r="T46" i="1"/>
  <c r="S45" i="1"/>
  <c r="S46" i="1"/>
  <c r="R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A3CCB9-2981-4153-89F6-C3DF13E14586}" name="Connection" type="4" refreshedVersion="8" background="1" saveData="1">
    <webPr sourceData="1" parsePre="1" consecutive="1" url="https://finance.yahoo.com/quotes/SWTSX,MSFT,AAPL,AMZN,NVDA,META,TSLA,%5EGSPC,%5ETNX,INR=X,VBMFX,VTSMX,COKE,VUSTX/view/v1?guccounter=1" htmlTables="1"/>
  </connection>
</connections>
</file>

<file path=xl/sharedStrings.xml><?xml version="1.0" encoding="utf-8"?>
<sst xmlns="http://schemas.openxmlformats.org/spreadsheetml/2006/main" count="358" uniqueCount="118">
  <si>
    <t>Starting Portfolio</t>
  </si>
  <si>
    <t>Financial Goal</t>
  </si>
  <si>
    <t>Mean</t>
  </si>
  <si>
    <t>95Per</t>
  </si>
  <si>
    <t>5Per</t>
  </si>
  <si>
    <t>MSFT</t>
  </si>
  <si>
    <t>End Port</t>
  </si>
  <si>
    <t>-</t>
  </si>
  <si>
    <t>INR</t>
  </si>
  <si>
    <t>INR=X</t>
  </si>
  <si>
    <t>USD</t>
  </si>
  <si>
    <t>TSLA</t>
  </si>
  <si>
    <t>META</t>
  </si>
  <si>
    <t>NVDA</t>
  </si>
  <si>
    <t>AMZN</t>
  </si>
  <si>
    <t>AAPL</t>
  </si>
  <si>
    <t>SWTSX</t>
  </si>
  <si>
    <t>Market Cap</t>
  </si>
  <si>
    <t>Day Chart</t>
  </si>
  <si>
    <t>52-Wk Range</t>
  </si>
  <si>
    <t>Day Range</t>
  </si>
  <si>
    <t>Avg Vol (3m)</t>
  </si>
  <si>
    <t>Shares</t>
  </si>
  <si>
    <t>Volume</t>
  </si>
  <si>
    <t>Market Time</t>
  </si>
  <si>
    <t>Currency</t>
  </si>
  <si>
    <t>Chg %</t>
  </si>
  <si>
    <t>Change</t>
  </si>
  <si>
    <t>Last Price</t>
  </si>
  <si>
    <t>Symbol</t>
  </si>
  <si>
    <t>Addl Invst</t>
  </si>
  <si>
    <t>5 Percentile Scenario</t>
  </si>
  <si>
    <t>Mean(50) Percentile Scenario</t>
  </si>
  <si>
    <t>95 Percentile Scenario</t>
  </si>
  <si>
    <t>Note: 5Per, Mean, 95Per Returns are from Monte Carlo Simulation Run with 10K Iterations &amp; 40 Yrs predicted data</t>
  </si>
  <si>
    <t>Start Portf</t>
  </si>
  <si>
    <t>Your Contributions</t>
  </si>
  <si>
    <t>Goal</t>
  </si>
  <si>
    <t>Year Goal Attained</t>
  </si>
  <si>
    <t>Your Contribution</t>
  </si>
  <si>
    <t>Self Contr</t>
  </si>
  <si>
    <t>SelfContr</t>
  </si>
  <si>
    <t>Annual Income Increase %</t>
  </si>
  <si>
    <t>VTSMX</t>
  </si>
  <si>
    <t>VBMFX</t>
  </si>
  <si>
    <t>^GSPC</t>
  </si>
  <si>
    <t>^TNX</t>
  </si>
  <si>
    <t>1:59PM CDT</t>
  </si>
  <si>
    <t>RISK PROFILE: HIGH  (Invest in Individual Equity Stocks - MSFT)</t>
  </si>
  <si>
    <t>5 Percentile Scenario - VTSMX</t>
  </si>
  <si>
    <t>End Port Mix</t>
  </si>
  <si>
    <t>Mean(50) Percentile Scenario - VTSMX</t>
  </si>
  <si>
    <t>95 Percentile Scenario - VTSMX</t>
  </si>
  <si>
    <t>RISK PROFILE: MED-HIGH  (Invest in MIX AAP )</t>
  </si>
  <si>
    <t>(Inputs)</t>
  </si>
  <si>
    <t>Target Savings from Income</t>
  </si>
  <si>
    <t>Annual Income (post-tax)</t>
  </si>
  <si>
    <t>For a given Financial goal, shows the earliest year</t>
  </si>
  <si>
    <t xml:space="preserve">  when you will attain the goal across different</t>
  </si>
  <si>
    <t xml:space="preserve">  along with a mixture of all of them.</t>
  </si>
  <si>
    <t>Use the blue color cells to change the values to see</t>
  </si>
  <si>
    <t xml:space="preserve">   the impact on your meeting of the goals</t>
  </si>
  <si>
    <t>RISK PROFILE: MED  (Invest in SWTSX AAP )</t>
  </si>
  <si>
    <t>COKE</t>
  </si>
  <si>
    <t>5 Percentile Scenario - COKE</t>
  </si>
  <si>
    <t>Mean(50) Percentile Scenario - COKE</t>
  </si>
  <si>
    <t>95 Percentile Scenario - COKE</t>
  </si>
  <si>
    <t>RISK PROFILE: HIGH  (Invest in Individual Equity Stocks - COKE</t>
  </si>
  <si>
    <t>VUSTX</t>
  </si>
  <si>
    <t>8:01PM EDT</t>
  </si>
  <si>
    <t>15.15B</t>
  </si>
  <si>
    <t>4:00PM EDT</t>
  </si>
  <si>
    <t>5 Percentile Scenario - VUSTX</t>
  </si>
  <si>
    <t>Mean(50) Percentile Scenario - VUSTX</t>
  </si>
  <si>
    <t>95 Percentile Scenario - VUSTX</t>
  </si>
  <si>
    <t>RISK PROFILE: LOW  (Invest in US Treasuries - VUSTX)</t>
  </si>
  <si>
    <t>RISK PROFILE: MEDIUM (Invest in Equity Index Funds - VTSMX)</t>
  </si>
  <si>
    <t xml:space="preserve">  asset types of Treasuries, Equity Index Funds, Individual Stocks</t>
  </si>
  <si>
    <t>Financial Planner Asset Allocation Plan (FPAAP)- Prediction across Asset Types</t>
  </si>
  <si>
    <t>** For MIX AAP scenario, following assumptions made:</t>
  </si>
  <si>
    <t xml:space="preserve">    using Monte Carlo simulations / Brownian Motion</t>
  </si>
  <si>
    <t xml:space="preserve">   Using the max Historical prices as input,</t>
  </si>
  <si>
    <t xml:space="preserve">   predicts the next 40 years' worth of Stock price data</t>
  </si>
  <si>
    <t xml:space="preserve">  for 5th Percentile, 50th Percentile &amp; 95th Percentile performance</t>
  </si>
  <si>
    <t>Covariance is assumed to be perfect 1 among different asset classes</t>
  </si>
  <si>
    <t>Num Days</t>
  </si>
  <si>
    <t>Num Sims</t>
  </si>
  <si>
    <t>Curr Price</t>
  </si>
  <si>
    <t>Year</t>
  </si>
  <si>
    <t>Quantile (5%)</t>
  </si>
  <si>
    <t>Expected Mean Price</t>
  </si>
  <si>
    <t>Quantile (95%)</t>
  </si>
  <si>
    <t>5 Per</t>
  </si>
  <si>
    <t>95 Per</t>
  </si>
  <si>
    <t>26.9M</t>
  </si>
  <si>
    <t>18.999M</t>
  </si>
  <si>
    <t>3.322T</t>
  </si>
  <si>
    <t>77.839M</t>
  </si>
  <si>
    <t>68.352M</t>
  </si>
  <si>
    <t>3.23T</t>
  </si>
  <si>
    <t>76.636M</t>
  </si>
  <si>
    <t>41.628M</t>
  </si>
  <si>
    <t>2.011T</t>
  </si>
  <si>
    <t>307.333M</t>
  </si>
  <si>
    <t>431.177M</t>
  </si>
  <si>
    <t>3.039T</t>
  </si>
  <si>
    <t>15.723M</t>
  </si>
  <si>
    <t>15.024M</t>
  </si>
  <si>
    <t>1.279T</t>
  </si>
  <si>
    <t>95.139M</t>
  </si>
  <si>
    <t>88.153M</t>
  </si>
  <si>
    <t>631.079B</t>
  </si>
  <si>
    <t>5:05PM EDT</t>
  </si>
  <si>
    <t>4.191B</t>
  </si>
  <si>
    <t>3.883B</t>
  </si>
  <si>
    <t>4:20AM BST</t>
  </si>
  <si>
    <t>1.103T</t>
  </si>
  <si>
    <t>10.155B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</si>
</sst>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]&quot;$&quot;\ ###\,###\,##0;[&gt;=100000]&quot;$&quot;\ ###\,##0;&quot;$&quot;\ #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5" borderId="0" xfId="0" applyFill="1"/>
    <xf numFmtId="0" fontId="4" fillId="5" borderId="0" xfId="0" applyFont="1" applyFill="1" applyAlignment="1">
      <alignment horizontal="center"/>
    </xf>
    <xf numFmtId="9" fontId="0" fillId="6" borderId="0" xfId="0" applyNumberFormat="1" applyFill="1"/>
    <xf numFmtId="164" fontId="0" fillId="6" borderId="0" xfId="0" applyNumberFormat="1" applyFill="1"/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9" fontId="0" fillId="5" borderId="0" xfId="0" applyNumberFormat="1" applyFill="1"/>
    <xf numFmtId="0" fontId="3" fillId="0" borderId="2" xfId="3"/>
    <xf numFmtId="0" fontId="4" fillId="0" borderId="0" xfId="0" applyFont="1"/>
    <xf numFmtId="164" fontId="0" fillId="5" borderId="0" xfId="0" applyNumberFormat="1" applyFill="1"/>
    <xf numFmtId="164" fontId="2" fillId="2" borderId="1" xfId="2" applyNumberFormat="1"/>
    <xf numFmtId="10" fontId="3" fillId="0" borderId="10" xfId="3" applyNumberFormat="1" applyBorder="1"/>
    <xf numFmtId="164" fontId="2" fillId="2" borderId="11" xfId="2" applyNumberFormat="1" applyBorder="1"/>
    <xf numFmtId="164" fontId="2" fillId="2" borderId="12" xfId="2" applyNumberFormat="1" applyBorder="1"/>
    <xf numFmtId="164" fontId="2" fillId="2" borderId="13" xfId="2" applyNumberForma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164" fontId="2" fillId="2" borderId="0" xfId="2" applyNumberFormat="1" applyBorder="1"/>
    <xf numFmtId="0" fontId="0" fillId="5" borderId="0" xfId="0" applyFill="1" applyAlignment="1">
      <alignment horizontal="center"/>
    </xf>
    <xf numFmtId="0" fontId="5" fillId="0" borderId="0" xfId="5"/>
    <xf numFmtId="4" fontId="0" fillId="0" borderId="0" xfId="0" applyNumberFormat="1"/>
    <xf numFmtId="0" fontId="4" fillId="4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2" fillId="2" borderId="15" xfId="2" applyNumberFormat="1" applyBorder="1"/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164" fontId="2" fillId="5" borderId="15" xfId="2" applyNumberFormat="1" applyFill="1" applyBorder="1"/>
    <xf numFmtId="164" fontId="2" fillId="5" borderId="16" xfId="2" applyNumberFormat="1" applyFill="1" applyBorder="1"/>
    <xf numFmtId="0" fontId="0" fillId="5" borderId="0" xfId="0" applyFill="1" applyAlignment="1">
      <alignment horizontal="right"/>
    </xf>
    <xf numFmtId="9" fontId="0" fillId="6" borderId="0" xfId="0" applyNumberFormat="1" applyFill="1" applyAlignment="1">
      <alignment horizontal="left"/>
    </xf>
    <xf numFmtId="9" fontId="0" fillId="4" borderId="0" xfId="0" applyNumberFormat="1" applyFill="1"/>
    <xf numFmtId="9" fontId="0" fillId="5" borderId="0" xfId="0" applyNumberFormat="1" applyFill="1" applyAlignment="1">
      <alignment horizontal="left"/>
    </xf>
    <xf numFmtId="0" fontId="4" fillId="5" borderId="0" xfId="0" applyFont="1" applyFill="1"/>
    <xf numFmtId="0" fontId="6" fillId="5" borderId="0" xfId="0" applyFont="1" applyFill="1" applyAlignment="1">
      <alignment horizontal="right"/>
    </xf>
    <xf numFmtId="164" fontId="6" fillId="6" borderId="0" xfId="0" applyNumberFormat="1" applyFont="1" applyFill="1"/>
    <xf numFmtId="3" fontId="0" fillId="0" borderId="0" xfId="0" applyNumberFormat="1"/>
    <xf numFmtId="0" fontId="7" fillId="5" borderId="0" xfId="0" applyFont="1" applyFill="1"/>
    <xf numFmtId="0" fontId="7" fillId="5" borderId="0" xfId="0" quotePrefix="1" applyFont="1" applyFill="1"/>
    <xf numFmtId="0" fontId="7" fillId="0" borderId="0" xfId="0" applyFont="1"/>
    <xf numFmtId="10" fontId="0" fillId="5" borderId="0" xfId="0" applyNumberFormat="1" applyFill="1"/>
    <xf numFmtId="0" fontId="7" fillId="6" borderId="0" xfId="0" applyFont="1" applyFill="1" applyAlignment="1">
      <alignment horizontal="right"/>
    </xf>
    <xf numFmtId="0" fontId="8" fillId="0" borderId="17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10" fontId="4" fillId="0" borderId="0" xfId="1" applyNumberFormat="1" applyFont="1"/>
    <xf numFmtId="0" fontId="4" fillId="7" borderId="0" xfId="0" applyFont="1" applyFill="1" applyAlignment="1">
      <alignment horizontal="center"/>
    </xf>
    <xf numFmtId="0" fontId="0" fillId="3" borderId="4" xfId="4" applyFont="1" applyBorder="1" applyAlignment="1">
      <alignment horizontal="center"/>
    </xf>
    <xf numFmtId="0" fontId="0" fillId="3" borderId="0" xfId="4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0" xfId="0" applyFill="1" applyProtection="1">
      <protection hidden="1"/>
    </xf>
    <xf numFmtId="0" fontId="0" fillId="0" borderId="0" xfId="0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5" borderId="0" xfId="0" applyFill="1" applyAlignment="1" applyProtection="1">
      <alignment horizontal="right"/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</cellXfs>
  <cellStyles count="6">
    <cellStyle name="Calculation" xfId="2" builtinId="22"/>
    <cellStyle name="Hyperlink" xfId="5" builtinId="8"/>
    <cellStyle name="Linked Cell" xfId="3" builtinId="24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US Treasuries (VUSTX)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Summary!$Q$19</c:f>
              <c:strCache>
                <c:ptCount val="1"/>
                <c:pt idx="0">
                  <c:v>Your Contribution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Summary!$R$17:$T$17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Summary!$R$19:$T$19</c:f>
              <c:numCache>
                <c:formatCode>[&gt;=1000000]"$"\ ###\,###\,##0;[&gt;=100000]"$"\ ###\,##0;"$"\ ##,##0</c:formatCode>
                <c:ptCount val="3"/>
                <c:pt idx="0">
                  <c:v>2729151.3743662606</c:v>
                </c:pt>
                <c:pt idx="1">
                  <c:v>2013149.0415974904</c:v>
                </c:pt>
                <c:pt idx="2">
                  <c:v>1816499.1287249911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D-440D-A9AB-24DB0420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16416"/>
        <c:axId val="1159018336"/>
      </c:barChart>
      <c:lineChart>
        <c:grouping val="standard"/>
        <c:varyColors val="0"/>
        <c:ser>
          <c:idx val="0"/>
          <c:order val="0"/>
          <c:tx>
            <c:strRef>
              <c:f>Summary!$Q$18</c:f>
              <c:strCache>
                <c:ptCount val="1"/>
                <c:pt idx="0">
                  <c:v>Year Goal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Summary!$R$17:$T$17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Summary!$R$18:$T$18</c:f>
              <c:numCache>
                <c:formatCode>General</c:formatCode>
                <c:ptCount val="3"/>
                <c:pt idx="0">
                  <c:v>2054</c:v>
                </c:pt>
                <c:pt idx="1">
                  <c:v>2051</c:v>
                </c:pt>
                <c:pt idx="2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40D-A9AB-24DB0420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387440"/>
        <c:axId val="696388880"/>
      </c:lineChart>
      <c:catAx>
        <c:axId val="11590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18336"/>
        <c:crosses val="autoZero"/>
        <c:auto val="1"/>
        <c:lblAlgn val="ctr"/>
        <c:lblOffset val="100"/>
        <c:noMultiLvlLbl val="0"/>
      </c:catAx>
      <c:valAx>
        <c:axId val="11590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&quot;$&quot;\ ###\,###\,##0;[&gt;=100000]&quot;$&quot;\ ###\,##0;&quot;$&quot;\ 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16416"/>
        <c:crosses val="autoZero"/>
        <c:crossBetween val="between"/>
      </c:valAx>
      <c:valAx>
        <c:axId val="69638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7440"/>
        <c:crosses val="max"/>
        <c:crossBetween val="between"/>
      </c:valAx>
      <c:catAx>
        <c:axId val="69638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38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Index Equity Fund (VTSMX)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Summary!$Q$25</c:f>
              <c:strCache>
                <c:ptCount val="1"/>
                <c:pt idx="0">
                  <c:v>Your Contribution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Summary!$R$23:$T$23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Summary!$R$25:$T$25</c:f>
              <c:numCache>
                <c:formatCode>[&gt;=1000000]"$"\ ###\,###\,##0;[&gt;=100000]"$"\ ###\,##0;"$"\ ##,##0</c:formatCode>
                <c:ptCount val="3"/>
                <c:pt idx="0">
                  <c:v>2013149.0415974904</c:v>
                </c:pt>
                <c:pt idx="1">
                  <c:v>2013149.0415974904</c:v>
                </c:pt>
                <c:pt idx="2">
                  <c:v>767386.3567262186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8-4BD4-8851-0C8EEBB6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19296"/>
        <c:axId val="720501920"/>
      </c:barChart>
      <c:lineChart>
        <c:grouping val="standard"/>
        <c:varyColors val="0"/>
        <c:ser>
          <c:idx val="0"/>
          <c:order val="0"/>
          <c:tx>
            <c:strRef>
              <c:f>Summary!$Q$24</c:f>
              <c:strCache>
                <c:ptCount val="1"/>
                <c:pt idx="0">
                  <c:v>Year Goal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Summary!$R$23:$T$23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Summary!$R$24:$T$24</c:f>
              <c:numCache>
                <c:formatCode>General</c:formatCode>
                <c:ptCount val="3"/>
                <c:pt idx="0">
                  <c:v>2051</c:v>
                </c:pt>
                <c:pt idx="1">
                  <c:v>2051</c:v>
                </c:pt>
                <c:pt idx="2">
                  <c:v>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8-4BD4-8851-0C8EEBB6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952176"/>
        <c:axId val="698951696"/>
      </c:lineChart>
      <c:catAx>
        <c:axId val="11590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1920"/>
        <c:crosses val="autoZero"/>
        <c:auto val="1"/>
        <c:lblAlgn val="ctr"/>
        <c:lblOffset val="100"/>
        <c:noMultiLvlLbl val="0"/>
      </c:catAx>
      <c:valAx>
        <c:axId val="7205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&quot;$&quot;\ ###\,###\,##0;[&gt;=100000]&quot;$&quot;\ ###\,##0;&quot;$&quot;\ 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19296"/>
        <c:crosses val="autoZero"/>
        <c:crossBetween val="between"/>
      </c:valAx>
      <c:valAx>
        <c:axId val="69895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52176"/>
        <c:crosses val="max"/>
        <c:crossBetween val="between"/>
      </c:valAx>
      <c:catAx>
        <c:axId val="69895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95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Equity (MSFT)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Summary!$Q$40</c:f>
              <c:strCache>
                <c:ptCount val="1"/>
                <c:pt idx="0">
                  <c:v>Your Contribution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Summary!$R$38:$T$38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Summary!$R$40:$T$40</c:f>
              <c:numCache>
                <c:formatCode>[&gt;=1000000]"$"\ ###\,###\,##0;[&gt;=100000]"$"\ ###\,##0;"$"\ ##,##0</c:formatCode>
                <c:ptCount val="3"/>
                <c:pt idx="0">
                  <c:v>1816499.1287249911</c:v>
                </c:pt>
                <c:pt idx="1">
                  <c:v>419624.75037486164</c:v>
                </c:pt>
                <c:pt idx="2">
                  <c:v>320764.25650815008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245-9D7E-A7BAB35A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351040"/>
        <c:axId val="716351520"/>
      </c:barChart>
      <c:lineChart>
        <c:grouping val="standard"/>
        <c:varyColors val="0"/>
        <c:ser>
          <c:idx val="0"/>
          <c:order val="0"/>
          <c:tx>
            <c:strRef>
              <c:f>Summary!$Q$39</c:f>
              <c:strCache>
                <c:ptCount val="1"/>
                <c:pt idx="0">
                  <c:v>Year Goal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Summary!$R$38:$T$38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Summary!$R$39:$T$39</c:f>
              <c:numCache>
                <c:formatCode>General</c:formatCode>
                <c:ptCount val="3"/>
                <c:pt idx="0">
                  <c:v>2050</c:v>
                </c:pt>
                <c:pt idx="1">
                  <c:v>2037</c:v>
                </c:pt>
                <c:pt idx="2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B-4245-9D7E-A7BAB35A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47712"/>
        <c:axId val="1133752032"/>
      </c:lineChart>
      <c:catAx>
        <c:axId val="7163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51520"/>
        <c:crosses val="autoZero"/>
        <c:auto val="1"/>
        <c:lblAlgn val="ctr"/>
        <c:lblOffset val="100"/>
        <c:noMultiLvlLbl val="0"/>
      </c:catAx>
      <c:valAx>
        <c:axId val="716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&quot;$&quot;\ ###\,###\,##0;[&gt;=100000]&quot;$&quot;\ ###\,##0;&quot;$&quot;\ 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51040"/>
        <c:crosses val="autoZero"/>
        <c:crossBetween val="between"/>
      </c:valAx>
      <c:valAx>
        <c:axId val="113375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47712"/>
        <c:crosses val="max"/>
        <c:crossBetween val="between"/>
      </c:valAx>
      <c:catAx>
        <c:axId val="1133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375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MIX </a:t>
            </a:r>
            <a:r>
              <a:rPr lang="en-IN" sz="1000"/>
              <a:t>*(broad assumptions made)</a:t>
            </a:r>
            <a:r>
              <a:rPr lang="en-IN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Summary!$Q$35</c:f>
              <c:strCache>
                <c:ptCount val="1"/>
                <c:pt idx="0">
                  <c:v>Your Contribution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Summary!$R$33:$T$33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Summary!$R$35:$T$35</c:f>
              <c:numCache>
                <c:formatCode>[&gt;=1000000]"$"\ ###\,###\,##0;[&gt;=100000]"$"\ ###\,##0;"$"\ ##,##0</c:formatCode>
                <c:ptCount val="3"/>
                <c:pt idx="0">
                  <c:v>2214463.9457572405</c:v>
                </c:pt>
                <c:pt idx="1">
                  <c:v>1312459.9013711431</c:v>
                </c:pt>
                <c:pt idx="2">
                  <c:v>945037.49163872492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A-4AA6-8227-4650A17F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81584"/>
        <c:axId val="685020928"/>
      </c:barChart>
      <c:lineChart>
        <c:grouping val="standard"/>
        <c:varyColors val="0"/>
        <c:ser>
          <c:idx val="0"/>
          <c:order val="0"/>
          <c:tx>
            <c:strRef>
              <c:f>Summary!$Q$34</c:f>
              <c:strCache>
                <c:ptCount val="1"/>
                <c:pt idx="0">
                  <c:v>Year Goal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Summary!$R$33:$T$33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Summary!$R$34:$T$34</c:f>
              <c:numCache>
                <c:formatCode>General</c:formatCode>
                <c:ptCount val="3"/>
                <c:pt idx="0">
                  <c:v>2051</c:v>
                </c:pt>
                <c:pt idx="1">
                  <c:v>2046</c:v>
                </c:pt>
                <c:pt idx="2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A-4AA6-8227-4650A17F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384080"/>
        <c:axId val="696386000"/>
      </c:lineChart>
      <c:catAx>
        <c:axId val="7002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20928"/>
        <c:crosses val="autoZero"/>
        <c:auto val="1"/>
        <c:lblAlgn val="ctr"/>
        <c:lblOffset val="100"/>
        <c:noMultiLvlLbl val="0"/>
      </c:catAx>
      <c:valAx>
        <c:axId val="6850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&quot;$&quot;\ ###\,###\,##0;[&gt;=100000]&quot;$&quot;\ ###\,##0;&quot;$&quot;\ 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1584"/>
        <c:crosses val="autoZero"/>
        <c:crossBetween val="between"/>
      </c:valAx>
      <c:valAx>
        <c:axId val="69638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4080"/>
        <c:crosses val="max"/>
        <c:crossBetween val="between"/>
      </c:valAx>
      <c:catAx>
        <c:axId val="6963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38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Direct Equity (COKE)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Summary!$Q$30</c:f>
              <c:strCache>
                <c:ptCount val="1"/>
                <c:pt idx="0">
                  <c:v>Your Contribution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Summary!$R$28:$T$28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Summary!$R$30:$T$30</c:f>
              <c:numCache>
                <c:formatCode>[&gt;=1000000]"$"\ ###\,###\,##0;[&gt;=100000]"$"\ ###\,##0;"$"\ ##,##0</c:formatCode>
                <c:ptCount val="3"/>
                <c:pt idx="0">
                  <c:v>2729151.3743662606</c:v>
                </c:pt>
                <c:pt idx="1">
                  <c:v>960037.49163872458</c:v>
                </c:pt>
                <c:pt idx="2">
                  <c:v>767386.3567262186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9-4EE3-BFB1-9F682C33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129120"/>
        <c:axId val="1904130080"/>
      </c:barChart>
      <c:lineChart>
        <c:grouping val="standard"/>
        <c:varyColors val="0"/>
        <c:ser>
          <c:idx val="0"/>
          <c:order val="0"/>
          <c:tx>
            <c:strRef>
              <c:f>Summary!$Q$29</c:f>
              <c:strCache>
                <c:ptCount val="1"/>
                <c:pt idx="0">
                  <c:v>Year Goal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Summary!$R$28:$T$28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Summary!$R$29:$T$29</c:f>
              <c:numCache>
                <c:formatCode>General</c:formatCode>
                <c:ptCount val="3"/>
                <c:pt idx="0">
                  <c:v>2054</c:v>
                </c:pt>
                <c:pt idx="1">
                  <c:v>2044</c:v>
                </c:pt>
                <c:pt idx="2">
                  <c:v>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9-4EE3-BFB1-9F682C33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951072"/>
        <c:axId val="1162942912"/>
      </c:lineChart>
      <c:catAx>
        <c:axId val="19041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30080"/>
        <c:crosses val="autoZero"/>
        <c:auto val="1"/>
        <c:lblAlgn val="ctr"/>
        <c:lblOffset val="100"/>
        <c:noMultiLvlLbl val="0"/>
      </c:catAx>
      <c:valAx>
        <c:axId val="1904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&quot;$&quot;\ ###\,###\,##0;[&gt;=100000]&quot;$&quot;\ ###\,##0;&quot;$&quot;\ 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29120"/>
        <c:crosses val="autoZero"/>
        <c:crossBetween val="between"/>
      </c:valAx>
      <c:valAx>
        <c:axId val="116294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51072"/>
        <c:crosses val="max"/>
        <c:crossBetween val="between"/>
      </c:valAx>
      <c:catAx>
        <c:axId val="11629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94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Index</a:t>
            </a:r>
            <a:r>
              <a:rPr lang="en-IN" sz="1200" baseline="0"/>
              <a:t> Equity Fund (</a:t>
            </a:r>
            <a:r>
              <a:rPr lang="en-IN" sz="1200"/>
              <a:t>SWTSX)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Summary!$Q$46</c:f>
              <c:strCache>
                <c:ptCount val="1"/>
                <c:pt idx="0">
                  <c:v>Your Contribution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Summary!$R$44:$T$44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Summary!$R$46:$T$46</c:f>
              <c:numCache>
                <c:formatCode>[&gt;=1000000]"$"\ ###\,###\,##0;[&gt;=100000]"$"\ ###\,##0;"$"\ ##,##0</c:formatCode>
                <c:ptCount val="3"/>
                <c:pt idx="0">
                  <c:v>2013149.0415974904</c:v>
                </c:pt>
                <c:pt idx="1">
                  <c:v>1193145.3648828568</c:v>
                </c:pt>
                <c:pt idx="2">
                  <c:v>859124.99239884049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7-4015-B01D-68C0B5A3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305008"/>
        <c:axId val="1422308368"/>
      </c:barChart>
      <c:lineChart>
        <c:grouping val="standard"/>
        <c:varyColors val="0"/>
        <c:ser>
          <c:idx val="0"/>
          <c:order val="0"/>
          <c:tx>
            <c:strRef>
              <c:f>Summary!$Q$45</c:f>
              <c:strCache>
                <c:ptCount val="1"/>
                <c:pt idx="0">
                  <c:v>Year Goal Attained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Summary!$R$44:$T$44</c:f>
              <c:strCache>
                <c:ptCount val="3"/>
                <c:pt idx="0">
                  <c:v>5Per</c:v>
                </c:pt>
                <c:pt idx="1">
                  <c:v>Mean</c:v>
                </c:pt>
                <c:pt idx="2">
                  <c:v>95Per</c:v>
                </c:pt>
              </c:strCache>
            </c:strRef>
          </c:cat>
          <c:val>
            <c:numRef>
              <c:f>Summary!$R$45:$T$45</c:f>
              <c:numCache>
                <c:formatCode>General</c:formatCode>
                <c:ptCount val="3"/>
                <c:pt idx="0">
                  <c:v>2051</c:v>
                </c:pt>
                <c:pt idx="1">
                  <c:v>2046</c:v>
                </c:pt>
                <c:pt idx="2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015-B01D-68C0B5A3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233664"/>
        <c:axId val="1584466576"/>
      </c:lineChart>
      <c:catAx>
        <c:axId val="14223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8368"/>
        <c:crosses val="autoZero"/>
        <c:auto val="1"/>
        <c:lblAlgn val="ctr"/>
        <c:lblOffset val="100"/>
        <c:noMultiLvlLbl val="0"/>
      </c:catAx>
      <c:valAx>
        <c:axId val="14223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&quot;$&quot;\ ###\,###\,##0;[&gt;=100000]&quot;$&quot;\ ###\,##0;&quot;$&quot;\ 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05008"/>
        <c:crosses val="autoZero"/>
        <c:crossBetween val="between"/>
      </c:valAx>
      <c:valAx>
        <c:axId val="158446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33664"/>
        <c:crosses val="max"/>
        <c:crossBetween val="between"/>
      </c:valAx>
      <c:catAx>
        <c:axId val="15872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46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41910</xdr:rowOff>
    </xdr:from>
    <xdr:to>
      <xdr:col>7</xdr:col>
      <xdr:colOff>773430</xdr:colOff>
      <xdr:row>17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C92A8F-70DD-4D6F-991D-512BA6FE0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232410</xdr:colOff>
      <xdr:row>3</xdr:row>
      <xdr:rowOff>68580</xdr:rowOff>
    </xdr:from>
    <xdr:to>
      <xdr:col>13</xdr:col>
      <xdr:colOff>400050</xdr:colOff>
      <xdr:row>17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A7DE30-36E3-46D9-BCC0-091770FAA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36</xdr:row>
      <xdr:rowOff>140970</xdr:rowOff>
    </xdr:from>
    <xdr:to>
      <xdr:col>7</xdr:col>
      <xdr:colOff>670560</xdr:colOff>
      <xdr:row>50</xdr:row>
      <xdr:rowOff>41910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F5509-128D-4928-ACBA-F84E0E90D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232410</xdr:colOff>
      <xdr:row>20</xdr:row>
      <xdr:rowOff>83820</xdr:rowOff>
    </xdr:from>
    <xdr:to>
      <xdr:col>13</xdr:col>
      <xdr:colOff>407670</xdr:colOff>
      <xdr:row>33</xdr:row>
      <xdr:rowOff>156210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516329-FAD0-4280-851B-E115903B4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689610</xdr:colOff>
      <xdr:row>20</xdr:row>
      <xdr:rowOff>30480</xdr:rowOff>
    </xdr:from>
    <xdr:to>
      <xdr:col>8</xdr:col>
      <xdr:colOff>236220</xdr:colOff>
      <xdr:row>33</xdr:row>
      <xdr:rowOff>140970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E65035-C73A-DB49-1EAD-6635BDBE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209550</xdr:colOff>
      <xdr:row>36</xdr:row>
      <xdr:rowOff>152400</xdr:rowOff>
    </xdr:from>
    <xdr:to>
      <xdr:col>13</xdr:col>
      <xdr:colOff>438150</xdr:colOff>
      <xdr:row>50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1BEE0-1476-2592-29C7-3F0A1CBB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akhar\Finance\SWTSX_MCSims_Summary_10k_40Yrs.xlsx" TargetMode="External"/><Relationship Id="rId1" Type="http://schemas.openxmlformats.org/officeDocument/2006/relationships/externalLinkPath" Target="SWTSX_MCSims_Summary_10k_40Y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CSummary"/>
    </sheetNames>
    <sheetDataSet>
      <sheetData sheetId="0">
        <row r="1">
          <cell r="D1" t="str">
            <v>Year</v>
          </cell>
          <cell r="I1" t="str">
            <v>5Per</v>
          </cell>
          <cell r="J1" t="str">
            <v>Mean</v>
          </cell>
          <cell r="K1" t="str">
            <v>95Per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1?guccounter=1" connectionId="1" xr16:uid="{201C7EF8-4A90-4D55-A30D-8508883E67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showGridLines="0" tabSelected="1" workbookViewId="0">
      <selection activeCell="A16" sqref="A16"/>
    </sheetView>
  </sheetViews>
  <sheetFormatPr defaultRowHeight="14.4" x14ac:dyDescent="0.55000000000000004"/>
  <cols>
    <col min="1" max="1" width="22.3671875" customWidth="1"/>
    <col min="2" max="2" width="15.9453125" customWidth="1"/>
    <col min="3" max="3" width="9.89453125" customWidth="1"/>
    <col min="4" max="15" width="10.7890625" customWidth="1"/>
    <col min="16" max="16" width="14.15625" bestFit="1" customWidth="1"/>
    <col min="18" max="20" width="10.05078125" bestFit="1" customWidth="1"/>
  </cols>
  <sheetData>
    <row r="1" spans="1:21" x14ac:dyDescent="0.55000000000000004">
      <c r="A1" s="48" t="s">
        <v>78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2"/>
      <c r="P1" s="36"/>
      <c r="Q1" s="1"/>
      <c r="R1" s="1"/>
      <c r="S1" s="1"/>
      <c r="T1" s="1"/>
      <c r="U1" s="1"/>
    </row>
    <row r="2" spans="1:21" s="1" customFormat="1" x14ac:dyDescent="0.55000000000000004">
      <c r="D2"/>
    </row>
    <row r="3" spans="1:21" x14ac:dyDescent="0.55000000000000004">
      <c r="B3" s="44" t="s">
        <v>54</v>
      </c>
      <c r="C3" s="1"/>
      <c r="D3" s="1"/>
      <c r="E3" s="1" t="s">
        <v>68</v>
      </c>
      <c r="F3" s="34">
        <v>1</v>
      </c>
      <c r="G3" s="1"/>
      <c r="H3" s="1"/>
      <c r="I3" s="1"/>
      <c r="J3" s="1"/>
      <c r="K3" s="1" t="s">
        <v>43</v>
      </c>
      <c r="L3" s="34">
        <v>1</v>
      </c>
      <c r="N3" s="1"/>
      <c r="O3" s="1"/>
      <c r="P3" s="1"/>
      <c r="Q3" s="1"/>
      <c r="R3" s="1"/>
      <c r="S3" s="1"/>
      <c r="T3" s="1"/>
      <c r="U3" s="1"/>
    </row>
    <row r="4" spans="1:21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0.399999999999999" x14ac:dyDescent="0.75">
      <c r="A5" s="37" t="s">
        <v>1</v>
      </c>
      <c r="B5" s="38">
        <v>2000000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s="1" customFormat="1" x14ac:dyDescent="0.55000000000000004">
      <c r="A6" s="32"/>
      <c r="B6"/>
    </row>
    <row r="7" spans="1:21" s="1" customFormat="1" x14ac:dyDescent="0.55000000000000004">
      <c r="A7" s="32" t="s">
        <v>0</v>
      </c>
      <c r="B7" s="4">
        <v>50000</v>
      </c>
      <c r="G7" s="11"/>
    </row>
    <row r="8" spans="1:21" s="1" customFormat="1" x14ac:dyDescent="0.55000000000000004">
      <c r="G8" s="11"/>
    </row>
    <row r="9" spans="1:21" x14ac:dyDescent="0.55000000000000004">
      <c r="A9" s="32" t="s">
        <v>56</v>
      </c>
      <c r="B9" s="4">
        <v>50000</v>
      </c>
      <c r="C9" s="1"/>
      <c r="D9" s="1"/>
      <c r="E9" s="1"/>
      <c r="F9" s="1"/>
      <c r="G9" s="1"/>
      <c r="H9" s="1"/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55000000000000004">
      <c r="A10" s="32" t="s">
        <v>42</v>
      </c>
      <c r="B10" s="3">
        <v>0.1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55000000000000004">
      <c r="A11" s="32" t="s">
        <v>55</v>
      </c>
      <c r="B11" s="3">
        <v>0.3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55000000000000004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55000000000000004">
      <c r="A13" s="40" t="s">
        <v>60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2"/>
      <c r="R13" s="43"/>
      <c r="S13" s="1"/>
      <c r="T13" s="1"/>
      <c r="U13" s="1"/>
    </row>
    <row r="14" spans="1:21" x14ac:dyDescent="0.55000000000000004">
      <c r="A14" s="40" t="s">
        <v>61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5500000000000000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5500000000000000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54" t="s">
        <v>75</v>
      </c>
      <c r="R16" s="54"/>
      <c r="S16" s="54"/>
      <c r="T16" s="54"/>
    </row>
    <row r="17" spans="1:20" x14ac:dyDescent="0.55000000000000004">
      <c r="A17" s="40" t="s">
        <v>57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55"/>
      <c r="R17" s="56" t="s">
        <v>4</v>
      </c>
      <c r="S17" s="56" t="s">
        <v>2</v>
      </c>
      <c r="T17" s="56" t="s">
        <v>3</v>
      </c>
    </row>
    <row r="18" spans="1:20" x14ac:dyDescent="0.55000000000000004">
      <c r="A18" s="40" t="s">
        <v>58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57" t="s">
        <v>38</v>
      </c>
      <c r="R18" s="58">
        <f>IFERROR(INDEX(VUSTX!$A$5:$A$44, MATCH("Reached",VUSTX!$G$5:$G$44,0)),"Not Found")</f>
        <v>2054</v>
      </c>
      <c r="S18" s="55">
        <f>IFERROR(INDEX(VUSTX!$A$5:$A$44, MATCH("Reached",VUSTX!$N$5:$N$44,0)),"Not Found")</f>
        <v>2051</v>
      </c>
      <c r="T18" s="55">
        <f>IFERROR(INDEX(VUSTX!$A$5:$A$44, MATCH("Reached",VUSTX!$U$5:$U$44,0)),"Not Found")</f>
        <v>2050</v>
      </c>
    </row>
    <row r="19" spans="1:20" x14ac:dyDescent="0.55000000000000004">
      <c r="A19" s="40" t="s">
        <v>77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57" t="s">
        <v>39</v>
      </c>
      <c r="R19" s="59">
        <f>IFERROR((INDEX(VUSTX!$H$5:$H$44,MATCH("Reached",VUSTX!$G$5:$G$44,0))),"Not Found")</f>
        <v>2729151.3743662606</v>
      </c>
      <c r="S19" s="59">
        <f>IFERROR(INDEX(VUSTX!$O$5:$O$44,MATCH("Reached",VUSTX!N5:$N$44,0)),"Not Found")</f>
        <v>2013149.0415974904</v>
      </c>
      <c r="T19" s="59">
        <f>IFERROR(INDEX(VUSTX!$V$5:$V$44,MATCH("Reached",VUSTX!$U$5:$U$44,0)),"Not Found")</f>
        <v>1816499.1287249911</v>
      </c>
    </row>
    <row r="20" spans="1:20" x14ac:dyDescent="0.55000000000000004">
      <c r="A20" s="40" t="s">
        <v>59</v>
      </c>
      <c r="B20" s="1"/>
      <c r="C20" s="1"/>
      <c r="E20" s="1" t="s">
        <v>63</v>
      </c>
      <c r="F20" s="34">
        <v>1</v>
      </c>
      <c r="G20" s="1"/>
      <c r="H20" s="1"/>
      <c r="I20" s="32" t="s">
        <v>43</v>
      </c>
      <c r="J20" s="33">
        <v>0.6</v>
      </c>
      <c r="K20" s="32" t="s">
        <v>63</v>
      </c>
      <c r="L20" s="33">
        <v>0.1</v>
      </c>
      <c r="M20" s="32" t="s">
        <v>68</v>
      </c>
      <c r="N20" s="33">
        <v>0.4</v>
      </c>
      <c r="O20" s="35"/>
      <c r="P20" s="1"/>
      <c r="Q20" s="55"/>
      <c r="R20" s="55"/>
      <c r="S20" s="55"/>
      <c r="T20" s="55"/>
    </row>
    <row r="21" spans="1:20" x14ac:dyDescent="0.55000000000000004">
      <c r="A21" s="4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55"/>
      <c r="R21" s="55"/>
      <c r="S21" s="55"/>
      <c r="T21" s="55"/>
    </row>
    <row r="22" spans="1:20" x14ac:dyDescent="0.55000000000000004">
      <c r="A22" s="40" t="s">
        <v>81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54" t="s">
        <v>76</v>
      </c>
      <c r="R22" s="54"/>
      <c r="S22" s="54"/>
      <c r="T22" s="54"/>
    </row>
    <row r="23" spans="1:20" x14ac:dyDescent="0.55000000000000004">
      <c r="A23" s="41" t="s">
        <v>82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55"/>
      <c r="R23" s="56" t="s">
        <v>4</v>
      </c>
      <c r="S23" s="56" t="s">
        <v>2</v>
      </c>
      <c r="T23" s="56" t="s">
        <v>3</v>
      </c>
    </row>
    <row r="24" spans="1:20" x14ac:dyDescent="0.55000000000000004">
      <c r="A24" s="40" t="s">
        <v>83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57" t="s">
        <v>38</v>
      </c>
      <c r="R24" s="58">
        <f>IFERROR(INDEX(VTSMX!$A$5:$A$44, MATCH("Reached",VTSMX!$G$5:$G$44,0)),"Not Found")</f>
        <v>2051</v>
      </c>
      <c r="S24" s="58">
        <f>IFERROR(INDEX(VTSMX!$A$5:$A$44, MATCH("Reached",VTSMX!$N$5:$N$44,0)),"Not Found")</f>
        <v>2051</v>
      </c>
      <c r="T24" s="58">
        <f>IFERROR(INDEX(VTSMX!$A$5:$A44,MATCH("Reached",VTSMX!$U$5:$U$44,0)),"Not Found")</f>
        <v>2042</v>
      </c>
    </row>
    <row r="25" spans="1:20" x14ac:dyDescent="0.55000000000000004">
      <c r="A25" s="40" t="s">
        <v>80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57" t="s">
        <v>39</v>
      </c>
      <c r="R25" s="59">
        <f>IFERROR(INDEX(VTSMX!$H$5:$H$44,MATCH("Reached",VTSMX!$G$5:$G$44,0)),"Not Found")</f>
        <v>2013149.0415974904</v>
      </c>
      <c r="S25" s="59">
        <f>IFERROR(INDEX(VTSMX!$O$5:$O$44,MATCH("Reached",VTSMX!$N$5:$N$44,0)),"Not Found")</f>
        <v>2013149.0415974904</v>
      </c>
      <c r="T25" s="59">
        <f>IFERROR(INDEX(VTSMX!$V$5:$V$44,MATCH("Reached",VTSMX!$U$5:$U$44,0)),"Not Found")</f>
        <v>767386.3567262186</v>
      </c>
    </row>
    <row r="26" spans="1:20" x14ac:dyDescent="0.55000000000000004">
      <c r="A26" s="4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55"/>
      <c r="R26" s="55"/>
      <c r="S26" s="55"/>
      <c r="T26" s="55"/>
    </row>
    <row r="27" spans="1:20" x14ac:dyDescent="0.55000000000000004">
      <c r="A27" s="40" t="s">
        <v>79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4" t="s">
        <v>67</v>
      </c>
      <c r="R27" s="54"/>
      <c r="S27" s="54"/>
      <c r="T27" s="54"/>
    </row>
    <row r="28" spans="1:20" x14ac:dyDescent="0.55000000000000004">
      <c r="A28" s="40" t="s">
        <v>84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58"/>
      <c r="R28" s="56" t="s">
        <v>4</v>
      </c>
      <c r="S28" s="56" t="s">
        <v>2</v>
      </c>
      <c r="T28" s="56" t="s">
        <v>3</v>
      </c>
    </row>
    <row r="29" spans="1:20" x14ac:dyDescent="0.55000000000000004">
      <c r="A29" s="4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57" t="s">
        <v>38</v>
      </c>
      <c r="R29" s="58">
        <f>IFERROR(INDEX(COKE!$A$5:$A$44, MATCH("Reached",COKE!$G$5:$G$44,0)),"Not Found")</f>
        <v>2054</v>
      </c>
      <c r="S29" s="58">
        <f>IFERROR(INDEX(COKE!$A$5:$A$44, MATCH("Reached",COKE!$N$5:$N$44,0)),"Not Found")</f>
        <v>2044</v>
      </c>
      <c r="T29" s="58">
        <f>IFERROR(INDEX(COKE!$A$5:$A$44, MATCH("Reached",COKE!$U$5:$U$44,0)),"Not Found")</f>
        <v>2042</v>
      </c>
    </row>
    <row r="30" spans="1:20" x14ac:dyDescent="0.5500000000000000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57" t="s">
        <v>39</v>
      </c>
      <c r="R30" s="59">
        <f>IFERROR(INDEX(COKE!$H$5:$H$44,MATCH("Reached",COKE!$G$5:$G$44,0)),"Not Found")</f>
        <v>2729151.3743662606</v>
      </c>
      <c r="S30" s="59">
        <f>IFERROR(INDEX(COKE!$O$5:$O$44,MATCH("Reached",COKE!$N$5:$N$44,0)),"Not Found")</f>
        <v>960037.49163872458</v>
      </c>
      <c r="T30" s="59">
        <f>IFERROR(INDEX(COKE!$V$5:$V$44,MATCH("Reached",COKE!$U$5:$U$44,0)),"Not Found")</f>
        <v>767386.3567262186</v>
      </c>
    </row>
    <row r="31" spans="1:20" x14ac:dyDescent="0.5500000000000000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55"/>
      <c r="R31" s="55"/>
      <c r="S31" s="55"/>
      <c r="T31" s="55"/>
    </row>
    <row r="32" spans="1:20" x14ac:dyDescent="0.5500000000000000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54" t="s">
        <v>53</v>
      </c>
      <c r="R32" s="54"/>
      <c r="S32" s="54"/>
      <c r="T32" s="54"/>
    </row>
    <row r="33" spans="1:20" x14ac:dyDescent="0.55000000000000004">
      <c r="A33" s="4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58"/>
      <c r="R33" s="56" t="s">
        <v>4</v>
      </c>
      <c r="S33" s="56" t="s">
        <v>2</v>
      </c>
      <c r="T33" s="56" t="s">
        <v>3</v>
      </c>
    </row>
    <row r="34" spans="1:20" x14ac:dyDescent="0.55000000000000004">
      <c r="A34" s="4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57" t="s">
        <v>38</v>
      </c>
      <c r="R34" s="58">
        <f>IFERROR(INDEX(MixedAAP!$A$5:$A$44, MATCH("Reached",MixedAAP!$P$5:$P$44,0)),"Not Found")</f>
        <v>2051</v>
      </c>
      <c r="S34" s="58">
        <f>IFERROR(INDEX(MixedAAP!$A$5:$A$44, MATCH("Reached",MixedAAP!$AF$5:$AF$44,0)),"Not Found")</f>
        <v>2046</v>
      </c>
      <c r="T34" s="58">
        <f>IFERROR(INDEX(MixedAAP!A$5:$A$44, MATCH("Reached",MixedAAP!$AV$5:$AV$44,0)),"Not Found")</f>
        <v>2043</v>
      </c>
    </row>
    <row r="35" spans="1:20" x14ac:dyDescent="0.55000000000000004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57" t="s">
        <v>39</v>
      </c>
      <c r="R35" s="59">
        <f>IFERROR(INDEX(MixedAAP!$Q$5:$Q$44,MATCH("Reached",MixedAAP!$P$5:$P$44,0)),"Not Found")</f>
        <v>2214463.9457572405</v>
      </c>
      <c r="S35" s="59">
        <f>IFERROR(INDEX(MixedAAP!$AG$5:$AG$44,MATCH("Reached",MixedAAP!$AF$5:$AF$44,0)),"Not Found")</f>
        <v>1312459.9013711431</v>
      </c>
      <c r="T35" s="59">
        <f>IFERROR(INDEX(MixedAAP!$AW$5:$AW$44,MATCH("Reached",MixedAAP!$AV$5:$AV$44,0)),"Not Found")</f>
        <v>945037.49163872492</v>
      </c>
    </row>
    <row r="36" spans="1:20" x14ac:dyDescent="0.55000000000000004">
      <c r="A36" s="1"/>
      <c r="B36" s="1"/>
      <c r="C36" s="1"/>
      <c r="D36" s="1"/>
      <c r="E36" s="1" t="s">
        <v>5</v>
      </c>
      <c r="F36" s="34">
        <v>1</v>
      </c>
      <c r="G36" s="1"/>
      <c r="H36" s="1"/>
      <c r="I36" s="1"/>
      <c r="J36" s="1" t="s">
        <v>16</v>
      </c>
      <c r="K36" s="34">
        <v>1</v>
      </c>
      <c r="L36" s="1"/>
      <c r="M36" s="1"/>
      <c r="N36" s="1"/>
      <c r="O36" s="1"/>
      <c r="P36" s="1"/>
      <c r="Q36" s="55"/>
      <c r="R36" s="55"/>
      <c r="S36" s="55"/>
      <c r="T36" s="55"/>
    </row>
    <row r="37" spans="1:20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54" t="s">
        <v>48</v>
      </c>
      <c r="R37" s="54"/>
      <c r="S37" s="54"/>
      <c r="T37" s="54"/>
    </row>
    <row r="38" spans="1:20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58"/>
      <c r="R38" s="56" t="s">
        <v>4</v>
      </c>
      <c r="S38" s="56" t="s">
        <v>2</v>
      </c>
      <c r="T38" s="56" t="s">
        <v>3</v>
      </c>
    </row>
    <row r="39" spans="1:20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57" t="s">
        <v>38</v>
      </c>
      <c r="R39" s="58">
        <f>IFERROR(INDEX(MSFT!$A$5:$A$44, MATCH("Reached",MSFT!$G$5:$G$44,0)),"Not Found")</f>
        <v>2050</v>
      </c>
      <c r="S39" s="58">
        <f>IFERROR(INDEX(MSFT!$A$5:$A$44, MATCH("Reached",MSFT!$N$5:$N$44,0)),"Not Found")</f>
        <v>2037</v>
      </c>
      <c r="T39" s="58">
        <f>IFERROR(INDEX(MSFT!$A$5:$A$44, MATCH("Reached",MSFT!$U$5:$U$44,0)),"Not Found")</f>
        <v>2035</v>
      </c>
    </row>
    <row r="40" spans="1:20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57" t="s">
        <v>39</v>
      </c>
      <c r="R40" s="59">
        <f>IFERROR(INDEX(MSFT!$H$5:$H$44,MATCH("Reached",MSFT!$G$5:$G$44,0)),"Not Found")</f>
        <v>1816499.1287249911</v>
      </c>
      <c r="S40" s="59">
        <f>IFERROR(INDEX(MSFT!$O$5:$O$44,MATCH("Reached",MSFT!$N$5:$N$44,0)),"Not Found")</f>
        <v>419624.75037486164</v>
      </c>
      <c r="T40" s="59">
        <f>IFERROR(INDEX(MSFT!$V$5:$V$44,MATCH("Reached",MSFT!$U$5:$U$44,0)),"Not Found")</f>
        <v>320764.25650815008</v>
      </c>
    </row>
    <row r="41" spans="1:20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55"/>
      <c r="R41" s="55"/>
      <c r="S41" s="55"/>
      <c r="T41" s="55"/>
    </row>
    <row r="42" spans="1:20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55"/>
      <c r="R42" s="55"/>
      <c r="S42" s="55"/>
      <c r="T42" s="55"/>
    </row>
    <row r="43" spans="1:20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s="54" t="s">
        <v>62</v>
      </c>
      <c r="R43" s="54"/>
      <c r="S43" s="54"/>
      <c r="T43" s="54"/>
    </row>
    <row r="44" spans="1:20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58"/>
      <c r="R44" s="56" t="s">
        <v>4</v>
      </c>
      <c r="S44" s="56" t="s">
        <v>2</v>
      </c>
      <c r="T44" s="56" t="s">
        <v>3</v>
      </c>
    </row>
    <row r="45" spans="1:20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Q45" s="58" t="s">
        <v>38</v>
      </c>
      <c r="R45" s="58">
        <f>INDEX(SWTSX!A5:A44, MATCH("Reached",SWTSX!G5:G44,0))</f>
        <v>2051</v>
      </c>
      <c r="S45" s="58">
        <f>INDEX(SWTSX!A5:A44, MATCH("Reached",SWTSX!N5:N44,0))</f>
        <v>2046</v>
      </c>
      <c r="T45" s="58">
        <f>INDEX(SWTSX!A5:A44, MATCH("Reached",SWTSX!U5:U44,0))</f>
        <v>2043</v>
      </c>
    </row>
    <row r="46" spans="1:20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Q46" s="58" t="s">
        <v>39</v>
      </c>
      <c r="R46" s="59">
        <f>(INDEX(SWTSX!H5:H44,MATCH("Reached",SWTSX!G5:G44,0)))</f>
        <v>2013149.0415974904</v>
      </c>
      <c r="S46" s="59">
        <f>(INDEX(SWTSX!O5:O44,MATCH("Reached",SWTSX!N5:N44,0)))</f>
        <v>1193145.3648828568</v>
      </c>
      <c r="T46" s="59">
        <f>(INDEX(SWTSX!V5:V44,MATCH("Reached",SWTSX!U5:U44,0)))</f>
        <v>859124.99239884049</v>
      </c>
    </row>
    <row r="47" spans="1:20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0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55000000000000004">
      <c r="D53" s="1"/>
      <c r="E53" s="1"/>
      <c r="F53" s="1"/>
      <c r="G53" s="1"/>
      <c r="H53" s="1"/>
      <c r="I53" s="1"/>
    </row>
  </sheetData>
  <sheetProtection algorithmName="SHA-512" hashValue="eyTtbzLafdfTmTHDHkZc6VlCUijElERXyuIgkyjoVvH1vdxIkJkvCsSzukQukza7kWrgqVyGeUFg4i54d6jHUQ==" saltValue="bT64TMgGqbkp6CqbQYzSNw==" spinCount="100000" sheet="1" objects="1" scenarios="1"/>
  <mergeCells count="1">
    <mergeCell ref="A1:N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51F7-7E08-4FC5-BD43-7D87EB0A7DE4}">
  <dimension ref="A1:K43"/>
  <sheetViews>
    <sheetView workbookViewId="0">
      <selection activeCell="K6" sqref="K6"/>
    </sheetView>
  </sheetViews>
  <sheetFormatPr defaultRowHeight="14.4" x14ac:dyDescent="0.55000000000000004"/>
  <sheetData>
    <row r="1" spans="1:11" x14ac:dyDescent="0.55000000000000004">
      <c r="A1" s="45" t="s">
        <v>85</v>
      </c>
      <c r="B1" s="45" t="s">
        <v>86</v>
      </c>
      <c r="C1" s="45" t="s">
        <v>87</v>
      </c>
      <c r="D1" s="45" t="s">
        <v>88</v>
      </c>
      <c r="E1" s="45" t="s">
        <v>89</v>
      </c>
      <c r="F1" s="45" t="s">
        <v>90</v>
      </c>
      <c r="G1" s="45" t="s">
        <v>91</v>
      </c>
      <c r="I1" s="46" t="s">
        <v>4</v>
      </c>
      <c r="J1" s="46" t="s">
        <v>2</v>
      </c>
      <c r="K1" s="46" t="s">
        <v>3</v>
      </c>
    </row>
    <row r="2" spans="1:11" x14ac:dyDescent="0.55000000000000004">
      <c r="A2">
        <v>189</v>
      </c>
      <c r="B2">
        <v>10000</v>
      </c>
      <c r="C2">
        <v>0</v>
      </c>
      <c r="D2">
        <v>2024</v>
      </c>
      <c r="E2">
        <v>76.489999999999995</v>
      </c>
      <c r="F2">
        <v>93.86</v>
      </c>
      <c r="G2">
        <v>114.41</v>
      </c>
      <c r="I2" s="7">
        <f>(E2-SWTSX_LastPrice)/E2</f>
        <v>-0.2026408680873317</v>
      </c>
      <c r="J2" s="7">
        <f>(F2-SWTSX_LastPrice)/F2</f>
        <v>1.9923290006392549E-2</v>
      </c>
      <c r="K2" s="7">
        <f>(G2-SWTSX_LastPrice)/G2</f>
        <v>0.1959618914430557</v>
      </c>
    </row>
    <row r="3" spans="1:11" x14ac:dyDescent="0.55000000000000004">
      <c r="A3">
        <v>554</v>
      </c>
      <c r="B3">
        <v>10000</v>
      </c>
      <c r="C3">
        <v>0</v>
      </c>
      <c r="D3">
        <v>2025</v>
      </c>
      <c r="E3">
        <v>68.849999999999994</v>
      </c>
      <c r="F3">
        <v>98.03</v>
      </c>
      <c r="G3">
        <v>137.83000000000001</v>
      </c>
      <c r="I3" s="7">
        <f>(E3-E2)/E3</f>
        <v>-0.11096586782861294</v>
      </c>
      <c r="J3" s="7">
        <f t="shared" ref="J3:K18" si="0">(F3-F2)/F3</f>
        <v>4.253799857186577E-2</v>
      </c>
      <c r="K3" s="7">
        <f t="shared" si="0"/>
        <v>0.16991946600885158</v>
      </c>
    </row>
    <row r="4" spans="1:11" x14ac:dyDescent="0.55000000000000004">
      <c r="A4">
        <v>919</v>
      </c>
      <c r="B4">
        <v>10000</v>
      </c>
      <c r="C4">
        <v>0</v>
      </c>
      <c r="D4">
        <v>2026</v>
      </c>
      <c r="E4">
        <v>64.94</v>
      </c>
      <c r="F4">
        <v>102.45</v>
      </c>
      <c r="G4">
        <v>157.72999999999999</v>
      </c>
      <c r="I4" s="7">
        <f t="shared" ref="I4:K41" si="1">(E4-E3)/E4</f>
        <v>-6.0209424083769586E-2</v>
      </c>
      <c r="J4" s="7">
        <f t="shared" si="0"/>
        <v>4.3142996583699383E-2</v>
      </c>
      <c r="K4" s="7">
        <f t="shared" si="0"/>
        <v>0.1261649654472832</v>
      </c>
    </row>
    <row r="5" spans="1:11" x14ac:dyDescent="0.55000000000000004">
      <c r="A5">
        <v>1284</v>
      </c>
      <c r="B5">
        <v>10000</v>
      </c>
      <c r="C5">
        <v>0</v>
      </c>
      <c r="D5">
        <v>2027</v>
      </c>
      <c r="E5">
        <v>62.33</v>
      </c>
      <c r="F5">
        <v>107.68</v>
      </c>
      <c r="G5">
        <v>179.9</v>
      </c>
      <c r="I5" s="7">
        <f t="shared" si="1"/>
        <v>-4.1873896999839559E-2</v>
      </c>
      <c r="J5" s="7">
        <f t="shared" si="0"/>
        <v>4.8569836552748921E-2</v>
      </c>
      <c r="K5" s="7">
        <f t="shared" si="0"/>
        <v>0.12323513062812683</v>
      </c>
    </row>
    <row r="6" spans="1:11" x14ac:dyDescent="0.55000000000000004">
      <c r="A6">
        <v>1649</v>
      </c>
      <c r="B6">
        <v>10000</v>
      </c>
      <c r="C6">
        <v>0</v>
      </c>
      <c r="D6">
        <v>2028</v>
      </c>
      <c r="E6">
        <v>59.89</v>
      </c>
      <c r="F6">
        <v>112.86</v>
      </c>
      <c r="G6">
        <v>202.51</v>
      </c>
      <c r="I6" s="7">
        <f t="shared" si="1"/>
        <v>-4.0741359158457134E-2</v>
      </c>
      <c r="J6" s="7">
        <f t="shared" si="0"/>
        <v>4.5897572213361625E-2</v>
      </c>
      <c r="K6" s="7">
        <f t="shared" si="0"/>
        <v>0.11164880746629789</v>
      </c>
    </row>
    <row r="7" spans="1:11" x14ac:dyDescent="0.55000000000000004">
      <c r="A7">
        <v>2014</v>
      </c>
      <c r="B7">
        <v>10000</v>
      </c>
      <c r="C7">
        <v>0</v>
      </c>
      <c r="D7">
        <v>2029</v>
      </c>
      <c r="E7">
        <v>58.35</v>
      </c>
      <c r="F7">
        <v>117.7</v>
      </c>
      <c r="G7">
        <v>222.15</v>
      </c>
      <c r="I7" s="7">
        <f t="shared" si="1"/>
        <v>-2.6392459297343601E-2</v>
      </c>
      <c r="J7" s="7">
        <f t="shared" si="0"/>
        <v>4.1121495327102832E-2</v>
      </c>
      <c r="K7" s="7">
        <f t="shared" si="0"/>
        <v>8.8408732838172466E-2</v>
      </c>
    </row>
    <row r="8" spans="1:11" x14ac:dyDescent="0.55000000000000004">
      <c r="A8">
        <v>2379</v>
      </c>
      <c r="B8">
        <v>10000</v>
      </c>
      <c r="C8">
        <v>0</v>
      </c>
      <c r="D8">
        <v>2030</v>
      </c>
      <c r="E8">
        <v>57.33</v>
      </c>
      <c r="F8">
        <v>123.96</v>
      </c>
      <c r="G8">
        <v>247.14</v>
      </c>
      <c r="I8" s="7">
        <f t="shared" si="1"/>
        <v>-1.7791732077446418E-2</v>
      </c>
      <c r="J8" s="7">
        <f t="shared" si="0"/>
        <v>5.0500161342368434E-2</v>
      </c>
      <c r="K8" s="7">
        <f t="shared" si="0"/>
        <v>0.10111677591648451</v>
      </c>
    </row>
    <row r="9" spans="1:11" x14ac:dyDescent="0.55000000000000004">
      <c r="A9">
        <v>2744</v>
      </c>
      <c r="B9">
        <v>10000</v>
      </c>
      <c r="C9">
        <v>0</v>
      </c>
      <c r="D9">
        <v>2031</v>
      </c>
      <c r="E9">
        <v>56.27</v>
      </c>
      <c r="F9">
        <v>129.24</v>
      </c>
      <c r="G9">
        <v>266.61</v>
      </c>
      <c r="I9" s="7">
        <f t="shared" si="1"/>
        <v>-1.883774657899405E-2</v>
      </c>
      <c r="J9" s="7">
        <f t="shared" si="0"/>
        <v>4.0854224698235957E-2</v>
      </c>
      <c r="K9" s="7">
        <f t="shared" si="0"/>
        <v>7.3028018453921553E-2</v>
      </c>
    </row>
    <row r="10" spans="1:11" x14ac:dyDescent="0.55000000000000004">
      <c r="A10">
        <v>3109</v>
      </c>
      <c r="B10">
        <v>10000</v>
      </c>
      <c r="C10">
        <v>0</v>
      </c>
      <c r="D10">
        <v>2032</v>
      </c>
      <c r="E10">
        <v>55.3</v>
      </c>
      <c r="F10">
        <v>136.72</v>
      </c>
      <c r="G10">
        <v>298.57</v>
      </c>
      <c r="I10" s="7">
        <f t="shared" si="1"/>
        <v>-1.7540687160940434E-2</v>
      </c>
      <c r="J10" s="7">
        <f t="shared" si="0"/>
        <v>5.4710356933879385E-2</v>
      </c>
      <c r="K10" s="7">
        <f t="shared" si="0"/>
        <v>0.10704357437116917</v>
      </c>
    </row>
    <row r="11" spans="1:11" x14ac:dyDescent="0.55000000000000004">
      <c r="A11">
        <v>3474</v>
      </c>
      <c r="B11">
        <v>10000</v>
      </c>
      <c r="C11">
        <v>0</v>
      </c>
      <c r="D11">
        <v>2033</v>
      </c>
      <c r="E11">
        <v>54.8</v>
      </c>
      <c r="F11">
        <v>144</v>
      </c>
      <c r="G11">
        <v>326.77</v>
      </c>
      <c r="I11" s="7">
        <f t="shared" si="1"/>
        <v>-9.1240875912408769E-3</v>
      </c>
      <c r="J11" s="7">
        <f t="shared" si="0"/>
        <v>5.0555555555555562E-2</v>
      </c>
      <c r="K11" s="7">
        <f t="shared" si="0"/>
        <v>8.6299231875631141E-2</v>
      </c>
    </row>
    <row r="12" spans="1:11" x14ac:dyDescent="0.55000000000000004">
      <c r="A12">
        <v>3839</v>
      </c>
      <c r="B12">
        <v>10000</v>
      </c>
      <c r="C12">
        <v>0</v>
      </c>
      <c r="D12">
        <v>2034</v>
      </c>
      <c r="E12">
        <v>54.03</v>
      </c>
      <c r="F12">
        <v>151.68</v>
      </c>
      <c r="G12">
        <v>360.32</v>
      </c>
      <c r="I12" s="7">
        <f t="shared" si="1"/>
        <v>-1.4251341847121896E-2</v>
      </c>
      <c r="J12" s="7">
        <f t="shared" si="0"/>
        <v>5.0632911392405104E-2</v>
      </c>
      <c r="K12" s="7">
        <f t="shared" si="0"/>
        <v>9.3111678507992929E-2</v>
      </c>
    </row>
    <row r="13" spans="1:11" x14ac:dyDescent="0.55000000000000004">
      <c r="A13">
        <v>4204</v>
      </c>
      <c r="B13">
        <v>10000</v>
      </c>
      <c r="C13">
        <v>0</v>
      </c>
      <c r="D13">
        <v>2035</v>
      </c>
      <c r="E13">
        <v>54.54</v>
      </c>
      <c r="F13">
        <v>159.79</v>
      </c>
      <c r="G13">
        <v>391.35</v>
      </c>
      <c r="I13" s="7">
        <f t="shared" si="1"/>
        <v>9.3509350935093143E-3</v>
      </c>
      <c r="J13" s="7">
        <f t="shared" si="0"/>
        <v>5.0754114775642942E-2</v>
      </c>
      <c r="K13" s="7">
        <f t="shared" si="0"/>
        <v>7.9289638431072007E-2</v>
      </c>
    </row>
    <row r="14" spans="1:11" x14ac:dyDescent="0.55000000000000004">
      <c r="A14">
        <v>4569</v>
      </c>
      <c r="B14">
        <v>10000</v>
      </c>
      <c r="C14">
        <v>0</v>
      </c>
      <c r="D14">
        <v>2036</v>
      </c>
      <c r="E14">
        <v>52.9</v>
      </c>
      <c r="F14">
        <v>165.97</v>
      </c>
      <c r="G14">
        <v>422.23</v>
      </c>
      <c r="I14" s="7">
        <f t="shared" si="1"/>
        <v>-3.1001890359168255E-2</v>
      </c>
      <c r="J14" s="7">
        <f t="shared" si="0"/>
        <v>3.7235644996083672E-2</v>
      </c>
      <c r="K14" s="7">
        <f t="shared" si="0"/>
        <v>7.3135494872462861E-2</v>
      </c>
    </row>
    <row r="15" spans="1:11" x14ac:dyDescent="0.55000000000000004">
      <c r="A15">
        <v>4934</v>
      </c>
      <c r="B15">
        <v>10000</v>
      </c>
      <c r="C15">
        <v>0</v>
      </c>
      <c r="D15">
        <v>2037</v>
      </c>
      <c r="E15">
        <v>53.45</v>
      </c>
      <c r="F15">
        <v>176.23</v>
      </c>
      <c r="G15">
        <v>460.5</v>
      </c>
      <c r="I15" s="7">
        <f t="shared" si="1"/>
        <v>1.0289990645463128E-2</v>
      </c>
      <c r="J15" s="7">
        <f t="shared" si="0"/>
        <v>5.8219372411053689E-2</v>
      </c>
      <c r="K15" s="7">
        <f t="shared" si="0"/>
        <v>8.3105320304017335E-2</v>
      </c>
    </row>
    <row r="16" spans="1:11" x14ac:dyDescent="0.55000000000000004">
      <c r="A16">
        <v>5299</v>
      </c>
      <c r="B16">
        <v>10000</v>
      </c>
      <c r="C16">
        <v>0</v>
      </c>
      <c r="D16">
        <v>2038</v>
      </c>
      <c r="E16">
        <v>52.99</v>
      </c>
      <c r="F16">
        <v>187.29</v>
      </c>
      <c r="G16">
        <v>505.3</v>
      </c>
      <c r="I16" s="7">
        <f t="shared" si="1"/>
        <v>-8.6808831855067145E-3</v>
      </c>
      <c r="J16" s="7">
        <f t="shared" si="0"/>
        <v>5.9052805809172958E-2</v>
      </c>
      <c r="K16" s="7">
        <f t="shared" si="0"/>
        <v>8.8660201860281035E-2</v>
      </c>
    </row>
    <row r="17" spans="1:11" x14ac:dyDescent="0.55000000000000004">
      <c r="A17">
        <v>5664</v>
      </c>
      <c r="B17">
        <v>10000</v>
      </c>
      <c r="C17">
        <v>0</v>
      </c>
      <c r="D17">
        <v>2039</v>
      </c>
      <c r="E17">
        <v>53.42</v>
      </c>
      <c r="F17">
        <v>196.32</v>
      </c>
      <c r="G17">
        <v>536.21</v>
      </c>
      <c r="I17" s="7">
        <f t="shared" si="1"/>
        <v>8.0494196929988705E-3</v>
      </c>
      <c r="J17" s="7">
        <f t="shared" si="0"/>
        <v>4.5996332518337416E-2</v>
      </c>
      <c r="K17" s="7">
        <f t="shared" si="0"/>
        <v>5.7645325525447162E-2</v>
      </c>
    </row>
    <row r="18" spans="1:11" x14ac:dyDescent="0.55000000000000004">
      <c r="A18">
        <v>6029</v>
      </c>
      <c r="B18">
        <v>10000</v>
      </c>
      <c r="C18">
        <v>0</v>
      </c>
      <c r="D18">
        <v>2040</v>
      </c>
      <c r="E18">
        <v>53.29</v>
      </c>
      <c r="F18">
        <v>209.02</v>
      </c>
      <c r="G18">
        <v>589.9</v>
      </c>
      <c r="I18" s="7">
        <f t="shared" si="1"/>
        <v>-2.4394820791893892E-3</v>
      </c>
      <c r="J18" s="7">
        <f t="shared" si="0"/>
        <v>6.0759735910439268E-2</v>
      </c>
      <c r="K18" s="7">
        <f t="shared" si="0"/>
        <v>9.1015426343447947E-2</v>
      </c>
    </row>
    <row r="19" spans="1:11" x14ac:dyDescent="0.55000000000000004">
      <c r="A19">
        <v>6394</v>
      </c>
      <c r="B19">
        <v>10000</v>
      </c>
      <c r="C19">
        <v>0</v>
      </c>
      <c r="D19">
        <v>2041</v>
      </c>
      <c r="E19">
        <v>52.13</v>
      </c>
      <c r="F19">
        <v>215.17</v>
      </c>
      <c r="G19">
        <v>615.03</v>
      </c>
      <c r="I19" s="7">
        <f t="shared" si="1"/>
        <v>-2.2252062152311462E-2</v>
      </c>
      <c r="J19" s="7">
        <f t="shared" si="1"/>
        <v>2.8582051401217539E-2</v>
      </c>
      <c r="K19" s="7">
        <f t="shared" si="1"/>
        <v>4.085979545713217E-2</v>
      </c>
    </row>
    <row r="20" spans="1:11" x14ac:dyDescent="0.55000000000000004">
      <c r="A20">
        <v>6759</v>
      </c>
      <c r="B20">
        <v>10000</v>
      </c>
      <c r="C20">
        <v>0</v>
      </c>
      <c r="D20">
        <v>2042</v>
      </c>
      <c r="E20">
        <v>53.38</v>
      </c>
      <c r="F20">
        <v>231.43</v>
      </c>
      <c r="G20">
        <v>690.19</v>
      </c>
      <c r="I20" s="7">
        <f t="shared" si="1"/>
        <v>2.3417010116148371E-2</v>
      </c>
      <c r="J20" s="7">
        <f t="shared" si="1"/>
        <v>7.0258825562805244E-2</v>
      </c>
      <c r="K20" s="7">
        <f t="shared" si="1"/>
        <v>0.10889754995001387</v>
      </c>
    </row>
    <row r="21" spans="1:11" x14ac:dyDescent="0.55000000000000004">
      <c r="A21">
        <v>7124</v>
      </c>
      <c r="B21">
        <v>10000</v>
      </c>
      <c r="C21">
        <v>0</v>
      </c>
      <c r="D21">
        <v>2043</v>
      </c>
      <c r="E21">
        <v>53.05</v>
      </c>
      <c r="F21">
        <v>247.18</v>
      </c>
      <c r="G21">
        <v>753.28</v>
      </c>
      <c r="I21" s="7">
        <f t="shared" si="1"/>
        <v>-6.2205466541000081E-3</v>
      </c>
      <c r="J21" s="7">
        <f t="shared" si="1"/>
        <v>6.3718747471478279E-2</v>
      </c>
      <c r="K21" s="7">
        <f t="shared" si="1"/>
        <v>8.3753717077315104E-2</v>
      </c>
    </row>
    <row r="22" spans="1:11" x14ac:dyDescent="0.55000000000000004">
      <c r="A22">
        <v>7489</v>
      </c>
      <c r="B22">
        <v>10000</v>
      </c>
      <c r="C22">
        <v>0</v>
      </c>
      <c r="D22">
        <v>2044</v>
      </c>
      <c r="E22">
        <v>52.18</v>
      </c>
      <c r="F22">
        <v>259.8</v>
      </c>
      <c r="G22">
        <v>803.65</v>
      </c>
      <c r="I22" s="7">
        <f t="shared" si="1"/>
        <v>-1.6673054810272085E-2</v>
      </c>
      <c r="J22" s="7">
        <f t="shared" si="1"/>
        <v>4.8575827559661292E-2</v>
      </c>
      <c r="K22" s="7">
        <f t="shared" si="1"/>
        <v>6.2676538294033482E-2</v>
      </c>
    </row>
    <row r="23" spans="1:11" x14ac:dyDescent="0.55000000000000004">
      <c r="A23">
        <v>7854</v>
      </c>
      <c r="B23">
        <v>10000</v>
      </c>
      <c r="C23">
        <v>0</v>
      </c>
      <c r="D23">
        <v>2045</v>
      </c>
      <c r="E23">
        <v>52.77</v>
      </c>
      <c r="F23">
        <v>274.19</v>
      </c>
      <c r="G23">
        <v>866.42</v>
      </c>
      <c r="I23" s="7">
        <f t="shared" si="1"/>
        <v>1.1180595035057863E-2</v>
      </c>
      <c r="J23" s="7">
        <f t="shared" si="1"/>
        <v>5.2481855647543624E-2</v>
      </c>
      <c r="K23" s="7">
        <f t="shared" si="1"/>
        <v>7.2447542762170761E-2</v>
      </c>
    </row>
    <row r="24" spans="1:11" x14ac:dyDescent="0.55000000000000004">
      <c r="A24">
        <v>8219</v>
      </c>
      <c r="B24">
        <v>10000</v>
      </c>
      <c r="C24">
        <v>0</v>
      </c>
      <c r="D24">
        <v>2046</v>
      </c>
      <c r="E24">
        <v>52.88</v>
      </c>
      <c r="F24">
        <v>295.92</v>
      </c>
      <c r="G24">
        <v>950.51</v>
      </c>
      <c r="I24" s="7">
        <f t="shared" si="1"/>
        <v>2.0801815431164793E-3</v>
      </c>
      <c r="J24" s="7">
        <f t="shared" si="1"/>
        <v>7.3432008650986813E-2</v>
      </c>
      <c r="K24" s="7">
        <f t="shared" si="1"/>
        <v>8.8468295967428043E-2</v>
      </c>
    </row>
    <row r="25" spans="1:11" x14ac:dyDescent="0.55000000000000004">
      <c r="A25">
        <v>8584</v>
      </c>
      <c r="B25">
        <v>10000</v>
      </c>
      <c r="C25">
        <v>0</v>
      </c>
      <c r="D25">
        <v>2047</v>
      </c>
      <c r="E25">
        <v>53.51</v>
      </c>
      <c r="F25">
        <v>313.87</v>
      </c>
      <c r="G25">
        <v>1029.33</v>
      </c>
      <c r="I25" s="7">
        <f t="shared" si="1"/>
        <v>1.177350028032135E-2</v>
      </c>
      <c r="J25" s="7">
        <f t="shared" si="1"/>
        <v>5.7189282186892627E-2</v>
      </c>
      <c r="K25" s="7">
        <f t="shared" si="1"/>
        <v>7.6574082169955163E-2</v>
      </c>
    </row>
    <row r="26" spans="1:11" x14ac:dyDescent="0.55000000000000004">
      <c r="A26">
        <v>8949</v>
      </c>
      <c r="B26">
        <v>10000</v>
      </c>
      <c r="C26">
        <v>0</v>
      </c>
      <c r="D26">
        <v>2048</v>
      </c>
      <c r="E26">
        <v>53.47</v>
      </c>
      <c r="F26">
        <v>328.78</v>
      </c>
      <c r="G26">
        <v>1081.8499999999999</v>
      </c>
      <c r="I26" s="7">
        <f t="shared" si="1"/>
        <v>-7.4808303721711521E-4</v>
      </c>
      <c r="J26" s="7">
        <f t="shared" si="1"/>
        <v>4.5349473812275595E-2</v>
      </c>
      <c r="K26" s="7">
        <f t="shared" si="1"/>
        <v>4.8546471322272022E-2</v>
      </c>
    </row>
    <row r="27" spans="1:11" x14ac:dyDescent="0.55000000000000004">
      <c r="A27">
        <v>9314</v>
      </c>
      <c r="B27">
        <v>10000</v>
      </c>
      <c r="C27">
        <v>0</v>
      </c>
      <c r="D27">
        <v>2049</v>
      </c>
      <c r="E27">
        <v>53.13</v>
      </c>
      <c r="F27">
        <v>343.46</v>
      </c>
      <c r="G27">
        <v>1135.97</v>
      </c>
      <c r="I27" s="7">
        <f t="shared" si="1"/>
        <v>-6.3993977037454597E-3</v>
      </c>
      <c r="J27" s="7">
        <f t="shared" si="1"/>
        <v>4.2741512839923154E-2</v>
      </c>
      <c r="K27" s="7">
        <f t="shared" si="1"/>
        <v>4.7642103224557086E-2</v>
      </c>
    </row>
    <row r="28" spans="1:11" x14ac:dyDescent="0.55000000000000004">
      <c r="A28">
        <v>9679</v>
      </c>
      <c r="B28">
        <v>10000</v>
      </c>
      <c r="C28">
        <v>0</v>
      </c>
      <c r="D28">
        <v>2050</v>
      </c>
      <c r="E28">
        <v>52.5</v>
      </c>
      <c r="F28">
        <v>367.12</v>
      </c>
      <c r="G28">
        <v>1243.78</v>
      </c>
      <c r="I28" s="7">
        <f t="shared" si="1"/>
        <v>-1.2000000000000049E-2</v>
      </c>
      <c r="J28" s="7">
        <f t="shared" si="1"/>
        <v>6.4447592067988738E-2</v>
      </c>
      <c r="K28" s="7">
        <f t="shared" si="1"/>
        <v>8.6679316277798277E-2</v>
      </c>
    </row>
    <row r="29" spans="1:11" x14ac:dyDescent="0.55000000000000004">
      <c r="A29">
        <v>10044</v>
      </c>
      <c r="B29">
        <v>10000</v>
      </c>
      <c r="C29">
        <v>0</v>
      </c>
      <c r="D29">
        <v>2051</v>
      </c>
      <c r="E29">
        <v>53.55</v>
      </c>
      <c r="F29">
        <v>381.7</v>
      </c>
      <c r="G29">
        <v>1306.1300000000001</v>
      </c>
      <c r="I29" s="7">
        <f t="shared" si="1"/>
        <v>1.960784313725485E-2</v>
      </c>
      <c r="J29" s="7">
        <f t="shared" si="1"/>
        <v>3.8197537332983977E-2</v>
      </c>
      <c r="K29" s="7">
        <f t="shared" si="1"/>
        <v>4.7736442773690317E-2</v>
      </c>
    </row>
    <row r="30" spans="1:11" x14ac:dyDescent="0.55000000000000004">
      <c r="A30">
        <v>10409</v>
      </c>
      <c r="B30">
        <v>10000</v>
      </c>
      <c r="C30">
        <v>0</v>
      </c>
      <c r="D30">
        <v>2052</v>
      </c>
      <c r="E30">
        <v>52.67</v>
      </c>
      <c r="F30">
        <v>409.44</v>
      </c>
      <c r="G30">
        <v>1406.97</v>
      </c>
      <c r="I30" s="7">
        <f t="shared" si="1"/>
        <v>-1.6707803303588294E-2</v>
      </c>
      <c r="J30" s="7">
        <f t="shared" si="1"/>
        <v>6.7751074638530695E-2</v>
      </c>
      <c r="K30" s="7">
        <f t="shared" si="1"/>
        <v>7.1671748509207669E-2</v>
      </c>
    </row>
    <row r="31" spans="1:11" x14ac:dyDescent="0.55000000000000004">
      <c r="A31">
        <v>10774</v>
      </c>
      <c r="B31">
        <v>10000</v>
      </c>
      <c r="C31">
        <v>0</v>
      </c>
      <c r="D31">
        <v>2053</v>
      </c>
      <c r="E31">
        <v>54.82</v>
      </c>
      <c r="F31">
        <v>442.83</v>
      </c>
      <c r="G31">
        <v>1551.76</v>
      </c>
      <c r="I31" s="7">
        <f t="shared" si="1"/>
        <v>3.9219263042685124E-2</v>
      </c>
      <c r="J31" s="7">
        <f t="shared" si="1"/>
        <v>7.5401395569405838E-2</v>
      </c>
      <c r="K31" s="7">
        <f t="shared" si="1"/>
        <v>9.3306954683713958E-2</v>
      </c>
    </row>
    <row r="32" spans="1:11" x14ac:dyDescent="0.55000000000000004">
      <c r="A32">
        <v>11139</v>
      </c>
      <c r="B32">
        <v>10000</v>
      </c>
      <c r="C32">
        <v>0</v>
      </c>
      <c r="D32">
        <v>2054</v>
      </c>
      <c r="E32">
        <v>53.45</v>
      </c>
      <c r="F32">
        <v>463.49</v>
      </c>
      <c r="G32">
        <v>1643.12</v>
      </c>
      <c r="I32" s="7">
        <f t="shared" si="1"/>
        <v>-2.5631431244153364E-2</v>
      </c>
      <c r="J32" s="7">
        <f t="shared" si="1"/>
        <v>4.4574855983947927E-2</v>
      </c>
      <c r="K32" s="7">
        <f t="shared" si="1"/>
        <v>5.5601538536442806E-2</v>
      </c>
    </row>
    <row r="33" spans="1:11" x14ac:dyDescent="0.55000000000000004">
      <c r="A33">
        <v>11504</v>
      </c>
      <c r="B33">
        <v>10000</v>
      </c>
      <c r="C33">
        <v>0</v>
      </c>
      <c r="D33">
        <v>2055</v>
      </c>
      <c r="E33">
        <v>53.98</v>
      </c>
      <c r="F33">
        <v>504.34</v>
      </c>
      <c r="G33">
        <v>1799.14</v>
      </c>
      <c r="I33" s="7">
        <f t="shared" si="1"/>
        <v>9.8184512782510946E-3</v>
      </c>
      <c r="J33" s="7">
        <f t="shared" si="1"/>
        <v>8.0996946504342249E-2</v>
      </c>
      <c r="K33" s="7">
        <f t="shared" si="1"/>
        <v>8.6719210289360582E-2</v>
      </c>
    </row>
    <row r="34" spans="1:11" x14ac:dyDescent="0.55000000000000004">
      <c r="A34">
        <v>11869</v>
      </c>
      <c r="B34">
        <v>10000</v>
      </c>
      <c r="C34">
        <v>0</v>
      </c>
      <c r="D34">
        <v>2056</v>
      </c>
      <c r="E34">
        <v>54.99</v>
      </c>
      <c r="F34">
        <v>537.44000000000005</v>
      </c>
      <c r="G34">
        <v>1946.29</v>
      </c>
      <c r="I34" s="7">
        <f t="shared" si="1"/>
        <v>1.8366975813784416E-2</v>
      </c>
      <c r="J34" s="7">
        <f t="shared" si="1"/>
        <v>6.1588270318547328E-2</v>
      </c>
      <c r="K34" s="7">
        <f t="shared" si="1"/>
        <v>7.5605382548335487E-2</v>
      </c>
    </row>
    <row r="35" spans="1:11" x14ac:dyDescent="0.55000000000000004">
      <c r="A35">
        <v>12234</v>
      </c>
      <c r="B35">
        <v>10000</v>
      </c>
      <c r="C35">
        <v>0</v>
      </c>
      <c r="D35">
        <v>2057</v>
      </c>
      <c r="E35">
        <v>54.72</v>
      </c>
      <c r="F35">
        <v>577.07000000000005</v>
      </c>
      <c r="G35">
        <v>2065.1799999999998</v>
      </c>
      <c r="I35" s="7">
        <f t="shared" si="1"/>
        <v>-4.9342105263158464E-3</v>
      </c>
      <c r="J35" s="7">
        <f t="shared" si="1"/>
        <v>6.8674510891226351E-2</v>
      </c>
      <c r="K35" s="7">
        <f t="shared" si="1"/>
        <v>5.7568831772533087E-2</v>
      </c>
    </row>
    <row r="36" spans="1:11" x14ac:dyDescent="0.55000000000000004">
      <c r="A36">
        <v>12599</v>
      </c>
      <c r="B36">
        <v>10000</v>
      </c>
      <c r="C36">
        <v>0</v>
      </c>
      <c r="D36">
        <v>2058</v>
      </c>
      <c r="E36">
        <v>55.36</v>
      </c>
      <c r="F36">
        <v>605.83000000000004</v>
      </c>
      <c r="G36">
        <v>2231.5100000000002</v>
      </c>
      <c r="I36" s="7">
        <f t="shared" si="1"/>
        <v>1.1560693641618507E-2</v>
      </c>
      <c r="J36" s="7">
        <f t="shared" si="1"/>
        <v>4.7472063120017151E-2</v>
      </c>
      <c r="K36" s="7">
        <f t="shared" si="1"/>
        <v>7.453697272250645E-2</v>
      </c>
    </row>
    <row r="37" spans="1:11" x14ac:dyDescent="0.55000000000000004">
      <c r="A37">
        <v>12964</v>
      </c>
      <c r="B37">
        <v>10000</v>
      </c>
      <c r="C37">
        <v>0</v>
      </c>
      <c r="D37">
        <v>2059</v>
      </c>
      <c r="E37">
        <v>54.71</v>
      </c>
      <c r="F37">
        <v>645.33000000000004</v>
      </c>
      <c r="G37">
        <v>2381.4</v>
      </c>
      <c r="I37" s="7">
        <f t="shared" si="1"/>
        <v>-1.1880826174373946E-2</v>
      </c>
      <c r="J37" s="7">
        <f t="shared" si="1"/>
        <v>6.1208993848108718E-2</v>
      </c>
      <c r="K37" s="7">
        <f t="shared" si="1"/>
        <v>6.2941966910220817E-2</v>
      </c>
    </row>
    <row r="38" spans="1:11" x14ac:dyDescent="0.55000000000000004">
      <c r="A38">
        <v>13329</v>
      </c>
      <c r="B38">
        <v>10000</v>
      </c>
      <c r="C38">
        <v>0</v>
      </c>
      <c r="D38">
        <v>2060</v>
      </c>
      <c r="E38">
        <v>54.42</v>
      </c>
      <c r="F38">
        <v>682.71</v>
      </c>
      <c r="G38">
        <v>2525.98</v>
      </c>
      <c r="I38" s="7">
        <f t="shared" si="1"/>
        <v>-5.3289231900036597E-3</v>
      </c>
      <c r="J38" s="7">
        <f t="shared" si="1"/>
        <v>5.4752383881882485E-2</v>
      </c>
      <c r="K38" s="7">
        <f t="shared" si="1"/>
        <v>5.7237191109985007E-2</v>
      </c>
    </row>
    <row r="39" spans="1:11" x14ac:dyDescent="0.55000000000000004">
      <c r="A39">
        <v>13694</v>
      </c>
      <c r="B39">
        <v>10000</v>
      </c>
      <c r="C39">
        <v>0</v>
      </c>
      <c r="D39">
        <v>2061</v>
      </c>
      <c r="E39">
        <v>56.32</v>
      </c>
      <c r="F39">
        <v>710.4</v>
      </c>
      <c r="G39">
        <v>2639.26</v>
      </c>
      <c r="I39" s="7">
        <f t="shared" si="1"/>
        <v>3.3735795454545428E-2</v>
      </c>
      <c r="J39" s="7">
        <f t="shared" si="1"/>
        <v>3.8978040540540458E-2</v>
      </c>
      <c r="K39" s="7">
        <f t="shared" si="1"/>
        <v>4.2921121829603823E-2</v>
      </c>
    </row>
    <row r="40" spans="1:11" x14ac:dyDescent="0.55000000000000004">
      <c r="A40">
        <v>14059</v>
      </c>
      <c r="B40">
        <v>10000</v>
      </c>
      <c r="C40">
        <v>0</v>
      </c>
      <c r="D40">
        <v>2062</v>
      </c>
      <c r="E40">
        <v>56.16</v>
      </c>
      <c r="F40">
        <v>798.52</v>
      </c>
      <c r="G40">
        <v>2973.21</v>
      </c>
      <c r="I40" s="7">
        <f t="shared" si="1"/>
        <v>-2.8490028490029151E-3</v>
      </c>
      <c r="J40" s="7">
        <f t="shared" si="1"/>
        <v>0.11035415518709614</v>
      </c>
      <c r="K40" s="7">
        <f t="shared" si="1"/>
        <v>0.11231968142176295</v>
      </c>
    </row>
    <row r="41" spans="1:11" x14ac:dyDescent="0.55000000000000004">
      <c r="A41">
        <v>14424</v>
      </c>
      <c r="B41">
        <v>10000</v>
      </c>
      <c r="C41">
        <v>0</v>
      </c>
      <c r="D41">
        <v>2063</v>
      </c>
      <c r="E41">
        <v>55.71</v>
      </c>
      <c r="F41">
        <v>814.08</v>
      </c>
      <c r="G41">
        <v>3024.89</v>
      </c>
      <c r="I41" s="7">
        <f t="shared" si="1"/>
        <v>-8.0775444264942695E-3</v>
      </c>
      <c r="J41" s="7">
        <f t="shared" si="1"/>
        <v>1.9113600628930888E-2</v>
      </c>
      <c r="K41" s="7">
        <f t="shared" si="1"/>
        <v>1.7084918790435302E-2</v>
      </c>
    </row>
    <row r="42" spans="1:11" x14ac:dyDescent="0.55000000000000004">
      <c r="I42" s="7"/>
      <c r="J42" s="7"/>
      <c r="K42" s="7"/>
    </row>
    <row r="43" spans="1:11" x14ac:dyDescent="0.55000000000000004">
      <c r="I43" s="47">
        <f>AVERAGE(I3:I41)</f>
        <v>-8.4898228088321672E-3</v>
      </c>
      <c r="J43" s="47">
        <f t="shared" ref="J43:K43" si="2">AVERAGE(J3:J41)</f>
        <v>5.3753387724058625E-2</v>
      </c>
      <c r="K43" s="47">
        <f t="shared" si="2"/>
        <v>8.0118593929516244E-2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C5A-4CA1-4E35-9436-C3E1B980376D}">
  <dimension ref="A1:X47"/>
  <sheetViews>
    <sheetView topLeftCell="A14" workbookViewId="0">
      <selection activeCell="O32" sqref="O32"/>
    </sheetView>
  </sheetViews>
  <sheetFormatPr defaultRowHeight="14.4" x14ac:dyDescent="0.55000000000000004"/>
  <cols>
    <col min="2" max="2" width="3.20703125" customWidth="1"/>
    <col min="4" max="4" width="11.5234375" bestFit="1" customWidth="1"/>
    <col min="5" max="5" width="11.5234375" customWidth="1"/>
    <col min="6" max="6" width="11.5234375" bestFit="1" customWidth="1"/>
    <col min="7" max="7" width="7.62890625" bestFit="1" customWidth="1"/>
    <col min="8" max="8" width="10.15625" bestFit="1" customWidth="1"/>
    <col min="9" max="9" width="4.3671875" customWidth="1"/>
    <col min="11" max="11" width="11.15625" bestFit="1" customWidth="1"/>
    <col min="12" max="12" width="9.734375" bestFit="1" customWidth="1"/>
    <col min="13" max="13" width="12.15625" bestFit="1" customWidth="1"/>
    <col min="14" max="14" width="7.62890625" bestFit="1" customWidth="1"/>
    <col min="15" max="15" width="10.15625" bestFit="1" customWidth="1"/>
    <col min="16" max="16" width="6.05078125" customWidth="1"/>
    <col min="18" max="18" width="11.15625" bestFit="1" customWidth="1"/>
    <col min="19" max="19" width="9.734375" bestFit="1" customWidth="1"/>
    <col min="20" max="20" width="11.15625" bestFit="1" customWidth="1"/>
    <col min="21" max="21" width="7.62890625" bestFit="1" customWidth="1"/>
    <col min="22" max="22" width="10.15625" bestFit="1" customWidth="1"/>
  </cols>
  <sheetData>
    <row r="1" spans="1:24" x14ac:dyDescent="0.55000000000000004">
      <c r="A1" s="49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X1" s="6"/>
    </row>
    <row r="2" spans="1:24" ht="14.7" thickBot="1" x14ac:dyDescent="0.6">
      <c r="X2" s="6"/>
    </row>
    <row r="3" spans="1:24" x14ac:dyDescent="0.55000000000000004">
      <c r="C3" s="51" t="s">
        <v>31</v>
      </c>
      <c r="D3" s="52"/>
      <c r="E3" s="52"/>
      <c r="F3" s="53"/>
      <c r="G3" s="20" t="s">
        <v>37</v>
      </c>
      <c r="H3" s="20" t="s">
        <v>40</v>
      </c>
      <c r="J3" s="51" t="s">
        <v>32</v>
      </c>
      <c r="K3" s="52"/>
      <c r="L3" s="52"/>
      <c r="M3" s="53"/>
      <c r="N3" s="20" t="s">
        <v>37</v>
      </c>
      <c r="O3" s="20" t="s">
        <v>41</v>
      </c>
      <c r="Q3" s="51" t="s">
        <v>33</v>
      </c>
      <c r="R3" s="52"/>
      <c r="S3" s="52"/>
      <c r="T3" s="53"/>
      <c r="U3" s="20" t="s">
        <v>37</v>
      </c>
      <c r="V3" s="20" t="s">
        <v>41</v>
      </c>
      <c r="X3" s="6"/>
    </row>
    <row r="4" spans="1:24" s="10" customFormat="1" x14ac:dyDescent="0.55000000000000004">
      <c r="A4" s="10" t="str">
        <f>[1]MCSummary!$D$1</f>
        <v>Year</v>
      </c>
      <c r="B4"/>
      <c r="C4" s="17" t="str">
        <f>[1]MCSummary!$I$1</f>
        <v>5Per</v>
      </c>
      <c r="D4" s="18" t="s">
        <v>35</v>
      </c>
      <c r="E4" s="18" t="s">
        <v>30</v>
      </c>
      <c r="F4" s="19" t="s">
        <v>6</v>
      </c>
      <c r="G4" s="18"/>
      <c r="H4" s="18"/>
      <c r="J4" s="17" t="str">
        <f>[1]MCSummary!$J$1</f>
        <v>Mean</v>
      </c>
      <c r="K4" s="18" t="s">
        <v>35</v>
      </c>
      <c r="L4" s="18" t="s">
        <v>30</v>
      </c>
      <c r="M4" s="19" t="s">
        <v>6</v>
      </c>
      <c r="N4" s="18"/>
      <c r="O4" s="18"/>
      <c r="Q4" s="17" t="str">
        <f>[1]MCSummary!$K$1</f>
        <v>95Per</v>
      </c>
      <c r="R4" s="18" t="s">
        <v>35</v>
      </c>
      <c r="S4" s="18" t="s">
        <v>30</v>
      </c>
      <c r="T4" s="19" t="s">
        <v>6</v>
      </c>
      <c r="U4" s="18"/>
      <c r="V4" s="18"/>
    </row>
    <row r="5" spans="1:24" ht="14.7" thickBot="1" x14ac:dyDescent="0.6">
      <c r="A5" s="9">
        <f>MSFT_MCSummary!D2</f>
        <v>2024</v>
      </c>
      <c r="C5" s="13">
        <f>MSFT_MCSummary!I2</f>
        <v>-0.29168834171435182</v>
      </c>
      <c r="D5" s="12">
        <f>StartingPortfolio*MSFT_AAP</f>
        <v>50000</v>
      </c>
      <c r="E5" s="12">
        <f>FirstJob_AnnualIncome*FirstJob_TargetSavingsPercent*MSFT_AAP</f>
        <v>15000</v>
      </c>
      <c r="F5" s="14">
        <f>(D5+E5)*(1+C5)</f>
        <v>46040.257788567127</v>
      </c>
      <c r="G5" s="21" t="str">
        <f t="shared" ref="G5:G44" si="0">IF((F5-FinancialGoal)&gt;0,"Reached","")</f>
        <v/>
      </c>
      <c r="H5" s="21">
        <f>E5</f>
        <v>15000</v>
      </c>
      <c r="I5" s="7"/>
      <c r="J5" s="13">
        <f>MSFT_MCSummary!J2</f>
        <v>8.462530976713703E-2</v>
      </c>
      <c r="K5" s="12">
        <f>StartingPortfolio*MSFT_AAP</f>
        <v>50000</v>
      </c>
      <c r="L5" s="12">
        <f>FirstJob_AnnualIncome*FirstJob_TargetSavingsPercent*MSFT_AAP</f>
        <v>15000</v>
      </c>
      <c r="M5" s="14">
        <f>(K5+L5)*(1+J5)</f>
        <v>70500.645134863909</v>
      </c>
      <c r="N5" s="21" t="str">
        <f t="shared" ref="N5:N44" si="1">IF((M5-FinancialGoal)&gt;0,"Reached","")</f>
        <v/>
      </c>
      <c r="O5" s="21">
        <f>L5</f>
        <v>15000</v>
      </c>
      <c r="P5" s="7"/>
      <c r="Q5" s="13">
        <f>MSFT_MCSummary!K2</f>
        <v>0.34638276714291977</v>
      </c>
      <c r="R5" s="12">
        <f>StartingPortfolio*MSFT_AAP</f>
        <v>50000</v>
      </c>
      <c r="S5" s="12">
        <f>FirstJob_AnnualIncome*FirstJob_TargetSavingsPercent*MSFT_AAP</f>
        <v>15000</v>
      </c>
      <c r="T5" s="14">
        <f>(R5+S5)*(1+Q5)</f>
        <v>87514.879864289789</v>
      </c>
      <c r="U5" s="21" t="str">
        <f t="shared" ref="U5:U44" si="2">IF((T5-FinancialGoal)&gt;0,"Reached","")</f>
        <v/>
      </c>
      <c r="V5" s="21">
        <f>S5</f>
        <v>15000</v>
      </c>
    </row>
    <row r="6" spans="1:24" ht="15" thickTop="1" thickBot="1" x14ac:dyDescent="0.6">
      <c r="A6" s="9">
        <f>MSFT_MCSummary!D3</f>
        <v>2025</v>
      </c>
      <c r="C6" s="13">
        <f>MSFT_MCSummary!I3</f>
        <v>-0.10581317311687052</v>
      </c>
      <c r="D6" s="12">
        <f>F5</f>
        <v>46040.257788567127</v>
      </c>
      <c r="E6" s="12">
        <f t="shared" ref="E6:E44" si="3">E5*(1+FirstJob_IncomeYrlyIncrease)</f>
        <v>16500</v>
      </c>
      <c r="F6" s="14">
        <f t="shared" ref="F6:F44" si="4">(D6+E6)*(1+C6)</f>
        <v>55922.674664411759</v>
      </c>
      <c r="G6" s="21" t="str">
        <f t="shared" si="0"/>
        <v/>
      </c>
      <c r="H6" s="21">
        <f>H5+E6</f>
        <v>31500</v>
      </c>
      <c r="I6" s="5"/>
      <c r="J6" s="13">
        <f>MSFT_MCSummary!J3</f>
        <v>0.15725430632745352</v>
      </c>
      <c r="K6" s="12">
        <f>M5</f>
        <v>70500.645134863909</v>
      </c>
      <c r="L6" s="12">
        <f t="shared" ref="L6:L44" si="5">L5*(1+FirstJob_IncomeYrlyIncrease)</f>
        <v>16500</v>
      </c>
      <c r="M6" s="14">
        <f>(K6+L6)*(1+J6)</f>
        <v>100681.87123558788</v>
      </c>
      <c r="N6" s="21" t="str">
        <f t="shared" si="1"/>
        <v/>
      </c>
      <c r="O6" s="21">
        <f>L6+O5</f>
        <v>31500</v>
      </c>
      <c r="P6" s="5"/>
      <c r="Q6" s="13">
        <f>MSFT_MCSummary!K3</f>
        <v>0.34278107760029225</v>
      </c>
      <c r="R6" s="12">
        <f>T5</f>
        <v>87514.879864289789</v>
      </c>
      <c r="S6" s="12">
        <f t="shared" ref="S6:S44" si="6">S5*(1+FirstJob_IncomeYrlyIncrease)</f>
        <v>16500</v>
      </c>
      <c r="T6" s="14">
        <f>(R6+S6)*(1+Q6)</f>
        <v>139669.21247063598</v>
      </c>
      <c r="U6" s="21" t="str">
        <f t="shared" si="2"/>
        <v/>
      </c>
      <c r="V6" s="21">
        <f>S6+V5</f>
        <v>31500</v>
      </c>
    </row>
    <row r="7" spans="1:24" ht="15" thickTop="1" thickBot="1" x14ac:dyDescent="0.6">
      <c r="A7" s="9">
        <f>MSFT_MCSummary!D4</f>
        <v>2026</v>
      </c>
      <c r="C7" s="13">
        <f>MSFT_MCSummary!I4</f>
        <v>-4.171382914974376E-2</v>
      </c>
      <c r="D7" s="12">
        <f t="shared" ref="D7:D44" si="7">F6</f>
        <v>55922.674664411759</v>
      </c>
      <c r="E7" s="12">
        <f t="shared" si="3"/>
        <v>18150</v>
      </c>
      <c r="F7" s="14">
        <f t="shared" si="4"/>
        <v>70982.819768795933</v>
      </c>
      <c r="G7" s="21" t="str">
        <f t="shared" si="0"/>
        <v/>
      </c>
      <c r="H7" s="21">
        <f t="shared" ref="H7:H44" si="8">H6+E7</f>
        <v>49650</v>
      </c>
      <c r="I7" s="5"/>
      <c r="J7" s="13">
        <f>MSFT_MCSummary!J4</f>
        <v>0.16390556453474953</v>
      </c>
      <c r="K7" s="12">
        <f t="shared" ref="K7:K44" si="9">M6</f>
        <v>100681.87123558788</v>
      </c>
      <c r="L7" s="12">
        <f t="shared" si="5"/>
        <v>18150</v>
      </c>
      <c r="M7" s="14">
        <f t="shared" ref="M7:M44" si="10">(K7+L7)*(1+J7)</f>
        <v>138309.07617517759</v>
      </c>
      <c r="N7" s="21" t="str">
        <f t="shared" si="1"/>
        <v/>
      </c>
      <c r="O7" s="21">
        <f t="shared" ref="O7:O44" si="11">L7+O6</f>
        <v>49650</v>
      </c>
      <c r="P7" s="5"/>
      <c r="Q7" s="13">
        <f>MSFT_MCSummary!K4</f>
        <v>0.2981625384490853</v>
      </c>
      <c r="R7" s="12">
        <f t="shared" ref="R7:R44" si="12">T6</f>
        <v>139669.21247063598</v>
      </c>
      <c r="S7" s="12">
        <f t="shared" si="6"/>
        <v>18150</v>
      </c>
      <c r="T7" s="14">
        <f t="shared" ref="T7:T44" si="13">(R7+S7)*(1+Q7)</f>
        <v>204874.98947691635</v>
      </c>
      <c r="U7" s="21" t="str">
        <f t="shared" si="2"/>
        <v/>
      </c>
      <c r="V7" s="21">
        <f t="shared" ref="V7:V44" si="14">S7+V6</f>
        <v>49650</v>
      </c>
    </row>
    <row r="8" spans="1:24" ht="15" thickTop="1" thickBot="1" x14ac:dyDescent="0.6">
      <c r="A8" s="9">
        <f>MSFT_MCSummary!D5</f>
        <v>2027</v>
      </c>
      <c r="C8" s="13">
        <f>MSFT_MCSummary!I5</f>
        <v>-8.6974042110211057E-3</v>
      </c>
      <c r="D8" s="12">
        <f t="shared" si="7"/>
        <v>70982.819768795933</v>
      </c>
      <c r="E8" s="12">
        <f t="shared" si="3"/>
        <v>19965</v>
      </c>
      <c r="F8" s="14">
        <f t="shared" si="4"/>
        <v>90156.809818155627</v>
      </c>
      <c r="G8" s="21" t="str">
        <f t="shared" si="0"/>
        <v/>
      </c>
      <c r="H8" s="21">
        <f t="shared" si="8"/>
        <v>69615</v>
      </c>
      <c r="I8" s="5"/>
      <c r="J8" s="13">
        <f>MSFT_MCSummary!J5</f>
        <v>0.16843469495511929</v>
      </c>
      <c r="K8" s="12">
        <f t="shared" si="9"/>
        <v>138309.07617517759</v>
      </c>
      <c r="L8" s="12">
        <f t="shared" si="5"/>
        <v>19965</v>
      </c>
      <c r="M8" s="14">
        <f t="shared" si="10"/>
        <v>184932.92191504693</v>
      </c>
      <c r="N8" s="21" t="str">
        <f t="shared" si="1"/>
        <v/>
      </c>
      <c r="O8" s="21">
        <f t="shared" si="11"/>
        <v>69615</v>
      </c>
      <c r="P8" s="5"/>
      <c r="Q8" s="13">
        <f>MSFT_MCSummary!K5</f>
        <v>0.2709425499896726</v>
      </c>
      <c r="R8" s="12">
        <f t="shared" si="12"/>
        <v>204874.98947691635</v>
      </c>
      <c r="S8" s="12">
        <f t="shared" si="6"/>
        <v>19965</v>
      </c>
      <c r="T8" s="14">
        <f t="shared" si="13"/>
        <v>285758.70956544322</v>
      </c>
      <c r="U8" s="21" t="str">
        <f t="shared" si="2"/>
        <v/>
      </c>
      <c r="V8" s="21">
        <f t="shared" si="14"/>
        <v>69615</v>
      </c>
    </row>
    <row r="9" spans="1:24" ht="15" thickTop="1" thickBot="1" x14ac:dyDescent="0.6">
      <c r="A9" s="9">
        <f>MSFT_MCSummary!D6</f>
        <v>2028</v>
      </c>
      <c r="C9" s="13">
        <f>MSFT_MCSummary!I6</f>
        <v>-5.5377342562891894E-3</v>
      </c>
      <c r="D9" s="12">
        <f t="shared" si="7"/>
        <v>90156.809818155627</v>
      </c>
      <c r="E9" s="12">
        <f t="shared" si="3"/>
        <v>21961.5</v>
      </c>
      <c r="F9" s="14">
        <f t="shared" si="4"/>
        <v>111497.42841311838</v>
      </c>
      <c r="G9" s="21" t="str">
        <f t="shared" si="0"/>
        <v/>
      </c>
      <c r="H9" s="21">
        <f t="shared" si="8"/>
        <v>91576.5</v>
      </c>
      <c r="I9" s="5"/>
      <c r="J9" s="13">
        <f>MSFT_MCSummary!J6</f>
        <v>0.1740966124204642</v>
      </c>
      <c r="K9" s="12">
        <f t="shared" si="9"/>
        <v>184932.92191504693</v>
      </c>
      <c r="L9" s="12">
        <f t="shared" si="5"/>
        <v>21961.5</v>
      </c>
      <c r="M9" s="14">
        <f t="shared" si="10"/>
        <v>242914.03989914682</v>
      </c>
      <c r="N9" s="21" t="str">
        <f t="shared" si="1"/>
        <v/>
      </c>
      <c r="O9" s="21">
        <f t="shared" si="11"/>
        <v>91576.5</v>
      </c>
      <c r="P9" s="5"/>
      <c r="Q9" s="13">
        <f>MSFT_MCSummary!K6</f>
        <v>0.25087956498833996</v>
      </c>
      <c r="R9" s="12">
        <f t="shared" si="12"/>
        <v>285758.70956544322</v>
      </c>
      <c r="S9" s="12">
        <f t="shared" si="6"/>
        <v>21961.5</v>
      </c>
      <c r="T9" s="14">
        <f t="shared" si="13"/>
        <v>384920.92187934241</v>
      </c>
      <c r="U9" s="21" t="str">
        <f t="shared" si="2"/>
        <v/>
      </c>
      <c r="V9" s="21">
        <f t="shared" si="14"/>
        <v>91576.5</v>
      </c>
    </row>
    <row r="10" spans="1:24" ht="15" thickTop="1" thickBot="1" x14ac:dyDescent="0.6">
      <c r="A10" s="9">
        <f>MSFT_MCSummary!D7</f>
        <v>2029</v>
      </c>
      <c r="C10" s="13">
        <f>MSFT_MCSummary!I7</f>
        <v>1.715783884242671E-2</v>
      </c>
      <c r="D10" s="12">
        <f t="shared" si="7"/>
        <v>111497.42841311838</v>
      </c>
      <c r="E10" s="12">
        <f t="shared" si="3"/>
        <v>24157.65</v>
      </c>
      <c r="F10" s="14">
        <f t="shared" si="4"/>
        <v>137982.62638668742</v>
      </c>
      <c r="G10" s="21" t="str">
        <f t="shared" si="0"/>
        <v/>
      </c>
      <c r="H10" s="21">
        <f t="shared" si="8"/>
        <v>115734.15</v>
      </c>
      <c r="I10" s="5"/>
      <c r="J10" s="13">
        <f>MSFT_MCSummary!J7</f>
        <v>0.18282687572891021</v>
      </c>
      <c r="K10" s="12">
        <f t="shared" si="9"/>
        <v>242914.03989914682</v>
      </c>
      <c r="L10" s="12">
        <f t="shared" si="5"/>
        <v>24157.65</v>
      </c>
      <c r="M10" s="14">
        <f t="shared" si="10"/>
        <v>315899.57255904819</v>
      </c>
      <c r="N10" s="21" t="str">
        <f t="shared" si="1"/>
        <v/>
      </c>
      <c r="O10" s="21">
        <f t="shared" si="11"/>
        <v>115734.15</v>
      </c>
      <c r="P10" s="5"/>
      <c r="Q10" s="13">
        <f>MSFT_MCSummary!K7</f>
        <v>0.25557956745668264</v>
      </c>
      <c r="R10" s="12">
        <f t="shared" si="12"/>
        <v>384920.92187934241</v>
      </c>
      <c r="S10" s="12">
        <f t="shared" si="6"/>
        <v>24157.65</v>
      </c>
      <c r="T10" s="14">
        <f t="shared" si="13"/>
        <v>513630.69633606216</v>
      </c>
      <c r="U10" s="21" t="str">
        <f t="shared" si="2"/>
        <v/>
      </c>
      <c r="V10" s="21">
        <f t="shared" si="14"/>
        <v>115734.15</v>
      </c>
    </row>
    <row r="11" spans="1:24" ht="15" thickTop="1" thickBot="1" x14ac:dyDescent="0.6">
      <c r="A11" s="9">
        <f>MSFT_MCSummary!D8</f>
        <v>2030</v>
      </c>
      <c r="C11" s="13">
        <f>MSFT_MCSummary!I8</f>
        <v>2.1402357831834078E-2</v>
      </c>
      <c r="D11" s="12">
        <f t="shared" si="7"/>
        <v>137982.62638668742</v>
      </c>
      <c r="E11" s="12">
        <f t="shared" si="3"/>
        <v>26573.415000000005</v>
      </c>
      <c r="F11" s="14">
        <f t="shared" si="4"/>
        <v>168077.92866783543</v>
      </c>
      <c r="G11" s="21" t="str">
        <f t="shared" si="0"/>
        <v/>
      </c>
      <c r="H11" s="21">
        <f t="shared" si="8"/>
        <v>142307.565</v>
      </c>
      <c r="I11" s="5"/>
      <c r="J11" s="13">
        <f>MSFT_MCSummary!J8</f>
        <v>0.19853561645613985</v>
      </c>
      <c r="K11" s="12">
        <f t="shared" si="9"/>
        <v>315899.57255904819</v>
      </c>
      <c r="L11" s="12">
        <f t="shared" si="5"/>
        <v>26573.415000000005</v>
      </c>
      <c r="M11" s="14">
        <f t="shared" si="10"/>
        <v>410466.07326365972</v>
      </c>
      <c r="N11" s="21" t="str">
        <f t="shared" si="1"/>
        <v/>
      </c>
      <c r="O11" s="21">
        <f t="shared" si="11"/>
        <v>142307.565</v>
      </c>
      <c r="P11" s="5"/>
      <c r="Q11" s="13">
        <f>MSFT_MCSummary!K8</f>
        <v>0.24716836998038605</v>
      </c>
      <c r="R11" s="12">
        <f t="shared" si="12"/>
        <v>513630.69633606216</v>
      </c>
      <c r="S11" s="12">
        <f t="shared" si="6"/>
        <v>26573.415000000005</v>
      </c>
      <c r="T11" s="14">
        <f t="shared" si="13"/>
        <v>673725.48099169973</v>
      </c>
      <c r="U11" s="21" t="str">
        <f t="shared" si="2"/>
        <v/>
      </c>
      <c r="V11" s="21">
        <f t="shared" si="14"/>
        <v>142307.565</v>
      </c>
    </row>
    <row r="12" spans="1:24" ht="15" thickTop="1" thickBot="1" x14ac:dyDescent="0.6">
      <c r="A12" s="9">
        <f>MSFT_MCSummary!D9</f>
        <v>2031</v>
      </c>
      <c r="C12" s="13">
        <f>MSFT_MCSummary!I9</f>
        <v>1.6701794724404296E-2</v>
      </c>
      <c r="D12" s="12">
        <f t="shared" si="7"/>
        <v>168077.92866783543</v>
      </c>
      <c r="E12" s="12">
        <f t="shared" si="3"/>
        <v>29230.756500000007</v>
      </c>
      <c r="F12" s="14">
        <f t="shared" si="4"/>
        <v>200604.09432485077</v>
      </c>
      <c r="G12" s="21" t="str">
        <f t="shared" si="0"/>
        <v/>
      </c>
      <c r="H12" s="21">
        <f t="shared" si="8"/>
        <v>171538.32150000002</v>
      </c>
      <c r="I12" s="5"/>
      <c r="J12" s="13">
        <f>MSFT_MCSummary!J9</f>
        <v>0.17306938771128447</v>
      </c>
      <c r="K12" s="12">
        <f t="shared" si="9"/>
        <v>410466.07326365972</v>
      </c>
      <c r="L12" s="12">
        <f t="shared" si="5"/>
        <v>29230.756500000007</v>
      </c>
      <c r="M12" s="14">
        <f t="shared" si="10"/>
        <v>515794.89086944924</v>
      </c>
      <c r="N12" s="21" t="str">
        <f t="shared" si="1"/>
        <v/>
      </c>
      <c r="O12" s="21">
        <f t="shared" si="11"/>
        <v>171538.32150000002</v>
      </c>
      <c r="P12" s="5"/>
      <c r="Q12" s="13">
        <f>MSFT_MCSummary!K9</f>
        <v>0.22580057351657737</v>
      </c>
      <c r="R12" s="12">
        <f t="shared" si="12"/>
        <v>673725.48099169973</v>
      </c>
      <c r="S12" s="12">
        <f t="shared" si="6"/>
        <v>29230.756500000007</v>
      </c>
      <c r="T12" s="14">
        <f t="shared" si="13"/>
        <v>861684.15907438088</v>
      </c>
      <c r="U12" s="21" t="str">
        <f t="shared" si="2"/>
        <v/>
      </c>
      <c r="V12" s="21">
        <f t="shared" si="14"/>
        <v>171538.32150000002</v>
      </c>
    </row>
    <row r="13" spans="1:24" ht="15" thickTop="1" thickBot="1" x14ac:dyDescent="0.6">
      <c r="A13" s="9">
        <f>MSFT_MCSummary!D10</f>
        <v>2032</v>
      </c>
      <c r="C13" s="13">
        <f>MSFT_MCSummary!I10</f>
        <v>2.0335377299461894E-2</v>
      </c>
      <c r="D13" s="12">
        <f t="shared" si="7"/>
        <v>200604.09432485077</v>
      </c>
      <c r="E13" s="12">
        <f t="shared" si="3"/>
        <v>32153.832150000009</v>
      </c>
      <c r="F13" s="14">
        <f t="shared" si="4"/>
        <v>237491.14672915728</v>
      </c>
      <c r="G13" s="21" t="str">
        <f t="shared" si="0"/>
        <v/>
      </c>
      <c r="H13" s="21">
        <f t="shared" si="8"/>
        <v>203692.15365000002</v>
      </c>
      <c r="I13" s="5"/>
      <c r="J13" s="13">
        <f>MSFT_MCSummary!J10</f>
        <v>0.22054356648564516</v>
      </c>
      <c r="K13" s="12">
        <f t="shared" si="9"/>
        <v>515794.89086944924</v>
      </c>
      <c r="L13" s="12">
        <f t="shared" si="5"/>
        <v>32153.832150000009</v>
      </c>
      <c r="M13" s="14">
        <f t="shared" si="10"/>
        <v>668795.28864541359</v>
      </c>
      <c r="N13" s="21" t="str">
        <f t="shared" si="1"/>
        <v/>
      </c>
      <c r="O13" s="21">
        <f t="shared" si="11"/>
        <v>203692.15365000002</v>
      </c>
      <c r="P13" s="5"/>
      <c r="Q13" s="13">
        <f>MSFT_MCSummary!K10</f>
        <v>0.25473967100161171</v>
      </c>
      <c r="R13" s="12">
        <f t="shared" si="12"/>
        <v>861684.15907438088</v>
      </c>
      <c r="S13" s="12">
        <f t="shared" si="6"/>
        <v>32153.832150000009</v>
      </c>
      <c r="T13" s="14">
        <f t="shared" si="13"/>
        <v>1121533.9870376212</v>
      </c>
      <c r="U13" s="21" t="str">
        <f t="shared" si="2"/>
        <v/>
      </c>
      <c r="V13" s="21">
        <f t="shared" si="14"/>
        <v>203692.15365000002</v>
      </c>
    </row>
    <row r="14" spans="1:24" ht="15" thickTop="1" thickBot="1" x14ac:dyDescent="0.6">
      <c r="A14" s="9">
        <f>MSFT_MCSummary!D11</f>
        <v>2033</v>
      </c>
      <c r="C14" s="13">
        <f>MSFT_MCSummary!I11</f>
        <v>2.5666036700603596E-2</v>
      </c>
      <c r="D14" s="12">
        <f t="shared" si="7"/>
        <v>237491.14672915728</v>
      </c>
      <c r="E14" s="12">
        <f t="shared" si="3"/>
        <v>35369.215365000011</v>
      </c>
      <c r="F14" s="14">
        <f t="shared" si="4"/>
        <v>279863.60616180592</v>
      </c>
      <c r="G14" s="21" t="str">
        <f t="shared" si="0"/>
        <v/>
      </c>
      <c r="H14" s="21">
        <f t="shared" si="8"/>
        <v>239061.36901500003</v>
      </c>
      <c r="I14" s="5"/>
      <c r="J14" s="13">
        <f>MSFT_MCSummary!J11</f>
        <v>0.16940099596540192</v>
      </c>
      <c r="K14" s="12">
        <f t="shared" si="9"/>
        <v>668795.28864541359</v>
      </c>
      <c r="L14" s="12">
        <f t="shared" si="5"/>
        <v>35369.215365000011</v>
      </c>
      <c r="M14" s="14">
        <f t="shared" si="10"/>
        <v>823450.67231326085</v>
      </c>
      <c r="N14" s="21" t="str">
        <f t="shared" si="1"/>
        <v/>
      </c>
      <c r="O14" s="21">
        <f t="shared" si="11"/>
        <v>239061.36901500003</v>
      </c>
      <c r="P14" s="5"/>
      <c r="Q14" s="13">
        <f>MSFT_MCSummary!K11</f>
        <v>0.20158094120310177</v>
      </c>
      <c r="R14" s="12">
        <f t="shared" si="12"/>
        <v>1121533.9870376212</v>
      </c>
      <c r="S14" s="12">
        <f t="shared" si="6"/>
        <v>35369.215365000011</v>
      </c>
      <c r="T14" s="14">
        <f t="shared" si="13"/>
        <v>1390112.8388238242</v>
      </c>
      <c r="U14" s="21" t="str">
        <f t="shared" si="2"/>
        <v/>
      </c>
      <c r="V14" s="21">
        <f t="shared" si="14"/>
        <v>239061.36901500003</v>
      </c>
    </row>
    <row r="15" spans="1:24" ht="15" thickTop="1" thickBot="1" x14ac:dyDescent="0.6">
      <c r="A15" s="9">
        <f>MSFT_MCSummary!D12</f>
        <v>2034</v>
      </c>
      <c r="C15" s="13">
        <f>MSFT_MCSummary!I12</f>
        <v>3.6565299530746709E-4</v>
      </c>
      <c r="D15" s="12">
        <f t="shared" si="7"/>
        <v>279863.60616180592</v>
      </c>
      <c r="E15" s="12">
        <f t="shared" si="3"/>
        <v>38906.136901500016</v>
      </c>
      <c r="F15" s="14">
        <f t="shared" si="4"/>
        <v>318886.30217467045</v>
      </c>
      <c r="G15" s="21" t="str">
        <f t="shared" si="0"/>
        <v/>
      </c>
      <c r="H15" s="21">
        <f t="shared" si="8"/>
        <v>277967.50591650006</v>
      </c>
      <c r="I15" s="5"/>
      <c r="J15" s="13">
        <f>MSFT_MCSummary!J12</f>
        <v>0.22492586238010712</v>
      </c>
      <c r="K15" s="12">
        <f t="shared" si="9"/>
        <v>823450.67231326085</v>
      </c>
      <c r="L15" s="12">
        <f t="shared" si="5"/>
        <v>38906.136901500016</v>
      </c>
      <c r="M15" s="14">
        <f t="shared" si="10"/>
        <v>1056323.1582067485</v>
      </c>
      <c r="N15" s="21" t="str">
        <f t="shared" si="1"/>
        <v/>
      </c>
      <c r="O15" s="21">
        <f t="shared" si="11"/>
        <v>277967.50591650006</v>
      </c>
      <c r="P15" s="5"/>
      <c r="Q15" s="13">
        <f>MSFT_MCSummary!K12</f>
        <v>0.24231959672973466</v>
      </c>
      <c r="R15" s="12">
        <f t="shared" si="12"/>
        <v>1390112.8388238242</v>
      </c>
      <c r="S15" s="12">
        <f t="shared" si="6"/>
        <v>38906.136901500016</v>
      </c>
      <c r="T15" s="14">
        <f t="shared" si="13"/>
        <v>1775298.2776422233</v>
      </c>
      <c r="U15" s="21" t="str">
        <f t="shared" si="2"/>
        <v/>
      </c>
      <c r="V15" s="21">
        <f t="shared" si="14"/>
        <v>277967.50591650006</v>
      </c>
    </row>
    <row r="16" spans="1:24" ht="15" thickTop="1" thickBot="1" x14ac:dyDescent="0.6">
      <c r="A16" s="9">
        <f>MSFT_MCSummary!D13</f>
        <v>2035</v>
      </c>
      <c r="C16" s="13">
        <f>MSFT_MCSummary!I13</f>
        <v>4.3262783511165456E-2</v>
      </c>
      <c r="D16" s="12">
        <f t="shared" si="7"/>
        <v>318886.30217467045</v>
      </c>
      <c r="E16" s="12">
        <f t="shared" si="3"/>
        <v>42796.750591650023</v>
      </c>
      <c r="F16" s="14">
        <f t="shared" si="4"/>
        <v>377330.46837780724</v>
      </c>
      <c r="G16" s="21" t="str">
        <f t="shared" si="0"/>
        <v/>
      </c>
      <c r="H16" s="21">
        <f t="shared" si="8"/>
        <v>320764.25650815008</v>
      </c>
      <c r="I16" s="5"/>
      <c r="J16" s="13">
        <f>MSFT_MCSummary!J13</f>
        <v>0.22047346595979211</v>
      </c>
      <c r="K16" s="12">
        <f t="shared" si="9"/>
        <v>1056323.1582067485</v>
      </c>
      <c r="L16" s="12">
        <f t="shared" si="5"/>
        <v>42796.750591650023</v>
      </c>
      <c r="M16" s="14">
        <f t="shared" si="10"/>
        <v>1341446.6845965921</v>
      </c>
      <c r="N16" s="21" t="str">
        <f t="shared" si="1"/>
        <v/>
      </c>
      <c r="O16" s="21">
        <f t="shared" si="11"/>
        <v>320764.25650815008</v>
      </c>
      <c r="P16" s="5"/>
      <c r="Q16" s="13">
        <f>MSFT_MCSummary!K13</f>
        <v>0.24221300419289271</v>
      </c>
      <c r="R16" s="12">
        <f t="shared" si="12"/>
        <v>1775298.2776422233</v>
      </c>
      <c r="S16" s="12">
        <f t="shared" si="6"/>
        <v>42796.750591650023</v>
      </c>
      <c r="T16" s="14">
        <f t="shared" si="13"/>
        <v>2258461.2869305615</v>
      </c>
      <c r="U16" s="21" t="str">
        <f t="shared" si="2"/>
        <v>Reached</v>
      </c>
      <c r="V16" s="21">
        <f t="shared" si="14"/>
        <v>320764.25650815008</v>
      </c>
    </row>
    <row r="17" spans="1:22" ht="15" thickTop="1" thickBot="1" x14ac:dyDescent="0.6">
      <c r="A17" s="9">
        <f>MSFT_MCSummary!D14</f>
        <v>2036</v>
      </c>
      <c r="C17" s="13">
        <f>MSFT_MCSummary!I14</f>
        <v>1.0757029560201928E-2</v>
      </c>
      <c r="D17" s="12">
        <f t="shared" si="7"/>
        <v>377330.46837780724</v>
      </c>
      <c r="E17" s="12">
        <f t="shared" si="3"/>
        <v>47076.425650815028</v>
      </c>
      <c r="F17" s="14">
        <f t="shared" si="4"/>
        <v>428972.25153324165</v>
      </c>
      <c r="G17" s="21" t="str">
        <f t="shared" si="0"/>
        <v/>
      </c>
      <c r="H17" s="21">
        <f t="shared" si="8"/>
        <v>367840.68215896509</v>
      </c>
      <c r="I17" s="5"/>
      <c r="J17" s="13">
        <f>MSFT_MCSummary!J14</f>
        <v>0.19072968986821265</v>
      </c>
      <c r="K17" s="12">
        <f t="shared" si="9"/>
        <v>1341446.6845965921</v>
      </c>
      <c r="L17" s="12">
        <f t="shared" si="5"/>
        <v>47076.425650815028</v>
      </c>
      <c r="M17" s="14">
        <f t="shared" si="10"/>
        <v>1653355.6924397412</v>
      </c>
      <c r="N17" s="21" t="str">
        <f t="shared" si="1"/>
        <v/>
      </c>
      <c r="O17" s="21">
        <f t="shared" si="11"/>
        <v>367840.68215896509</v>
      </c>
      <c r="P17" s="5"/>
      <c r="Q17" s="13">
        <f>MSFT_MCSummary!K14</f>
        <v>0.19204484536423624</v>
      </c>
      <c r="R17" s="12">
        <f t="shared" si="12"/>
        <v>2258461.2869305615</v>
      </c>
      <c r="S17" s="12">
        <f t="shared" si="6"/>
        <v>47076.425650815028</v>
      </c>
      <c r="T17" s="14">
        <f t="shared" si="13"/>
        <v>2748304.3460754822</v>
      </c>
      <c r="U17" s="21" t="str">
        <f t="shared" si="2"/>
        <v>Reached</v>
      </c>
      <c r="V17" s="21">
        <f t="shared" si="14"/>
        <v>367840.68215896509</v>
      </c>
    </row>
    <row r="18" spans="1:22" ht="15" thickTop="1" thickBot="1" x14ac:dyDescent="0.6">
      <c r="A18" s="9">
        <f>MSFT_MCSummary!D15</f>
        <v>2037</v>
      </c>
      <c r="C18" s="13">
        <f>MSFT_MCSummary!I15</f>
        <v>1.5110631408526694E-2</v>
      </c>
      <c r="D18" s="12">
        <f t="shared" si="7"/>
        <v>428972.25153324165</v>
      </c>
      <c r="E18" s="12">
        <f t="shared" si="3"/>
        <v>51784.068215896536</v>
      </c>
      <c r="F18" s="14">
        <f t="shared" si="4"/>
        <v>488020.85129418725</v>
      </c>
      <c r="G18" s="21" t="str">
        <f t="shared" si="0"/>
        <v/>
      </c>
      <c r="H18" s="21">
        <f t="shared" si="8"/>
        <v>419624.75037486164</v>
      </c>
      <c r="I18" s="5"/>
      <c r="J18" s="13">
        <f>MSFT_MCSummary!J15</f>
        <v>0.20284444926044323</v>
      </c>
      <c r="K18" s="12">
        <f t="shared" si="9"/>
        <v>1653355.6924397412</v>
      </c>
      <c r="L18" s="12">
        <f t="shared" si="5"/>
        <v>51784.068215896536</v>
      </c>
      <c r="M18" s="14">
        <f t="shared" si="10"/>
        <v>2051017.8963179148</v>
      </c>
      <c r="N18" s="21" t="str">
        <f t="shared" si="1"/>
        <v>Reached</v>
      </c>
      <c r="O18" s="21">
        <f t="shared" si="11"/>
        <v>419624.75037486164</v>
      </c>
      <c r="P18" s="5"/>
      <c r="Q18" s="13">
        <f>MSFT_MCSummary!K15</f>
        <v>0.21031148456026386</v>
      </c>
      <c r="R18" s="12">
        <f t="shared" si="12"/>
        <v>2748304.3460754822</v>
      </c>
      <c r="S18" s="12">
        <f t="shared" si="6"/>
        <v>51784.068215896536</v>
      </c>
      <c r="T18" s="14">
        <f t="shared" si="13"/>
        <v>3388979.1656009937</v>
      </c>
      <c r="U18" s="21" t="str">
        <f t="shared" si="2"/>
        <v>Reached</v>
      </c>
      <c r="V18" s="21">
        <f t="shared" si="14"/>
        <v>419624.75037486164</v>
      </c>
    </row>
    <row r="19" spans="1:22" ht="15" thickTop="1" thickBot="1" x14ac:dyDescent="0.6">
      <c r="A19" s="9">
        <f>MSFT_MCSummary!D16</f>
        <v>2038</v>
      </c>
      <c r="C19" s="13">
        <f>MSFT_MCSummary!I16</f>
        <v>1.6838871823513065E-2</v>
      </c>
      <c r="D19" s="12">
        <f t="shared" si="7"/>
        <v>488020.85129418725</v>
      </c>
      <c r="E19" s="12">
        <f t="shared" si="3"/>
        <v>56962.475037486191</v>
      </c>
      <c r="F19" s="14">
        <f t="shared" si="4"/>
        <v>554160.23070972424</v>
      </c>
      <c r="G19" s="21" t="str">
        <f t="shared" si="0"/>
        <v/>
      </c>
      <c r="H19" s="21">
        <f t="shared" si="8"/>
        <v>476587.22541234782</v>
      </c>
      <c r="I19" s="5"/>
      <c r="J19" s="13">
        <f>MSFT_MCSummary!J16</f>
        <v>0.26287286683626804</v>
      </c>
      <c r="K19" s="12">
        <f t="shared" si="9"/>
        <v>2051017.8963179148</v>
      </c>
      <c r="L19" s="12">
        <f t="shared" si="5"/>
        <v>56962.475037486191</v>
      </c>
      <c r="M19" s="14">
        <f t="shared" si="10"/>
        <v>2662111.2148081763</v>
      </c>
      <c r="N19" s="21" t="str">
        <f t="shared" si="1"/>
        <v>Reached</v>
      </c>
      <c r="O19" s="21">
        <f t="shared" si="11"/>
        <v>476587.22541234782</v>
      </c>
      <c r="P19" s="5"/>
      <c r="Q19" s="13">
        <f>MSFT_MCSummary!K16</f>
        <v>0.2673280823760727</v>
      </c>
      <c r="R19" s="12">
        <f t="shared" si="12"/>
        <v>3388979.1656009937</v>
      </c>
      <c r="S19" s="12">
        <f t="shared" si="6"/>
        <v>56962.475037486191</v>
      </c>
      <c r="T19" s="14">
        <f t="shared" si="13"/>
        <v>4367138.611410222</v>
      </c>
      <c r="U19" s="21" t="str">
        <f t="shared" si="2"/>
        <v>Reached</v>
      </c>
      <c r="V19" s="21">
        <f t="shared" si="14"/>
        <v>476587.22541234782</v>
      </c>
    </row>
    <row r="20" spans="1:22" ht="15" thickTop="1" thickBot="1" x14ac:dyDescent="0.6">
      <c r="A20" s="9">
        <f>MSFT_MCSummary!D17</f>
        <v>2039</v>
      </c>
      <c r="C20" s="13">
        <f>MSFT_MCSummary!I17</f>
        <v>2.2999481624969172E-2</v>
      </c>
      <c r="D20" s="12">
        <f t="shared" si="7"/>
        <v>554160.23070972424</v>
      </c>
      <c r="E20" s="12">
        <f t="shared" si="3"/>
        <v>62658.722541234813</v>
      </c>
      <c r="F20" s="14">
        <f t="shared" si="4"/>
        <v>631005.46943218727</v>
      </c>
      <c r="G20" s="21" t="str">
        <f t="shared" si="0"/>
        <v/>
      </c>
      <c r="H20" s="21">
        <f t="shared" si="8"/>
        <v>539245.94795358262</v>
      </c>
      <c r="I20" s="5"/>
      <c r="J20" s="13">
        <f>MSFT_MCSummary!J17</f>
        <v>0.20527445043260778</v>
      </c>
      <c r="K20" s="12">
        <f t="shared" si="9"/>
        <v>2662111.2148081763</v>
      </c>
      <c r="L20" s="12">
        <f t="shared" si="5"/>
        <v>62658.722541234813</v>
      </c>
      <c r="M20" s="14">
        <f t="shared" si="10"/>
        <v>3284095.5887941029</v>
      </c>
      <c r="N20" s="21" t="str">
        <f t="shared" si="1"/>
        <v>Reached</v>
      </c>
      <c r="O20" s="21">
        <f t="shared" si="11"/>
        <v>539245.94795358262</v>
      </c>
      <c r="P20" s="5"/>
      <c r="Q20" s="13">
        <f>MSFT_MCSummary!K17</f>
        <v>0.18624530049220961</v>
      </c>
      <c r="R20" s="12">
        <f t="shared" si="12"/>
        <v>4367138.611410222</v>
      </c>
      <c r="S20" s="12">
        <f t="shared" si="6"/>
        <v>62658.722541234813</v>
      </c>
      <c r="T20" s="14">
        <f t="shared" si="13"/>
        <v>5254826.2695328342</v>
      </c>
      <c r="U20" s="21" t="str">
        <f t="shared" si="2"/>
        <v>Reached</v>
      </c>
      <c r="V20" s="21">
        <f t="shared" si="14"/>
        <v>539245.94795358262</v>
      </c>
    </row>
    <row r="21" spans="1:22" ht="15" thickTop="1" thickBot="1" x14ac:dyDescent="0.6">
      <c r="A21" s="9">
        <f>MSFT_MCSummary!D18</f>
        <v>2040</v>
      </c>
      <c r="C21" s="13">
        <f>MSFT_MCSummary!I18</f>
        <v>2.9368147873523733E-2</v>
      </c>
      <c r="D21" s="12">
        <f t="shared" si="7"/>
        <v>631005.46943218727</v>
      </c>
      <c r="E21" s="12">
        <f t="shared" si="3"/>
        <v>68924.594795358295</v>
      </c>
      <c r="F21" s="14">
        <f t="shared" si="4"/>
        <v>720485.71385490499</v>
      </c>
      <c r="G21" s="21" t="str">
        <f t="shared" si="0"/>
        <v/>
      </c>
      <c r="H21" s="21">
        <f t="shared" si="8"/>
        <v>608170.54274894088</v>
      </c>
      <c r="I21" s="5"/>
      <c r="J21" s="13">
        <f>MSFT_MCSummary!J18</f>
        <v>0.25967638186822073</v>
      </c>
      <c r="K21" s="12">
        <f t="shared" si="9"/>
        <v>3284095.5887941029</v>
      </c>
      <c r="L21" s="12">
        <f t="shared" si="5"/>
        <v>68924.594795358295</v>
      </c>
      <c r="M21" s="14">
        <f t="shared" si="10"/>
        <v>4223720.3331950903</v>
      </c>
      <c r="N21" s="21" t="str">
        <f t="shared" si="1"/>
        <v>Reached</v>
      </c>
      <c r="O21" s="21">
        <f t="shared" si="11"/>
        <v>608170.54274894088</v>
      </c>
      <c r="P21" s="5"/>
      <c r="Q21" s="13">
        <f>MSFT_MCSummary!K18</f>
        <v>0.22881418655774571</v>
      </c>
      <c r="R21" s="12">
        <f t="shared" si="12"/>
        <v>5254826.2695328342</v>
      </c>
      <c r="S21" s="12">
        <f t="shared" si="6"/>
        <v>68924.594795358295</v>
      </c>
      <c r="T21" s="14">
        <f t="shared" si="13"/>
        <v>6541900.5877855439</v>
      </c>
      <c r="U21" s="21" t="str">
        <f t="shared" si="2"/>
        <v>Reached</v>
      </c>
      <c r="V21" s="21">
        <f t="shared" si="14"/>
        <v>608170.54274894088</v>
      </c>
    </row>
    <row r="22" spans="1:22" ht="15" thickTop="1" thickBot="1" x14ac:dyDescent="0.6">
      <c r="A22" s="9">
        <f>MSFT_MCSummary!D19</f>
        <v>2041</v>
      </c>
      <c r="C22" s="13">
        <f>MSFT_MCSummary!I19</f>
        <v>1.8072132511636346E-2</v>
      </c>
      <c r="D22" s="12">
        <f t="shared" si="7"/>
        <v>720485.71385490499</v>
      </c>
      <c r="E22" s="12">
        <f t="shared" si="3"/>
        <v>75817.054274894137</v>
      </c>
      <c r="F22" s="14">
        <f t="shared" si="4"/>
        <v>810693.65727482375</v>
      </c>
      <c r="G22" s="21" t="str">
        <f t="shared" si="0"/>
        <v/>
      </c>
      <c r="H22" s="21">
        <f t="shared" si="8"/>
        <v>683987.59702383506</v>
      </c>
      <c r="I22" s="5"/>
      <c r="J22" s="13">
        <f>MSFT_MCSummary!J19</f>
        <v>0.21668537929892046</v>
      </c>
      <c r="K22" s="12">
        <f t="shared" si="9"/>
        <v>4223720.3331950903</v>
      </c>
      <c r="L22" s="12">
        <f t="shared" si="5"/>
        <v>75817.054274894137</v>
      </c>
      <c r="M22" s="14">
        <f t="shared" si="10"/>
        <v>5231184.2770838076</v>
      </c>
      <c r="N22" s="21" t="str">
        <f t="shared" si="1"/>
        <v>Reached</v>
      </c>
      <c r="O22" s="21">
        <f t="shared" si="11"/>
        <v>683987.59702383506</v>
      </c>
      <c r="P22" s="5"/>
      <c r="Q22" s="13">
        <f>MSFT_MCSummary!K19</f>
        <v>0.21699866871366733</v>
      </c>
      <c r="R22" s="12">
        <f t="shared" si="12"/>
        <v>6541900.5877855439</v>
      </c>
      <c r="S22" s="12">
        <f t="shared" si="6"/>
        <v>75817.054274894137</v>
      </c>
      <c r="T22" s="14">
        <f t="shared" si="13"/>
        <v>8053753.5603105035</v>
      </c>
      <c r="U22" s="21" t="str">
        <f t="shared" si="2"/>
        <v>Reached</v>
      </c>
      <c r="V22" s="21">
        <f t="shared" si="14"/>
        <v>683987.59702383506</v>
      </c>
    </row>
    <row r="23" spans="1:22" ht="15" thickTop="1" thickBot="1" x14ac:dyDescent="0.6">
      <c r="A23" s="9">
        <f>MSFT_MCSummary!D20</f>
        <v>2042</v>
      </c>
      <c r="C23" s="13">
        <f>MSFT_MCSummary!I20</f>
        <v>-4.162222626881927E-4</v>
      </c>
      <c r="D23" s="12">
        <f t="shared" si="7"/>
        <v>810693.65727482375</v>
      </c>
      <c r="E23" s="12">
        <f t="shared" si="3"/>
        <v>83398.759702383555</v>
      </c>
      <c r="F23" s="14">
        <f t="shared" si="4"/>
        <v>893720.27580836066</v>
      </c>
      <c r="G23" s="21" t="str">
        <f t="shared" si="0"/>
        <v/>
      </c>
      <c r="H23" s="21">
        <f t="shared" si="8"/>
        <v>767386.3567262186</v>
      </c>
      <c r="I23" s="5"/>
      <c r="J23" s="13">
        <f>MSFT_MCSummary!J20</f>
        <v>0.19429441720720961</v>
      </c>
      <c r="K23" s="12">
        <f t="shared" si="9"/>
        <v>5231184.2770838076</v>
      </c>
      <c r="L23" s="12">
        <f t="shared" si="5"/>
        <v>83398.759702383555</v>
      </c>
      <c r="M23" s="14">
        <f t="shared" si="10"/>
        <v>6347176.8506178865</v>
      </c>
      <c r="N23" s="21" t="str">
        <f t="shared" si="1"/>
        <v>Reached</v>
      </c>
      <c r="O23" s="21">
        <f t="shared" si="11"/>
        <v>767386.3567262186</v>
      </c>
      <c r="P23" s="5"/>
      <c r="Q23" s="13">
        <f>MSFT_MCSummary!K20</f>
        <v>0.20824850861105426</v>
      </c>
      <c r="R23" s="12">
        <f t="shared" si="12"/>
        <v>8053753.5603105035</v>
      </c>
      <c r="S23" s="12">
        <f t="shared" si="6"/>
        <v>83398.759702383555</v>
      </c>
      <c r="T23" s="14">
        <f t="shared" si="13"/>
        <v>9831702.1549965516</v>
      </c>
      <c r="U23" s="21" t="str">
        <f t="shared" si="2"/>
        <v>Reached</v>
      </c>
      <c r="V23" s="21">
        <f t="shared" si="14"/>
        <v>767386.3567262186</v>
      </c>
    </row>
    <row r="24" spans="1:22" ht="15" thickTop="1" thickBot="1" x14ac:dyDescent="0.6">
      <c r="A24" s="9">
        <f>MSFT_MCSummary!D21</f>
        <v>2043</v>
      </c>
      <c r="C24" s="13">
        <f>MSFT_MCSummary!I21</f>
        <v>1.9987253027405928E-2</v>
      </c>
      <c r="D24" s="12">
        <f t="shared" si="7"/>
        <v>893720.27580836066</v>
      </c>
      <c r="E24" s="12">
        <f t="shared" si="3"/>
        <v>91738.635672621924</v>
      </c>
      <c r="F24" s="14">
        <f t="shared" si="4"/>
        <v>1005155.5280928649</v>
      </c>
      <c r="G24" s="21" t="str">
        <f t="shared" si="0"/>
        <v/>
      </c>
      <c r="H24" s="21">
        <f t="shared" si="8"/>
        <v>859124.99239884049</v>
      </c>
      <c r="I24" s="5"/>
      <c r="J24" s="13">
        <f>MSFT_MCSummary!J21</f>
        <v>0.2665883030469634</v>
      </c>
      <c r="K24" s="12">
        <f t="shared" si="9"/>
        <v>6347176.8506178865</v>
      </c>
      <c r="L24" s="12">
        <f t="shared" si="5"/>
        <v>91738.635672621924</v>
      </c>
      <c r="M24" s="14">
        <f t="shared" si="10"/>
        <v>8155455.0392435081</v>
      </c>
      <c r="N24" s="21" t="str">
        <f t="shared" si="1"/>
        <v>Reached</v>
      </c>
      <c r="O24" s="21">
        <f t="shared" si="11"/>
        <v>859124.99239884049</v>
      </c>
      <c r="P24" s="5"/>
      <c r="Q24" s="13">
        <f>MSFT_MCSummary!K21</f>
        <v>0.23748682103829533</v>
      </c>
      <c r="R24" s="12">
        <f t="shared" si="12"/>
        <v>9831702.1549965516</v>
      </c>
      <c r="S24" s="12">
        <f t="shared" si="6"/>
        <v>91738.635672621924</v>
      </c>
      <c r="T24" s="14">
        <f t="shared" si="13"/>
        <v>12280127.197806941</v>
      </c>
      <c r="U24" s="21" t="str">
        <f t="shared" si="2"/>
        <v>Reached</v>
      </c>
      <c r="V24" s="21">
        <f t="shared" si="14"/>
        <v>859124.99239884049</v>
      </c>
    </row>
    <row r="25" spans="1:22" ht="15" thickTop="1" thickBot="1" x14ac:dyDescent="0.6">
      <c r="A25" s="9">
        <f>MSFT_MCSummary!D22</f>
        <v>2044</v>
      </c>
      <c r="C25" s="13">
        <f>MSFT_MCSummary!I22</f>
        <v>2.1283497180497962E-2</v>
      </c>
      <c r="D25" s="12">
        <f t="shared" si="7"/>
        <v>1005155.5280928649</v>
      </c>
      <c r="E25" s="12">
        <f t="shared" si="3"/>
        <v>100912.49923988413</v>
      </c>
      <c r="F25" s="14">
        <f t="shared" si="4"/>
        <v>1129609.0230739245</v>
      </c>
      <c r="G25" s="21" t="str">
        <f t="shared" si="0"/>
        <v/>
      </c>
      <c r="H25" s="21">
        <f t="shared" si="8"/>
        <v>960037.49163872458</v>
      </c>
      <c r="I25" s="5"/>
      <c r="J25" s="13">
        <f>MSFT_MCSummary!J22</f>
        <v>0.20400550441400678</v>
      </c>
      <c r="K25" s="12">
        <f t="shared" si="9"/>
        <v>8155455.0392435081</v>
      </c>
      <c r="L25" s="12">
        <f t="shared" si="5"/>
        <v>100912.49923988413</v>
      </c>
      <c r="M25" s="14">
        <f t="shared" si="10"/>
        <v>9940711.9627991281</v>
      </c>
      <c r="N25" s="21" t="str">
        <f t="shared" si="1"/>
        <v>Reached</v>
      </c>
      <c r="O25" s="21">
        <f t="shared" si="11"/>
        <v>960037.49163872458</v>
      </c>
      <c r="P25" s="5"/>
      <c r="Q25" s="13">
        <f>MSFT_MCSummary!K22</f>
        <v>0.2123309537597288</v>
      </c>
      <c r="R25" s="12">
        <f t="shared" si="12"/>
        <v>12280127.197806941</v>
      </c>
      <c r="S25" s="12">
        <f t="shared" si="6"/>
        <v>100912.49923988413</v>
      </c>
      <c r="T25" s="14">
        <f t="shared" si="13"/>
        <v>15009917.664457843</v>
      </c>
      <c r="U25" s="21" t="str">
        <f t="shared" si="2"/>
        <v>Reached</v>
      </c>
      <c r="V25" s="21">
        <f t="shared" si="14"/>
        <v>960037.49163872458</v>
      </c>
    </row>
    <row r="26" spans="1:22" ht="15" thickTop="1" thickBot="1" x14ac:dyDescent="0.6">
      <c r="A26" s="9">
        <f>MSFT_MCSummary!D23</f>
        <v>2045</v>
      </c>
      <c r="C26" s="13">
        <f>MSFT_MCSummary!I23</f>
        <v>1.8153310958132305E-2</v>
      </c>
      <c r="D26" s="12">
        <f t="shared" si="7"/>
        <v>1129609.0230739245</v>
      </c>
      <c r="E26" s="12">
        <f t="shared" si="3"/>
        <v>111003.74916387255</v>
      </c>
      <c r="F26" s="14">
        <f t="shared" si="4"/>
        <v>1263134.0016708602</v>
      </c>
      <c r="G26" s="21" t="str">
        <f t="shared" si="0"/>
        <v/>
      </c>
      <c r="H26" s="21">
        <f t="shared" si="8"/>
        <v>1071041.240802597</v>
      </c>
      <c r="I26" s="5"/>
      <c r="J26" s="13">
        <f>MSFT_MCSummary!J23</f>
        <v>0.3270881741327486</v>
      </c>
      <c r="K26" s="12">
        <f t="shared" si="9"/>
        <v>9940711.9627991281</v>
      </c>
      <c r="L26" s="12">
        <f t="shared" si="5"/>
        <v>111003.74916387255</v>
      </c>
      <c r="M26" s="14">
        <f t="shared" si="10"/>
        <v>13339513.051090438</v>
      </c>
      <c r="N26" s="21" t="str">
        <f t="shared" si="1"/>
        <v>Reached</v>
      </c>
      <c r="O26" s="21">
        <f t="shared" si="11"/>
        <v>1071041.240802597</v>
      </c>
      <c r="P26" s="5"/>
      <c r="Q26" s="13">
        <f>MSFT_MCSummary!K23</f>
        <v>0.24726421649460228</v>
      </c>
      <c r="R26" s="12">
        <f t="shared" si="12"/>
        <v>15009917.664457843</v>
      </c>
      <c r="S26" s="12">
        <f t="shared" si="6"/>
        <v>111003.74916387255</v>
      </c>
      <c r="T26" s="14">
        <f t="shared" si="13"/>
        <v>18859784.199637339</v>
      </c>
      <c r="U26" s="21" t="str">
        <f t="shared" si="2"/>
        <v>Reached</v>
      </c>
      <c r="V26" s="21">
        <f t="shared" si="14"/>
        <v>1071041.240802597</v>
      </c>
    </row>
    <row r="27" spans="1:22" ht="15" thickTop="1" thickBot="1" x14ac:dyDescent="0.6">
      <c r="A27" s="9">
        <f>MSFT_MCSummary!D24</f>
        <v>2046</v>
      </c>
      <c r="C27" s="13">
        <f>MSFT_MCSummary!I24</f>
        <v>1.6077712963409381E-2</v>
      </c>
      <c r="D27" s="12">
        <f t="shared" si="7"/>
        <v>1263134.0016708602</v>
      </c>
      <c r="E27" s="12">
        <f t="shared" si="3"/>
        <v>122104.12408025982</v>
      </c>
      <c r="F27" s="14">
        <f t="shared" si="4"/>
        <v>1407509.5867229176</v>
      </c>
      <c r="G27" s="21" t="str">
        <f t="shared" si="0"/>
        <v/>
      </c>
      <c r="H27" s="21">
        <f t="shared" si="8"/>
        <v>1193145.3648828568</v>
      </c>
      <c r="I27" s="5"/>
      <c r="J27" s="13">
        <f>MSFT_MCSummary!J24</f>
        <v>0.14284301825428369</v>
      </c>
      <c r="K27" s="12">
        <f t="shared" si="9"/>
        <v>13339513.051090438</v>
      </c>
      <c r="L27" s="12">
        <f t="shared" si="5"/>
        <v>122104.12408025982</v>
      </c>
      <c r="M27" s="14">
        <f t="shared" si="10"/>
        <v>15384515.203055784</v>
      </c>
      <c r="N27" s="21" t="str">
        <f t="shared" si="1"/>
        <v>Reached</v>
      </c>
      <c r="O27" s="21">
        <f t="shared" si="11"/>
        <v>1193145.3648828568</v>
      </c>
      <c r="P27" s="5"/>
      <c r="Q27" s="13">
        <f>MSFT_MCSummary!K24</f>
        <v>0.16087414697488792</v>
      </c>
      <c r="R27" s="12">
        <f t="shared" si="12"/>
        <v>18859784.199637339</v>
      </c>
      <c r="S27" s="12">
        <f t="shared" si="6"/>
        <v>122104.12408025982</v>
      </c>
      <c r="T27" s="14">
        <f t="shared" si="13"/>
        <v>22035583.415768255</v>
      </c>
      <c r="U27" s="21" t="str">
        <f t="shared" si="2"/>
        <v>Reached</v>
      </c>
      <c r="V27" s="21">
        <f t="shared" si="14"/>
        <v>1193145.3648828568</v>
      </c>
    </row>
    <row r="28" spans="1:22" ht="15" thickTop="1" thickBot="1" x14ac:dyDescent="0.6">
      <c r="A28" s="9">
        <f>MSFT_MCSummary!D25</f>
        <v>2047</v>
      </c>
      <c r="C28" s="13">
        <f>MSFT_MCSummary!I25</f>
        <v>6.894240436635217E-3</v>
      </c>
      <c r="D28" s="12">
        <f t="shared" si="7"/>
        <v>1407509.5867229176</v>
      </c>
      <c r="E28" s="12">
        <f t="shared" si="3"/>
        <v>134314.53648828581</v>
      </c>
      <c r="F28" s="14">
        <f t="shared" si="4"/>
        <v>1552453.8294276258</v>
      </c>
      <c r="G28" s="21" t="str">
        <f t="shared" si="0"/>
        <v/>
      </c>
      <c r="H28" s="21">
        <f t="shared" si="8"/>
        <v>1327459.9013711426</v>
      </c>
      <c r="I28" s="5"/>
      <c r="J28" s="13">
        <f>MSFT_MCSummary!J25</f>
        <v>0.27045381954086434</v>
      </c>
      <c r="K28" s="12">
        <f t="shared" si="9"/>
        <v>15384515.203055784</v>
      </c>
      <c r="L28" s="12">
        <f t="shared" si="5"/>
        <v>134314.53648828581</v>
      </c>
      <c r="M28" s="14">
        <f t="shared" si="10"/>
        <v>19715956.517408121</v>
      </c>
      <c r="N28" s="21" t="str">
        <f t="shared" si="1"/>
        <v>Reached</v>
      </c>
      <c r="O28" s="21">
        <f t="shared" si="11"/>
        <v>1327459.9013711426</v>
      </c>
      <c r="P28" s="5"/>
      <c r="Q28" s="13">
        <f>MSFT_MCSummary!K25</f>
        <v>0.24245389722055666</v>
      </c>
      <c r="R28" s="12">
        <f t="shared" si="12"/>
        <v>22035583.415768255</v>
      </c>
      <c r="S28" s="12">
        <f t="shared" si="6"/>
        <v>134314.53648828581</v>
      </c>
      <c r="T28" s="14">
        <f t="shared" si="13"/>
        <v>27545076.111763183</v>
      </c>
      <c r="U28" s="21" t="str">
        <f t="shared" si="2"/>
        <v>Reached</v>
      </c>
      <c r="V28" s="21">
        <f t="shared" si="14"/>
        <v>1327459.9013711426</v>
      </c>
    </row>
    <row r="29" spans="1:22" ht="15" thickTop="1" thickBot="1" x14ac:dyDescent="0.6">
      <c r="A29" s="9">
        <f>MSFT_MCSummary!D26</f>
        <v>2048</v>
      </c>
      <c r="C29" s="13">
        <f>MSFT_MCSummary!I26</f>
        <v>6.7998097955302272E-3</v>
      </c>
      <c r="D29" s="12">
        <f t="shared" si="7"/>
        <v>1552453.8294276258</v>
      </c>
      <c r="E29" s="12">
        <f t="shared" si="3"/>
        <v>147745.99013711439</v>
      </c>
      <c r="F29" s="14">
        <f t="shared" si="4"/>
        <v>1711760.8549521752</v>
      </c>
      <c r="G29" s="21" t="str">
        <f t="shared" si="0"/>
        <v/>
      </c>
      <c r="H29" s="21">
        <f t="shared" si="8"/>
        <v>1475205.891508257</v>
      </c>
      <c r="I29" s="5"/>
      <c r="J29" s="13">
        <f>MSFT_MCSummary!J26</f>
        <v>0.19289759130508496</v>
      </c>
      <c r="K29" s="12">
        <f t="shared" si="9"/>
        <v>19715956.517408121</v>
      </c>
      <c r="L29" s="12">
        <f t="shared" si="5"/>
        <v>147745.99013711439</v>
      </c>
      <c r="M29" s="14">
        <f t="shared" si="10"/>
        <v>23695362.87565149</v>
      </c>
      <c r="N29" s="21" t="str">
        <f t="shared" si="1"/>
        <v>Reached</v>
      </c>
      <c r="O29" s="21">
        <f t="shared" si="11"/>
        <v>1475205.891508257</v>
      </c>
      <c r="P29" s="5"/>
      <c r="Q29" s="13">
        <f>MSFT_MCSummary!K26</f>
        <v>0.21870919240164222</v>
      </c>
      <c r="R29" s="12">
        <f t="shared" si="12"/>
        <v>27545076.111763183</v>
      </c>
      <c r="S29" s="12">
        <f t="shared" si="6"/>
        <v>147745.99013711439</v>
      </c>
      <c r="T29" s="14">
        <f t="shared" si="13"/>
        <v>33749496.859129258</v>
      </c>
      <c r="U29" s="21" t="str">
        <f t="shared" si="2"/>
        <v>Reached</v>
      </c>
      <c r="V29" s="21">
        <f t="shared" si="14"/>
        <v>1475205.891508257</v>
      </c>
    </row>
    <row r="30" spans="1:22" ht="15" thickTop="1" thickBot="1" x14ac:dyDescent="0.6">
      <c r="A30" s="9">
        <f>MSFT_MCSummary!D27</f>
        <v>2049</v>
      </c>
      <c r="C30" s="13">
        <f>MSFT_MCSummary!I27</f>
        <v>2.3178038924241633E-2</v>
      </c>
      <c r="D30" s="12">
        <f t="shared" si="7"/>
        <v>1711760.8549521752</v>
      </c>
      <c r="E30" s="12">
        <f t="shared" si="3"/>
        <v>162520.58915082584</v>
      </c>
      <c r="F30" s="14">
        <f t="shared" si="4"/>
        <v>1917723.6123694039</v>
      </c>
      <c r="G30" s="21" t="str">
        <f t="shared" si="0"/>
        <v/>
      </c>
      <c r="H30" s="21">
        <f t="shared" si="8"/>
        <v>1637726.4806590828</v>
      </c>
      <c r="I30" s="5"/>
      <c r="J30" s="13">
        <f>MSFT_MCSummary!J27</f>
        <v>0.25794832563549752</v>
      </c>
      <c r="K30" s="12">
        <f t="shared" si="9"/>
        <v>23695362.87565149</v>
      </c>
      <c r="L30" s="12">
        <f t="shared" si="5"/>
        <v>162520.58915082584</v>
      </c>
      <c r="M30" s="14">
        <f t="shared" si="10"/>
        <v>30011984.557754897</v>
      </c>
      <c r="N30" s="21" t="str">
        <f t="shared" si="1"/>
        <v>Reached</v>
      </c>
      <c r="O30" s="21">
        <f t="shared" si="11"/>
        <v>1637726.4806590828</v>
      </c>
      <c r="P30" s="5"/>
      <c r="Q30" s="13">
        <f>MSFT_MCSummary!K27</f>
        <v>0.17106563448084477</v>
      </c>
      <c r="R30" s="12">
        <f t="shared" si="12"/>
        <v>33749496.859129258</v>
      </c>
      <c r="S30" s="12">
        <f t="shared" si="6"/>
        <v>162520.58915082584</v>
      </c>
      <c r="T30" s="14">
        <f t="shared" si="13"/>
        <v>39713198.229595594</v>
      </c>
      <c r="U30" s="21" t="str">
        <f t="shared" si="2"/>
        <v>Reached</v>
      </c>
      <c r="V30" s="21">
        <f t="shared" si="14"/>
        <v>1637726.4806590828</v>
      </c>
    </row>
    <row r="31" spans="1:22" ht="15" thickTop="1" thickBot="1" x14ac:dyDescent="0.6">
      <c r="A31" s="9">
        <f>MSFT_MCSummary!D28</f>
        <v>2050</v>
      </c>
      <c r="C31" s="13">
        <f>MSFT_MCSummary!I28</f>
        <v>2.5019691423806721E-3</v>
      </c>
      <c r="D31" s="12">
        <f t="shared" si="7"/>
        <v>1917723.6123694039</v>
      </c>
      <c r="E31" s="12">
        <f t="shared" si="3"/>
        <v>178772.64806590843</v>
      </c>
      <c r="F31" s="14">
        <f t="shared" si="4"/>
        <v>2101741.6293860381</v>
      </c>
      <c r="G31" s="21" t="str">
        <f t="shared" si="0"/>
        <v>Reached</v>
      </c>
      <c r="H31" s="21">
        <f t="shared" si="8"/>
        <v>1816499.1287249911</v>
      </c>
      <c r="I31" s="5"/>
      <c r="J31" s="13">
        <f>MSFT_MCSummary!J28</f>
        <v>0.23954717631661024</v>
      </c>
      <c r="K31" s="12">
        <f t="shared" si="9"/>
        <v>30011984.557754897</v>
      </c>
      <c r="L31" s="12">
        <f t="shared" si="5"/>
        <v>178772.64806590843</v>
      </c>
      <c r="M31" s="14">
        <f t="shared" si="10"/>
        <v>37422867.845335528</v>
      </c>
      <c r="N31" s="21" t="str">
        <f t="shared" si="1"/>
        <v>Reached</v>
      </c>
      <c r="O31" s="21">
        <f t="shared" si="11"/>
        <v>1816499.1287249911</v>
      </c>
      <c r="P31" s="5"/>
      <c r="Q31" s="13">
        <f>MSFT_MCSummary!K28</f>
        <v>0.23953690238726907</v>
      </c>
      <c r="R31" s="12">
        <f t="shared" si="12"/>
        <v>39713198.229595594</v>
      </c>
      <c r="S31" s="12">
        <f t="shared" si="6"/>
        <v>178772.64806590843</v>
      </c>
      <c r="T31" s="14">
        <f t="shared" si="13"/>
        <v>49447570.01181969</v>
      </c>
      <c r="U31" s="21" t="str">
        <f t="shared" si="2"/>
        <v>Reached</v>
      </c>
      <c r="V31" s="21">
        <f t="shared" si="14"/>
        <v>1816499.1287249911</v>
      </c>
    </row>
    <row r="32" spans="1:22" ht="15" thickTop="1" thickBot="1" x14ac:dyDescent="0.6">
      <c r="A32" s="9">
        <f>MSFT_MCSummary!D29</f>
        <v>2051</v>
      </c>
      <c r="C32" s="13">
        <f>MSFT_MCSummary!I29</f>
        <v>2.6521131207433112E-2</v>
      </c>
      <c r="D32" s="12">
        <f t="shared" si="7"/>
        <v>2101741.6293860381</v>
      </c>
      <c r="E32" s="12">
        <f t="shared" si="3"/>
        <v>196649.91287249929</v>
      </c>
      <c r="F32" s="14">
        <f t="shared" si="4"/>
        <v>2359347.4859168306</v>
      </c>
      <c r="G32" s="21" t="str">
        <f t="shared" si="0"/>
        <v>Reached</v>
      </c>
      <c r="H32" s="21">
        <f t="shared" si="8"/>
        <v>2013149.0415974904</v>
      </c>
      <c r="I32" s="5"/>
      <c r="J32" s="13">
        <f>MSFT_MCSummary!J29</f>
        <v>0.29344450720221638</v>
      </c>
      <c r="K32" s="12">
        <f t="shared" si="9"/>
        <v>37422867.845335528</v>
      </c>
      <c r="L32" s="12">
        <f t="shared" si="5"/>
        <v>196649.91287249929</v>
      </c>
      <c r="M32" s="14">
        <f t="shared" si="10"/>
        <v>48658758.607950404</v>
      </c>
      <c r="N32" s="21" t="str">
        <f t="shared" si="1"/>
        <v>Reached</v>
      </c>
      <c r="O32" s="21">
        <f t="shared" si="11"/>
        <v>2013149.0415974904</v>
      </c>
      <c r="P32" s="5"/>
      <c r="Q32" s="13">
        <f>MSFT_MCSummary!K29</f>
        <v>0.20724758850226599</v>
      </c>
      <c r="R32" s="12">
        <f t="shared" si="12"/>
        <v>49447570.01181969</v>
      </c>
      <c r="S32" s="12">
        <f t="shared" si="6"/>
        <v>196649.91287249929</v>
      </c>
      <c r="T32" s="14">
        <f t="shared" si="13"/>
        <v>59932864.787160791</v>
      </c>
      <c r="U32" s="21" t="str">
        <f t="shared" si="2"/>
        <v>Reached</v>
      </c>
      <c r="V32" s="21">
        <f t="shared" si="14"/>
        <v>2013149.0415974904</v>
      </c>
    </row>
    <row r="33" spans="1:22" ht="15" thickTop="1" thickBot="1" x14ac:dyDescent="0.6">
      <c r="A33" s="9">
        <f>MSFT_MCSummary!D30</f>
        <v>2052</v>
      </c>
      <c r="C33" s="13">
        <f>MSFT_MCSummary!I30</f>
        <v>-2.6909074463514408E-3</v>
      </c>
      <c r="D33" s="12">
        <f t="shared" si="7"/>
        <v>2359347.4859168306</v>
      </c>
      <c r="E33" s="12">
        <f t="shared" si="3"/>
        <v>216314.90415974925</v>
      </c>
      <c r="F33" s="14">
        <f t="shared" si="4"/>
        <v>2568731.5209718356</v>
      </c>
      <c r="G33" s="21" t="str">
        <f t="shared" si="0"/>
        <v>Reached</v>
      </c>
      <c r="H33" s="21">
        <f t="shared" si="8"/>
        <v>2229463.9457572396</v>
      </c>
      <c r="I33" s="5"/>
      <c r="J33" s="13">
        <f>MSFT_MCSummary!J30</f>
        <v>0.21134728075793074</v>
      </c>
      <c r="K33" s="12">
        <f t="shared" si="9"/>
        <v>48658758.607950404</v>
      </c>
      <c r="L33" s="12">
        <f t="shared" si="5"/>
        <v>216314.90415974925</v>
      </c>
      <c r="M33" s="14">
        <f t="shared" si="10"/>
        <v>59204687.395738594</v>
      </c>
      <c r="N33" s="21" t="str">
        <f t="shared" si="1"/>
        <v>Reached</v>
      </c>
      <c r="O33" s="21">
        <f t="shared" si="11"/>
        <v>2229463.9457572396</v>
      </c>
      <c r="P33" s="5"/>
      <c r="Q33" s="13">
        <f>MSFT_MCSummary!K30</f>
        <v>0.23506790178660134</v>
      </c>
      <c r="R33" s="12">
        <f t="shared" si="12"/>
        <v>59932864.787160791</v>
      </c>
      <c r="S33" s="12">
        <f t="shared" si="6"/>
        <v>216314.90415974925</v>
      </c>
      <c r="T33" s="14">
        <f t="shared" si="13"/>
        <v>74288321.155544505</v>
      </c>
      <c r="U33" s="21" t="str">
        <f t="shared" si="2"/>
        <v>Reached</v>
      </c>
      <c r="V33" s="21">
        <f t="shared" si="14"/>
        <v>2229463.9457572396</v>
      </c>
    </row>
    <row r="34" spans="1:22" ht="15" thickTop="1" thickBot="1" x14ac:dyDescent="0.6">
      <c r="A34" s="9">
        <f>MSFT_MCSummary!D31</f>
        <v>2053</v>
      </c>
      <c r="C34" s="13">
        <f>MSFT_MCSummary!I31</f>
        <v>2.0488172233543014E-2</v>
      </c>
      <c r="D34" s="12">
        <f t="shared" si="7"/>
        <v>2568731.5209718356</v>
      </c>
      <c r="E34" s="12">
        <f t="shared" si="3"/>
        <v>237946.3945757242</v>
      </c>
      <c r="F34" s="14">
        <f t="shared" si="4"/>
        <v>2864181.6160853799</v>
      </c>
      <c r="G34" s="21" t="str">
        <f t="shared" si="0"/>
        <v>Reached</v>
      </c>
      <c r="H34" s="21">
        <f t="shared" si="8"/>
        <v>2467410.340332964</v>
      </c>
      <c r="I34" s="5"/>
      <c r="J34" s="13">
        <f>MSFT_MCSummary!J31</f>
        <v>0.24333631315689508</v>
      </c>
      <c r="K34" s="12">
        <f t="shared" si="9"/>
        <v>59204687.395738594</v>
      </c>
      <c r="L34" s="12">
        <f t="shared" si="5"/>
        <v>237946.3945757242</v>
      </c>
      <c r="M34" s="14">
        <f t="shared" si="10"/>
        <v>73907185.141184881</v>
      </c>
      <c r="N34" s="21" t="str">
        <f t="shared" si="1"/>
        <v>Reached</v>
      </c>
      <c r="O34" s="21">
        <f t="shared" si="11"/>
        <v>2467410.340332964</v>
      </c>
      <c r="P34" s="5"/>
      <c r="Q34" s="13">
        <f>MSFT_MCSummary!K31</f>
        <v>0.19324587632308438</v>
      </c>
      <c r="R34" s="12">
        <f t="shared" si="12"/>
        <v>74288321.155544505</v>
      </c>
      <c r="S34" s="12">
        <f t="shared" si="6"/>
        <v>237946.3945757242</v>
      </c>
      <c r="T34" s="14">
        <f t="shared" si="13"/>
        <v>88928161.431931868</v>
      </c>
      <c r="U34" s="21" t="str">
        <f t="shared" si="2"/>
        <v>Reached</v>
      </c>
      <c r="V34" s="21">
        <f t="shared" si="14"/>
        <v>2467410.340332964</v>
      </c>
    </row>
    <row r="35" spans="1:22" ht="15" thickTop="1" thickBot="1" x14ac:dyDescent="0.6">
      <c r="A35" s="9">
        <f>MSFT_MCSummary!D32</f>
        <v>2054</v>
      </c>
      <c r="C35" s="13">
        <f>MSFT_MCSummary!I32</f>
        <v>1.0780017528483697E-2</v>
      </c>
      <c r="D35" s="12">
        <f t="shared" si="7"/>
        <v>2864181.6160853799</v>
      </c>
      <c r="E35" s="12">
        <f t="shared" si="3"/>
        <v>261741.03403329666</v>
      </c>
      <c r="F35" s="14">
        <f t="shared" si="4"/>
        <v>3159620.1510796403</v>
      </c>
      <c r="G35" s="21" t="str">
        <f t="shared" si="0"/>
        <v>Reached</v>
      </c>
      <c r="H35" s="21">
        <f t="shared" si="8"/>
        <v>2729151.3743662606</v>
      </c>
      <c r="I35" s="5"/>
      <c r="J35" s="13">
        <f>MSFT_MCSummary!J32</f>
        <v>0.295512198421571</v>
      </c>
      <c r="K35" s="12">
        <f t="shared" si="9"/>
        <v>73907185.141184881</v>
      </c>
      <c r="L35" s="12">
        <f t="shared" si="5"/>
        <v>261741.03403329666</v>
      </c>
      <c r="M35" s="14">
        <f t="shared" si="10"/>
        <v>96086748.603824109</v>
      </c>
      <c r="N35" s="21" t="str">
        <f t="shared" si="1"/>
        <v>Reached</v>
      </c>
      <c r="O35" s="21">
        <f t="shared" si="11"/>
        <v>2729151.3743662606</v>
      </c>
      <c r="P35" s="5"/>
      <c r="Q35" s="13">
        <f>MSFT_MCSummary!K32</f>
        <v>0.21880346605262743</v>
      </c>
      <c r="R35" s="12">
        <f t="shared" si="12"/>
        <v>88928161.431931868</v>
      </c>
      <c r="S35" s="12">
        <f t="shared" si="6"/>
        <v>261741.03403329666</v>
      </c>
      <c r="T35" s="14">
        <f t="shared" si="13"/>
        <v>108704962.26241413</v>
      </c>
      <c r="U35" s="21" t="str">
        <f t="shared" si="2"/>
        <v>Reached</v>
      </c>
      <c r="V35" s="21">
        <f t="shared" si="14"/>
        <v>2729151.3743662606</v>
      </c>
    </row>
    <row r="36" spans="1:22" ht="15" thickTop="1" thickBot="1" x14ac:dyDescent="0.6">
      <c r="A36" s="9">
        <f>MSFT_MCSummary!D33</f>
        <v>2055</v>
      </c>
      <c r="C36" s="13">
        <f>MSFT_MCSummary!I33</f>
        <v>-4.6667253676146974E-3</v>
      </c>
      <c r="D36" s="12">
        <f t="shared" si="7"/>
        <v>3159620.1510796403</v>
      </c>
      <c r="E36" s="12">
        <f t="shared" si="3"/>
        <v>287915.13743662636</v>
      </c>
      <c r="F36" s="14">
        <f t="shared" si="4"/>
        <v>3431446.588129601</v>
      </c>
      <c r="G36" s="21" t="str">
        <f t="shared" si="0"/>
        <v>Reached</v>
      </c>
      <c r="H36" s="21">
        <f t="shared" si="8"/>
        <v>3017066.5118028871</v>
      </c>
      <c r="I36" s="5"/>
      <c r="J36" s="13">
        <f>MSFT_MCSummary!J33</f>
        <v>0.23346065364083593</v>
      </c>
      <c r="K36" s="12">
        <f t="shared" si="9"/>
        <v>96086748.603824109</v>
      </c>
      <c r="L36" s="12">
        <f t="shared" si="5"/>
        <v>287915.13743662636</v>
      </c>
      <c r="M36" s="14">
        <f t="shared" si="10"/>
        <v>118874355.73271124</v>
      </c>
      <c r="N36" s="21" t="str">
        <f t="shared" si="1"/>
        <v>Reached</v>
      </c>
      <c r="O36" s="21">
        <f t="shared" si="11"/>
        <v>3017066.5118028871</v>
      </c>
      <c r="P36" s="5"/>
      <c r="Q36" s="13">
        <f>MSFT_MCSummary!K33</f>
        <v>0.21378150208162636</v>
      </c>
      <c r="R36" s="12">
        <f t="shared" si="12"/>
        <v>108704962.26241413</v>
      </c>
      <c r="S36" s="12">
        <f t="shared" si="6"/>
        <v>287915.13743662636</v>
      </c>
      <c r="T36" s="14">
        <f t="shared" si="13"/>
        <v>132293538.44658938</v>
      </c>
      <c r="U36" s="21" t="str">
        <f t="shared" si="2"/>
        <v>Reached</v>
      </c>
      <c r="V36" s="21">
        <f t="shared" si="14"/>
        <v>3017066.5118028871</v>
      </c>
    </row>
    <row r="37" spans="1:22" ht="15" thickTop="1" thickBot="1" x14ac:dyDescent="0.6">
      <c r="A37" s="9">
        <f>MSFT_MCSummary!D34</f>
        <v>2056</v>
      </c>
      <c r="C37" s="13">
        <f>MSFT_MCSummary!I34</f>
        <v>3.2602908920547721E-2</v>
      </c>
      <c r="D37" s="12">
        <f t="shared" si="7"/>
        <v>3431446.588129601</v>
      </c>
      <c r="E37" s="12">
        <f t="shared" si="3"/>
        <v>316706.65118028905</v>
      </c>
      <c r="F37" s="14">
        <f t="shared" si="4"/>
        <v>3870353.9379913667</v>
      </c>
      <c r="G37" s="21" t="str">
        <f t="shared" si="0"/>
        <v>Reached</v>
      </c>
      <c r="H37" s="21">
        <f t="shared" si="8"/>
        <v>3333773.1629831763</v>
      </c>
      <c r="I37" s="5"/>
      <c r="J37" s="13">
        <f>MSFT_MCSummary!J34</f>
        <v>0.30098027336140004</v>
      </c>
      <c r="K37" s="12">
        <f t="shared" si="9"/>
        <v>118874355.73271124</v>
      </c>
      <c r="L37" s="12">
        <f t="shared" si="5"/>
        <v>316706.65118028905</v>
      </c>
      <c r="M37" s="14">
        <f t="shared" si="10"/>
        <v>155065220.92243087</v>
      </c>
      <c r="N37" s="21" t="str">
        <f t="shared" si="1"/>
        <v>Reached</v>
      </c>
      <c r="O37" s="21">
        <f t="shared" si="11"/>
        <v>3333773.1629831763</v>
      </c>
      <c r="P37" s="5"/>
      <c r="Q37" s="13">
        <f>MSFT_MCSummary!K34</f>
        <v>0.24150671837036089</v>
      </c>
      <c r="R37" s="12">
        <f t="shared" si="12"/>
        <v>132293538.44658938</v>
      </c>
      <c r="S37" s="12">
        <f t="shared" si="6"/>
        <v>316706.65118028905</v>
      </c>
      <c r="T37" s="14">
        <f t="shared" si="13"/>
        <v>164636510.21362126</v>
      </c>
      <c r="U37" s="21" t="str">
        <f t="shared" si="2"/>
        <v>Reached</v>
      </c>
      <c r="V37" s="21">
        <f t="shared" si="14"/>
        <v>3333773.1629831763</v>
      </c>
    </row>
    <row r="38" spans="1:22" ht="15" thickTop="1" thickBot="1" x14ac:dyDescent="0.6">
      <c r="A38" s="9">
        <f>MSFT_MCSummary!D35</f>
        <v>2057</v>
      </c>
      <c r="C38" s="13">
        <f>MSFT_MCSummary!I35</f>
        <v>5.7589295166310837E-3</v>
      </c>
      <c r="D38" s="12">
        <f t="shared" si="7"/>
        <v>3870353.9379913667</v>
      </c>
      <c r="E38" s="12">
        <f t="shared" si="3"/>
        <v>348377.31629831798</v>
      </c>
      <c r="F38" s="14">
        <f t="shared" si="4"/>
        <v>4243026.6302327476</v>
      </c>
      <c r="G38" s="21" t="str">
        <f t="shared" si="0"/>
        <v>Reached</v>
      </c>
      <c r="H38" s="21">
        <f t="shared" si="8"/>
        <v>3682150.4792814944</v>
      </c>
      <c r="I38" s="5"/>
      <c r="J38" s="13">
        <f>MSFT_MCSummary!J35</f>
        <v>0.20640268117378499</v>
      </c>
      <c r="K38" s="12">
        <f t="shared" si="9"/>
        <v>155065220.92243087</v>
      </c>
      <c r="L38" s="12">
        <f t="shared" si="5"/>
        <v>348377.31629831798</v>
      </c>
      <c r="M38" s="14">
        <f t="shared" si="10"/>
        <v>187491381.60606828</v>
      </c>
      <c r="N38" s="21" t="str">
        <f t="shared" si="1"/>
        <v>Reached</v>
      </c>
      <c r="O38" s="21">
        <f t="shared" si="11"/>
        <v>3682150.4792814944</v>
      </c>
      <c r="P38" s="5"/>
      <c r="Q38" s="13">
        <f>MSFT_MCSummary!K35</f>
        <v>0.18127830433681183</v>
      </c>
      <c r="R38" s="12">
        <f t="shared" si="12"/>
        <v>164636510.21362126</v>
      </c>
      <c r="S38" s="12">
        <f t="shared" si="6"/>
        <v>348377.31629831798</v>
      </c>
      <c r="T38" s="14">
        <f t="shared" si="13"/>
        <v>194893068.18254298</v>
      </c>
      <c r="U38" s="21" t="str">
        <f t="shared" si="2"/>
        <v>Reached</v>
      </c>
      <c r="V38" s="21">
        <f t="shared" si="14"/>
        <v>3682150.4792814944</v>
      </c>
    </row>
    <row r="39" spans="1:22" ht="15" thickTop="1" thickBot="1" x14ac:dyDescent="0.6">
      <c r="A39" s="9">
        <f>MSFT_MCSummary!D36</f>
        <v>2058</v>
      </c>
      <c r="C39" s="13">
        <f>MSFT_MCSummary!I36</f>
        <v>2.0814761065616295E-2</v>
      </c>
      <c r="D39" s="12">
        <f t="shared" si="7"/>
        <v>4243026.6302327476</v>
      </c>
      <c r="E39" s="12">
        <f t="shared" si="3"/>
        <v>383215.04792814981</v>
      </c>
      <c r="F39" s="14">
        <f t="shared" si="4"/>
        <v>4722535.7933236118</v>
      </c>
      <c r="G39" s="21" t="str">
        <f t="shared" si="0"/>
        <v>Reached</v>
      </c>
      <c r="H39" s="21">
        <f t="shared" si="8"/>
        <v>4065365.5272096442</v>
      </c>
      <c r="I39" s="5"/>
      <c r="J39" s="13">
        <f>MSFT_MCSummary!J36</f>
        <v>0.23027234463745588</v>
      </c>
      <c r="K39" s="12">
        <f t="shared" si="9"/>
        <v>187491381.60606828</v>
      </c>
      <c r="L39" s="12">
        <f t="shared" si="5"/>
        <v>383215.04792814981</v>
      </c>
      <c r="M39" s="14">
        <f t="shared" si="10"/>
        <v>231136920.52332854</v>
      </c>
      <c r="N39" s="21" t="str">
        <f t="shared" si="1"/>
        <v>Reached</v>
      </c>
      <c r="O39" s="21">
        <f t="shared" si="11"/>
        <v>4065365.5272096442</v>
      </c>
      <c r="P39" s="5"/>
      <c r="Q39" s="13">
        <f>MSFT_MCSummary!K36</f>
        <v>0.19959094558359169</v>
      </c>
      <c r="R39" s="12">
        <f t="shared" si="12"/>
        <v>194893068.18254298</v>
      </c>
      <c r="S39" s="12">
        <f t="shared" si="6"/>
        <v>383215.04792814981</v>
      </c>
      <c r="T39" s="14">
        <f t="shared" si="13"/>
        <v>234251661.25049013</v>
      </c>
      <c r="U39" s="21" t="str">
        <f t="shared" si="2"/>
        <v>Reached</v>
      </c>
      <c r="V39" s="21">
        <f t="shared" si="14"/>
        <v>4065365.5272096442</v>
      </c>
    </row>
    <row r="40" spans="1:22" ht="15" thickTop="1" thickBot="1" x14ac:dyDescent="0.6">
      <c r="A40" s="9">
        <f>MSFT_MCSummary!D37</f>
        <v>2059</v>
      </c>
      <c r="C40" s="13">
        <f>MSFT_MCSummary!I37</f>
        <v>3.8618809631985555E-3</v>
      </c>
      <c r="D40" s="12">
        <f t="shared" si="7"/>
        <v>4722535.7933236118</v>
      </c>
      <c r="E40" s="12">
        <f t="shared" si="3"/>
        <v>421536.55272096483</v>
      </c>
      <c r="F40" s="14">
        <f t="shared" si="4"/>
        <v>5163938.1411110824</v>
      </c>
      <c r="G40" s="21" t="str">
        <f t="shared" si="0"/>
        <v>Reached</v>
      </c>
      <c r="H40" s="21">
        <f t="shared" si="8"/>
        <v>4486902.0799306091</v>
      </c>
      <c r="I40" s="5"/>
      <c r="J40" s="13">
        <f>MSFT_MCSummary!J37</f>
        <v>0.39872972372834431</v>
      </c>
      <c r="K40" s="12">
        <f t="shared" si="9"/>
        <v>231136920.52332854</v>
      </c>
      <c r="L40" s="12">
        <f t="shared" si="5"/>
        <v>421536.55272096483</v>
      </c>
      <c r="M40" s="14">
        <f t="shared" si="10"/>
        <v>323887696.69294441</v>
      </c>
      <c r="N40" s="21" t="str">
        <f t="shared" si="1"/>
        <v>Reached</v>
      </c>
      <c r="O40" s="21">
        <f t="shared" si="11"/>
        <v>4486902.0799306091</v>
      </c>
      <c r="P40" s="5"/>
      <c r="Q40" s="13">
        <f>MSFT_MCSummary!K37</f>
        <v>0.23835334521145524</v>
      </c>
      <c r="R40" s="12">
        <f t="shared" si="12"/>
        <v>234251661.25049013</v>
      </c>
      <c r="S40" s="12">
        <f t="shared" si="6"/>
        <v>421536.55272096483</v>
      </c>
      <c r="T40" s="14">
        <f t="shared" si="13"/>
        <v>290608339.53107601</v>
      </c>
      <c r="U40" s="21" t="str">
        <f t="shared" si="2"/>
        <v>Reached</v>
      </c>
      <c r="V40" s="21">
        <f t="shared" si="14"/>
        <v>4486902.0799306091</v>
      </c>
    </row>
    <row r="41" spans="1:22" ht="15" thickTop="1" thickBot="1" x14ac:dyDescent="0.6">
      <c r="A41" s="9">
        <f>MSFT_MCSummary!D38</f>
        <v>2060</v>
      </c>
      <c r="C41" s="13">
        <f>MSFT_MCSummary!I38</f>
        <v>1.9916609318706178E-2</v>
      </c>
      <c r="D41" s="12">
        <f t="shared" si="7"/>
        <v>5163938.1411110824</v>
      </c>
      <c r="E41" s="12">
        <f t="shared" si="3"/>
        <v>463690.20799306134</v>
      </c>
      <c r="F41" s="14">
        <f t="shared" si="4"/>
        <v>5739711.6243241262</v>
      </c>
      <c r="G41" s="21" t="str">
        <f t="shared" si="0"/>
        <v>Reached</v>
      </c>
      <c r="H41" s="21">
        <f t="shared" si="8"/>
        <v>4950592.2879236704</v>
      </c>
      <c r="I41" s="5"/>
      <c r="J41" s="13">
        <f>MSFT_MCSummary!J38</f>
        <v>0.1808292479154868</v>
      </c>
      <c r="K41" s="12">
        <f t="shared" si="9"/>
        <v>323887696.69294441</v>
      </c>
      <c r="L41" s="12">
        <f t="shared" si="5"/>
        <v>463690.20799306134</v>
      </c>
      <c r="M41" s="14">
        <f t="shared" si="10"/>
        <v>383003604.25457907</v>
      </c>
      <c r="N41" s="21" t="str">
        <f t="shared" si="1"/>
        <v>Reached</v>
      </c>
      <c r="O41" s="21">
        <f t="shared" si="11"/>
        <v>4950592.2879236704</v>
      </c>
      <c r="P41" s="5"/>
      <c r="Q41" s="13">
        <f>MSFT_MCSummary!K38</f>
        <v>0.19921916556838568</v>
      </c>
      <c r="R41" s="12">
        <f t="shared" si="12"/>
        <v>290608339.53107601</v>
      </c>
      <c r="S41" s="12">
        <f t="shared" si="6"/>
        <v>463690.20799306134</v>
      </c>
      <c r="T41" s="14">
        <f t="shared" si="13"/>
        <v>349059156.62398279</v>
      </c>
      <c r="U41" s="21" t="str">
        <f t="shared" si="2"/>
        <v>Reached</v>
      </c>
      <c r="V41" s="21">
        <f t="shared" si="14"/>
        <v>4950592.2879236704</v>
      </c>
    </row>
    <row r="42" spans="1:22" ht="15" thickTop="1" thickBot="1" x14ac:dyDescent="0.6">
      <c r="A42" s="9">
        <f>MSFT_MCSummary!D39</f>
        <v>2061</v>
      </c>
      <c r="C42" s="13">
        <f>MSFT_MCSummary!I39</f>
        <v>1.7402199638034247E-2</v>
      </c>
      <c r="D42" s="12">
        <f t="shared" si="7"/>
        <v>5739711.6243241262</v>
      </c>
      <c r="E42" s="12">
        <f t="shared" si="3"/>
        <v>510059.2287923675</v>
      </c>
      <c r="F42" s="14">
        <f t="shared" si="4"/>
        <v>6358530.6131943949</v>
      </c>
      <c r="G42" s="21" t="str">
        <f t="shared" si="0"/>
        <v>Reached</v>
      </c>
      <c r="H42" s="21">
        <f t="shared" si="8"/>
        <v>5460651.5167160379</v>
      </c>
      <c r="I42" s="5"/>
      <c r="J42" s="13">
        <f>MSFT_MCSummary!J39</f>
        <v>-5.3114248520365448E-2</v>
      </c>
      <c r="K42" s="12">
        <f t="shared" si="9"/>
        <v>383003604.25457907</v>
      </c>
      <c r="L42" s="12">
        <f t="shared" si="5"/>
        <v>510059.2287923675</v>
      </c>
      <c r="M42" s="14">
        <f t="shared" si="10"/>
        <v>363143623.45015985</v>
      </c>
      <c r="N42" s="21" t="str">
        <f t="shared" si="1"/>
        <v>Reached</v>
      </c>
      <c r="O42" s="21">
        <f t="shared" si="11"/>
        <v>5460651.5167160379</v>
      </c>
      <c r="P42" s="5"/>
      <c r="Q42" s="13">
        <f>MSFT_MCSummary!K39</f>
        <v>0.17440828998724128</v>
      </c>
      <c r="R42" s="12">
        <f t="shared" si="12"/>
        <v>349059156.62398279</v>
      </c>
      <c r="S42" s="12">
        <f t="shared" si="6"/>
        <v>510059.2287923675</v>
      </c>
      <c r="T42" s="14">
        <f t="shared" si="13"/>
        <v>410536985.02183849</v>
      </c>
      <c r="U42" s="21" t="str">
        <f t="shared" si="2"/>
        <v>Reached</v>
      </c>
      <c r="V42" s="21">
        <f t="shared" si="14"/>
        <v>5460651.5167160379</v>
      </c>
    </row>
    <row r="43" spans="1:22" ht="15" thickTop="1" thickBot="1" x14ac:dyDescent="0.6">
      <c r="A43" s="9">
        <f>MSFT_MCSummary!D40</f>
        <v>2062</v>
      </c>
      <c r="C43" s="13">
        <f>MSFT_MCSummary!I40</f>
        <v>7.5791966841014021E-3</v>
      </c>
      <c r="D43" s="12">
        <f t="shared" si="7"/>
        <v>6358530.6131943949</v>
      </c>
      <c r="E43" s="12">
        <f t="shared" si="3"/>
        <v>561065.15167160425</v>
      </c>
      <c r="F43" s="14">
        <f t="shared" si="4"/>
        <v>6972040.7421423942</v>
      </c>
      <c r="G43" s="21" t="str">
        <f t="shared" si="0"/>
        <v>Reached</v>
      </c>
      <c r="H43" s="21">
        <f t="shared" si="8"/>
        <v>6021716.6683876421</v>
      </c>
      <c r="I43" s="5"/>
      <c r="J43" s="13">
        <f>MSFT_MCSummary!J40</f>
        <v>0.39479919089550108</v>
      </c>
      <c r="K43" s="12">
        <f t="shared" si="9"/>
        <v>363143623.45015985</v>
      </c>
      <c r="L43" s="12">
        <f t="shared" si="5"/>
        <v>561065.15167160425</v>
      </c>
      <c r="M43" s="14">
        <f t="shared" si="10"/>
        <v>507295005.38673466</v>
      </c>
      <c r="N43" s="21" t="str">
        <f t="shared" si="1"/>
        <v>Reached</v>
      </c>
      <c r="O43" s="21">
        <f t="shared" si="11"/>
        <v>6021716.6683876421</v>
      </c>
      <c r="P43" s="5"/>
      <c r="Q43" s="13">
        <f>MSFT_MCSummary!K40</f>
        <v>0.19929108815045674</v>
      </c>
      <c r="R43" s="12">
        <f t="shared" si="12"/>
        <v>410536985.02183849</v>
      </c>
      <c r="S43" s="12">
        <f t="shared" si="6"/>
        <v>561065.15167160425</v>
      </c>
      <c r="T43" s="14">
        <f t="shared" si="13"/>
        <v>493026227.92912</v>
      </c>
      <c r="U43" s="21" t="str">
        <f t="shared" si="2"/>
        <v>Reached</v>
      </c>
      <c r="V43" s="21">
        <f t="shared" si="14"/>
        <v>6021716.6683876421</v>
      </c>
    </row>
    <row r="44" spans="1:22" ht="15" thickTop="1" thickBot="1" x14ac:dyDescent="0.6">
      <c r="A44" s="9">
        <f>MSFT_MCSummary!D41</f>
        <v>2063</v>
      </c>
      <c r="C44" s="13">
        <f>MSFT_MCSummary!I41</f>
        <v>8.2828800757295035E-4</v>
      </c>
      <c r="D44" s="15">
        <f t="shared" si="7"/>
        <v>6972040.7421423942</v>
      </c>
      <c r="E44" s="15">
        <f t="shared" si="3"/>
        <v>617171.66683876468</v>
      </c>
      <c r="F44" s="16">
        <f t="shared" si="4"/>
        <v>7595498.4626064422</v>
      </c>
      <c r="G44" s="21" t="str">
        <f t="shared" si="0"/>
        <v>Reached</v>
      </c>
      <c r="H44" s="21">
        <f t="shared" si="8"/>
        <v>6638888.3352264073</v>
      </c>
      <c r="I44" s="5"/>
      <c r="J44" s="13">
        <f>MSFT_MCSummary!J41</f>
        <v>0.3622369322792956</v>
      </c>
      <c r="K44" s="15">
        <f t="shared" si="9"/>
        <v>507295005.38673466</v>
      </c>
      <c r="L44" s="15">
        <f t="shared" si="5"/>
        <v>617171.66683876468</v>
      </c>
      <c r="M44" s="16">
        <f t="shared" si="10"/>
        <v>691896725.93675828</v>
      </c>
      <c r="N44" s="21" t="str">
        <f t="shared" si="1"/>
        <v>Reached</v>
      </c>
      <c r="O44" s="21">
        <f t="shared" si="11"/>
        <v>6638888.3352264073</v>
      </c>
      <c r="P44" s="5"/>
      <c r="Q44" s="13">
        <f>MSFT_MCSummary!K41</f>
        <v>0.25284249215996984</v>
      </c>
      <c r="R44" s="15">
        <f t="shared" si="12"/>
        <v>493026227.92912</v>
      </c>
      <c r="S44" s="15">
        <f t="shared" si="6"/>
        <v>617171.66683876468</v>
      </c>
      <c r="T44" s="16">
        <f t="shared" si="13"/>
        <v>618457426.98812091</v>
      </c>
      <c r="U44" s="21" t="str">
        <f t="shared" si="2"/>
        <v>Reached</v>
      </c>
      <c r="V44" s="21">
        <f t="shared" si="14"/>
        <v>6638888.3352264073</v>
      </c>
    </row>
    <row r="45" spans="1:22" ht="14.7" thickTop="1" x14ac:dyDescent="0.55000000000000004"/>
    <row r="46" spans="1:22" x14ac:dyDescent="0.55000000000000004">
      <c r="E46" t="s">
        <v>36</v>
      </c>
    </row>
    <row r="47" spans="1:22" x14ac:dyDescent="0.55000000000000004">
      <c r="E47" s="12">
        <f>SUM(E5:E44)</f>
        <v>6638888.3352264073</v>
      </c>
    </row>
  </sheetData>
  <mergeCells count="4">
    <mergeCell ref="A1:L1"/>
    <mergeCell ref="C3:F3"/>
    <mergeCell ref="J3:M3"/>
    <mergeCell ref="Q3:T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1898-2348-4BDC-A6B6-3EF96459F07F}">
  <dimension ref="A1:K43"/>
  <sheetViews>
    <sheetView workbookViewId="0">
      <selection activeCell="K7" sqref="K7"/>
    </sheetView>
  </sheetViews>
  <sheetFormatPr defaultRowHeight="14.4" x14ac:dyDescent="0.55000000000000004"/>
  <sheetData>
    <row r="1" spans="1:11" x14ac:dyDescent="0.55000000000000004">
      <c r="A1" s="45" t="s">
        <v>85</v>
      </c>
      <c r="B1" s="45" t="s">
        <v>86</v>
      </c>
      <c r="C1" s="45" t="s">
        <v>87</v>
      </c>
      <c r="D1" s="45" t="s">
        <v>88</v>
      </c>
      <c r="E1" s="45" t="s">
        <v>89</v>
      </c>
      <c r="F1" s="45" t="s">
        <v>90</v>
      </c>
      <c r="G1" s="45" t="s">
        <v>91</v>
      </c>
    </row>
    <row r="2" spans="1:11" x14ac:dyDescent="0.55000000000000004">
      <c r="A2">
        <v>189</v>
      </c>
      <c r="B2">
        <v>10000</v>
      </c>
      <c r="C2">
        <v>0</v>
      </c>
      <c r="D2">
        <v>2024</v>
      </c>
      <c r="E2">
        <v>346.02</v>
      </c>
      <c r="F2">
        <v>488.27</v>
      </c>
      <c r="G2">
        <v>683.81</v>
      </c>
      <c r="I2" s="7">
        <f>(E2-MSFT_LastPrice)/E2</f>
        <v>-0.29168834171435182</v>
      </c>
      <c r="J2" s="7">
        <f>(F2-MSFT_LastPrice)/F2</f>
        <v>8.462530976713703E-2</v>
      </c>
      <c r="K2" s="7">
        <f>(G2-MSFT_LastPrice)/G2</f>
        <v>0.34638276714291977</v>
      </c>
    </row>
    <row r="3" spans="1:11" x14ac:dyDescent="0.55000000000000004">
      <c r="A3">
        <v>554</v>
      </c>
      <c r="B3">
        <v>10000</v>
      </c>
      <c r="C3">
        <v>0</v>
      </c>
      <c r="D3">
        <v>2025</v>
      </c>
      <c r="E3">
        <v>312.91000000000003</v>
      </c>
      <c r="F3">
        <v>579.38</v>
      </c>
      <c r="G3">
        <v>1040.46</v>
      </c>
      <c r="I3" s="7">
        <f>(E3-E2)/E3</f>
        <v>-0.10581317311687052</v>
      </c>
      <c r="J3" s="7">
        <f t="shared" ref="J3:K18" si="0">(F3-F2)/F3</f>
        <v>0.15725430632745352</v>
      </c>
      <c r="K3" s="7">
        <f t="shared" si="0"/>
        <v>0.34278107760029225</v>
      </c>
    </row>
    <row r="4" spans="1:11" x14ac:dyDescent="0.55000000000000004">
      <c r="A4">
        <v>919</v>
      </c>
      <c r="B4">
        <v>10000</v>
      </c>
      <c r="C4">
        <v>0</v>
      </c>
      <c r="D4">
        <v>2026</v>
      </c>
      <c r="E4">
        <v>300.38</v>
      </c>
      <c r="F4">
        <v>692.96</v>
      </c>
      <c r="G4">
        <v>1482.48</v>
      </c>
      <c r="I4" s="7">
        <f t="shared" ref="I4:K41" si="1">(E4-E3)/E4</f>
        <v>-4.171382914974376E-2</v>
      </c>
      <c r="J4" s="7">
        <f t="shared" si="0"/>
        <v>0.16390556453474953</v>
      </c>
      <c r="K4" s="7">
        <f t="shared" si="0"/>
        <v>0.2981625384490853</v>
      </c>
    </row>
    <row r="5" spans="1:11" x14ac:dyDescent="0.55000000000000004">
      <c r="A5">
        <v>1284</v>
      </c>
      <c r="B5">
        <v>10000</v>
      </c>
      <c r="C5">
        <v>0</v>
      </c>
      <c r="D5">
        <v>2027</v>
      </c>
      <c r="E5">
        <v>297.79000000000002</v>
      </c>
      <c r="F5">
        <v>833.32</v>
      </c>
      <c r="G5">
        <v>2033.42</v>
      </c>
      <c r="I5" s="7">
        <f t="shared" si="1"/>
        <v>-8.6974042110211057E-3</v>
      </c>
      <c r="J5" s="7">
        <f t="shared" si="0"/>
        <v>0.16843469495511929</v>
      </c>
      <c r="K5" s="7">
        <f t="shared" si="0"/>
        <v>0.2709425499896726</v>
      </c>
    </row>
    <row r="6" spans="1:11" x14ac:dyDescent="0.55000000000000004">
      <c r="A6">
        <v>1649</v>
      </c>
      <c r="B6">
        <v>10000</v>
      </c>
      <c r="C6">
        <v>0</v>
      </c>
      <c r="D6">
        <v>2028</v>
      </c>
      <c r="E6">
        <v>296.14999999999998</v>
      </c>
      <c r="F6">
        <v>1008.98</v>
      </c>
      <c r="G6">
        <v>2714.41</v>
      </c>
      <c r="I6" s="7">
        <f t="shared" si="1"/>
        <v>-5.5377342562891894E-3</v>
      </c>
      <c r="J6" s="7">
        <f t="shared" si="0"/>
        <v>0.1740966124204642</v>
      </c>
      <c r="K6" s="7">
        <f t="shared" si="0"/>
        <v>0.25087956498833996</v>
      </c>
    </row>
    <row r="7" spans="1:11" x14ac:dyDescent="0.55000000000000004">
      <c r="A7">
        <v>2014</v>
      </c>
      <c r="B7">
        <v>10000</v>
      </c>
      <c r="C7">
        <v>0</v>
      </c>
      <c r="D7">
        <v>2029</v>
      </c>
      <c r="E7">
        <v>301.32</v>
      </c>
      <c r="F7">
        <v>1234.72</v>
      </c>
      <c r="G7">
        <v>3646.34</v>
      </c>
      <c r="I7" s="7">
        <f t="shared" si="1"/>
        <v>1.715783884242671E-2</v>
      </c>
      <c r="J7" s="7">
        <f t="shared" si="0"/>
        <v>0.18282687572891021</v>
      </c>
      <c r="K7" s="7">
        <f t="shared" si="0"/>
        <v>0.25557956745668264</v>
      </c>
    </row>
    <row r="8" spans="1:11" x14ac:dyDescent="0.55000000000000004">
      <c r="A8">
        <v>2379</v>
      </c>
      <c r="B8">
        <v>10000</v>
      </c>
      <c r="C8">
        <v>0</v>
      </c>
      <c r="D8">
        <v>2030</v>
      </c>
      <c r="E8">
        <v>307.91000000000003</v>
      </c>
      <c r="F8">
        <v>1540.58</v>
      </c>
      <c r="G8">
        <v>4843.5</v>
      </c>
      <c r="I8" s="7">
        <f t="shared" si="1"/>
        <v>2.1402357831834078E-2</v>
      </c>
      <c r="J8" s="7">
        <f t="shared" si="0"/>
        <v>0.19853561645613985</v>
      </c>
      <c r="K8" s="7">
        <f t="shared" si="0"/>
        <v>0.24716836998038605</v>
      </c>
    </row>
    <row r="9" spans="1:11" x14ac:dyDescent="0.55000000000000004">
      <c r="A9">
        <v>2744</v>
      </c>
      <c r="B9">
        <v>10000</v>
      </c>
      <c r="C9">
        <v>0</v>
      </c>
      <c r="D9">
        <v>2031</v>
      </c>
      <c r="E9">
        <v>313.14</v>
      </c>
      <c r="F9">
        <v>1863.01</v>
      </c>
      <c r="G9">
        <v>6256.14</v>
      </c>
      <c r="I9" s="7">
        <f t="shared" si="1"/>
        <v>1.6701794724404296E-2</v>
      </c>
      <c r="J9" s="7">
        <f t="shared" si="0"/>
        <v>0.17306938771128447</v>
      </c>
      <c r="K9" s="7">
        <f t="shared" si="0"/>
        <v>0.22580057351657737</v>
      </c>
    </row>
    <row r="10" spans="1:11" x14ac:dyDescent="0.55000000000000004">
      <c r="A10">
        <v>3109</v>
      </c>
      <c r="B10">
        <v>10000</v>
      </c>
      <c r="C10">
        <v>0</v>
      </c>
      <c r="D10">
        <v>2032</v>
      </c>
      <c r="E10">
        <v>319.64</v>
      </c>
      <c r="F10">
        <v>2390.14</v>
      </c>
      <c r="G10">
        <v>8394.57</v>
      </c>
      <c r="I10" s="7">
        <f t="shared" si="1"/>
        <v>2.0335377299461894E-2</v>
      </c>
      <c r="J10" s="7">
        <f t="shared" si="0"/>
        <v>0.22054356648564516</v>
      </c>
      <c r="K10" s="7">
        <f t="shared" si="0"/>
        <v>0.25473967100161171</v>
      </c>
    </row>
    <row r="11" spans="1:11" x14ac:dyDescent="0.55000000000000004">
      <c r="A11">
        <v>3474</v>
      </c>
      <c r="B11">
        <v>10000</v>
      </c>
      <c r="C11">
        <v>0</v>
      </c>
      <c r="D11">
        <v>2033</v>
      </c>
      <c r="E11">
        <v>328.06</v>
      </c>
      <c r="F11">
        <v>2877.61</v>
      </c>
      <c r="G11">
        <v>10513.99</v>
      </c>
      <c r="I11" s="7">
        <f t="shared" si="1"/>
        <v>2.5666036700603596E-2</v>
      </c>
      <c r="J11" s="7">
        <f t="shared" si="0"/>
        <v>0.16940099596540192</v>
      </c>
      <c r="K11" s="7">
        <f t="shared" si="0"/>
        <v>0.20158094120310177</v>
      </c>
    </row>
    <row r="12" spans="1:11" x14ac:dyDescent="0.55000000000000004">
      <c r="A12">
        <v>3839</v>
      </c>
      <c r="B12">
        <v>10000</v>
      </c>
      <c r="C12">
        <v>0</v>
      </c>
      <c r="D12">
        <v>2034</v>
      </c>
      <c r="E12">
        <v>328.18</v>
      </c>
      <c r="F12">
        <v>3712.69</v>
      </c>
      <c r="G12">
        <v>13876.55</v>
      </c>
      <c r="I12" s="7">
        <f t="shared" si="1"/>
        <v>3.6565299530746709E-4</v>
      </c>
      <c r="J12" s="7">
        <f t="shared" si="0"/>
        <v>0.22492586238010712</v>
      </c>
      <c r="K12" s="7">
        <f t="shared" si="0"/>
        <v>0.24231959672973466</v>
      </c>
    </row>
    <row r="13" spans="1:11" x14ac:dyDescent="0.55000000000000004">
      <c r="A13">
        <v>4204</v>
      </c>
      <c r="B13">
        <v>10000</v>
      </c>
      <c r="C13">
        <v>0</v>
      </c>
      <c r="D13">
        <v>2035</v>
      </c>
      <c r="E13">
        <v>343.02</v>
      </c>
      <c r="F13">
        <v>4762.75</v>
      </c>
      <c r="G13">
        <v>18311.939999999999</v>
      </c>
      <c r="I13" s="7">
        <f t="shared" si="1"/>
        <v>4.3262783511165456E-2</v>
      </c>
      <c r="J13" s="7">
        <f t="shared" si="0"/>
        <v>0.22047346595979211</v>
      </c>
      <c r="K13" s="7">
        <f t="shared" si="0"/>
        <v>0.24221300419289271</v>
      </c>
    </row>
    <row r="14" spans="1:11" x14ac:dyDescent="0.55000000000000004">
      <c r="A14">
        <v>4569</v>
      </c>
      <c r="B14">
        <v>10000</v>
      </c>
      <c r="C14">
        <v>0</v>
      </c>
      <c r="D14">
        <v>2036</v>
      </c>
      <c r="E14">
        <v>346.75</v>
      </c>
      <c r="F14">
        <v>5885.24</v>
      </c>
      <c r="G14">
        <v>22664.55</v>
      </c>
      <c r="I14" s="7">
        <f t="shared" si="1"/>
        <v>1.0757029560201928E-2</v>
      </c>
      <c r="J14" s="7">
        <f t="shared" si="0"/>
        <v>0.19072968986821265</v>
      </c>
      <c r="K14" s="7">
        <f t="shared" si="0"/>
        <v>0.19204484536423624</v>
      </c>
    </row>
    <row r="15" spans="1:11" x14ac:dyDescent="0.55000000000000004">
      <c r="A15">
        <v>4934</v>
      </c>
      <c r="B15">
        <v>10000</v>
      </c>
      <c r="C15">
        <v>0</v>
      </c>
      <c r="D15">
        <v>2037</v>
      </c>
      <c r="E15">
        <v>352.07</v>
      </c>
      <c r="F15">
        <v>7382.8</v>
      </c>
      <c r="G15">
        <v>28700.62</v>
      </c>
      <c r="I15" s="7">
        <f t="shared" si="1"/>
        <v>1.5110631408526694E-2</v>
      </c>
      <c r="J15" s="7">
        <f t="shared" si="0"/>
        <v>0.20284444926044323</v>
      </c>
      <c r="K15" s="7">
        <f t="shared" si="0"/>
        <v>0.21031148456026386</v>
      </c>
    </row>
    <row r="16" spans="1:11" x14ac:dyDescent="0.55000000000000004">
      <c r="A16">
        <v>5299</v>
      </c>
      <c r="B16">
        <v>10000</v>
      </c>
      <c r="C16">
        <v>0</v>
      </c>
      <c r="D16">
        <v>2038</v>
      </c>
      <c r="E16">
        <v>358.1</v>
      </c>
      <c r="F16">
        <v>10015.64</v>
      </c>
      <c r="G16">
        <v>39172.54</v>
      </c>
      <c r="I16" s="7">
        <f t="shared" si="1"/>
        <v>1.6838871823513065E-2</v>
      </c>
      <c r="J16" s="7">
        <f t="shared" si="0"/>
        <v>0.26287286683626804</v>
      </c>
      <c r="K16" s="7">
        <f t="shared" si="0"/>
        <v>0.2673280823760727</v>
      </c>
    </row>
    <row r="17" spans="1:11" x14ac:dyDescent="0.55000000000000004">
      <c r="A17">
        <v>5664</v>
      </c>
      <c r="B17">
        <v>10000</v>
      </c>
      <c r="C17">
        <v>0</v>
      </c>
      <c r="D17">
        <v>2039</v>
      </c>
      <c r="E17">
        <v>366.53</v>
      </c>
      <c r="F17">
        <v>12602.64</v>
      </c>
      <c r="G17">
        <v>48138.02</v>
      </c>
      <c r="I17" s="7">
        <f t="shared" si="1"/>
        <v>2.2999481624969172E-2</v>
      </c>
      <c r="J17" s="7">
        <f t="shared" si="0"/>
        <v>0.20527445043260778</v>
      </c>
      <c r="K17" s="7">
        <f t="shared" si="0"/>
        <v>0.18624530049220961</v>
      </c>
    </row>
    <row r="18" spans="1:11" x14ac:dyDescent="0.55000000000000004">
      <c r="A18">
        <v>6029</v>
      </c>
      <c r="B18">
        <v>10000</v>
      </c>
      <c r="C18">
        <v>0</v>
      </c>
      <c r="D18">
        <v>2040</v>
      </c>
      <c r="E18">
        <v>377.62</v>
      </c>
      <c r="F18">
        <v>17023.150000000001</v>
      </c>
      <c r="G18">
        <v>62420.78</v>
      </c>
      <c r="I18" s="7">
        <f t="shared" si="1"/>
        <v>2.9368147873523733E-2</v>
      </c>
      <c r="J18" s="7">
        <f t="shared" si="0"/>
        <v>0.25967638186822073</v>
      </c>
      <c r="K18" s="7">
        <f t="shared" si="0"/>
        <v>0.22881418655774571</v>
      </c>
    </row>
    <row r="19" spans="1:11" x14ac:dyDescent="0.55000000000000004">
      <c r="A19">
        <v>6394</v>
      </c>
      <c r="B19">
        <v>10000</v>
      </c>
      <c r="C19">
        <v>0</v>
      </c>
      <c r="D19">
        <v>2041</v>
      </c>
      <c r="E19">
        <v>384.57</v>
      </c>
      <c r="F19">
        <v>21732.2</v>
      </c>
      <c r="G19">
        <v>79719.89</v>
      </c>
      <c r="I19" s="7">
        <f t="shared" si="1"/>
        <v>1.8072132511636346E-2</v>
      </c>
      <c r="J19" s="7">
        <f t="shared" si="1"/>
        <v>0.21668537929892046</v>
      </c>
      <c r="K19" s="7">
        <f t="shared" si="1"/>
        <v>0.21699866871366733</v>
      </c>
    </row>
    <row r="20" spans="1:11" x14ac:dyDescent="0.55000000000000004">
      <c r="A20">
        <v>6759</v>
      </c>
      <c r="B20">
        <v>10000</v>
      </c>
      <c r="C20">
        <v>0</v>
      </c>
      <c r="D20">
        <v>2042</v>
      </c>
      <c r="E20">
        <v>384.41</v>
      </c>
      <c r="F20">
        <v>26972.880000000001</v>
      </c>
      <c r="G20">
        <v>100688.02</v>
      </c>
      <c r="I20" s="7">
        <f t="shared" si="1"/>
        <v>-4.162222626881927E-4</v>
      </c>
      <c r="J20" s="7">
        <f t="shared" si="1"/>
        <v>0.19429441720720961</v>
      </c>
      <c r="K20" s="7">
        <f t="shared" si="1"/>
        <v>0.20824850861105426</v>
      </c>
    </row>
    <row r="21" spans="1:11" x14ac:dyDescent="0.55000000000000004">
      <c r="A21">
        <v>7124</v>
      </c>
      <c r="B21">
        <v>10000</v>
      </c>
      <c r="C21">
        <v>0</v>
      </c>
      <c r="D21">
        <v>2043</v>
      </c>
      <c r="E21">
        <v>392.25</v>
      </c>
      <c r="F21">
        <v>36777.269999999997</v>
      </c>
      <c r="G21">
        <v>132047.57999999999</v>
      </c>
      <c r="I21" s="7">
        <f t="shared" si="1"/>
        <v>1.9987253027405928E-2</v>
      </c>
      <c r="J21" s="7">
        <f t="shared" si="1"/>
        <v>0.2665883030469634</v>
      </c>
      <c r="K21" s="7">
        <f t="shared" si="1"/>
        <v>0.23748682103829533</v>
      </c>
    </row>
    <row r="22" spans="1:11" x14ac:dyDescent="0.55000000000000004">
      <c r="A22">
        <v>7489</v>
      </c>
      <c r="B22">
        <v>10000</v>
      </c>
      <c r="C22">
        <v>0</v>
      </c>
      <c r="D22">
        <v>2044</v>
      </c>
      <c r="E22">
        <v>400.78</v>
      </c>
      <c r="F22">
        <v>46202.92</v>
      </c>
      <c r="G22">
        <v>167643.48000000001</v>
      </c>
      <c r="I22" s="7">
        <f t="shared" si="1"/>
        <v>2.1283497180497962E-2</v>
      </c>
      <c r="J22" s="7">
        <f t="shared" si="1"/>
        <v>0.20400550441400678</v>
      </c>
      <c r="K22" s="7">
        <f t="shared" si="1"/>
        <v>0.2123309537597288</v>
      </c>
    </row>
    <row r="23" spans="1:11" x14ac:dyDescent="0.55000000000000004">
      <c r="A23">
        <v>7854</v>
      </c>
      <c r="B23">
        <v>10000</v>
      </c>
      <c r="C23">
        <v>0</v>
      </c>
      <c r="D23">
        <v>2045</v>
      </c>
      <c r="E23">
        <v>408.19</v>
      </c>
      <c r="F23">
        <v>68661.179999999993</v>
      </c>
      <c r="G23">
        <v>222712.25</v>
      </c>
      <c r="I23" s="7">
        <f t="shared" si="1"/>
        <v>1.8153310958132305E-2</v>
      </c>
      <c r="J23" s="7">
        <f t="shared" si="1"/>
        <v>0.3270881741327486</v>
      </c>
      <c r="K23" s="7">
        <f t="shared" si="1"/>
        <v>0.24726421649460228</v>
      </c>
    </row>
    <row r="24" spans="1:11" x14ac:dyDescent="0.55000000000000004">
      <c r="A24">
        <v>8219</v>
      </c>
      <c r="B24">
        <v>10000</v>
      </c>
      <c r="C24">
        <v>0</v>
      </c>
      <c r="D24">
        <v>2046</v>
      </c>
      <c r="E24">
        <v>414.86</v>
      </c>
      <c r="F24">
        <v>80103.39</v>
      </c>
      <c r="G24">
        <v>265409.83</v>
      </c>
      <c r="I24" s="7">
        <f t="shared" si="1"/>
        <v>1.6077712963409381E-2</v>
      </c>
      <c r="J24" s="7">
        <f t="shared" si="1"/>
        <v>0.14284301825428369</v>
      </c>
      <c r="K24" s="7">
        <f t="shared" si="1"/>
        <v>0.16087414697488792</v>
      </c>
    </row>
    <row r="25" spans="1:11" x14ac:dyDescent="0.55000000000000004">
      <c r="A25">
        <v>8584</v>
      </c>
      <c r="B25">
        <v>10000</v>
      </c>
      <c r="C25">
        <v>0</v>
      </c>
      <c r="D25">
        <v>2047</v>
      </c>
      <c r="E25">
        <v>417.74</v>
      </c>
      <c r="F25">
        <v>109798.93</v>
      </c>
      <c r="G25">
        <v>350354.69</v>
      </c>
      <c r="I25" s="7">
        <f t="shared" si="1"/>
        <v>6.894240436635217E-3</v>
      </c>
      <c r="J25" s="7">
        <f t="shared" si="1"/>
        <v>0.27045381954086434</v>
      </c>
      <c r="K25" s="7">
        <f t="shared" si="1"/>
        <v>0.24245389722055666</v>
      </c>
    </row>
    <row r="26" spans="1:11" x14ac:dyDescent="0.55000000000000004">
      <c r="A26">
        <v>8949</v>
      </c>
      <c r="B26">
        <v>10000</v>
      </c>
      <c r="C26">
        <v>0</v>
      </c>
      <c r="D26">
        <v>2048</v>
      </c>
      <c r="E26">
        <v>420.6</v>
      </c>
      <c r="F26">
        <v>136040.89000000001</v>
      </c>
      <c r="G26">
        <v>448430.58</v>
      </c>
      <c r="I26" s="7">
        <f t="shared" si="1"/>
        <v>6.7998097955302272E-3</v>
      </c>
      <c r="J26" s="7">
        <f t="shared" si="1"/>
        <v>0.19289759130508496</v>
      </c>
      <c r="K26" s="7">
        <f t="shared" si="1"/>
        <v>0.21870919240164222</v>
      </c>
    </row>
    <row r="27" spans="1:11" x14ac:dyDescent="0.55000000000000004">
      <c r="A27">
        <v>9314</v>
      </c>
      <c r="B27">
        <v>10000</v>
      </c>
      <c r="C27">
        <v>0</v>
      </c>
      <c r="D27">
        <v>2049</v>
      </c>
      <c r="E27">
        <v>430.58</v>
      </c>
      <c r="F27">
        <v>183330.75</v>
      </c>
      <c r="G27">
        <v>540972.36</v>
      </c>
      <c r="I27" s="7">
        <f t="shared" si="1"/>
        <v>2.3178038924241633E-2</v>
      </c>
      <c r="J27" s="7">
        <f t="shared" si="1"/>
        <v>0.25794832563549752</v>
      </c>
      <c r="K27" s="7">
        <f t="shared" si="1"/>
        <v>0.17106563448084477</v>
      </c>
    </row>
    <row r="28" spans="1:11" x14ac:dyDescent="0.55000000000000004">
      <c r="A28">
        <v>9679</v>
      </c>
      <c r="B28">
        <v>10000</v>
      </c>
      <c r="C28">
        <v>0</v>
      </c>
      <c r="D28">
        <v>2050</v>
      </c>
      <c r="E28">
        <v>431.66</v>
      </c>
      <c r="F28">
        <v>241081.03</v>
      </c>
      <c r="G28">
        <v>711372.27</v>
      </c>
      <c r="I28" s="7">
        <f t="shared" si="1"/>
        <v>2.5019691423806721E-3</v>
      </c>
      <c r="J28" s="7">
        <f t="shared" si="1"/>
        <v>0.23954717631661024</v>
      </c>
      <c r="K28" s="7">
        <f t="shared" si="1"/>
        <v>0.23953690238726907</v>
      </c>
    </row>
    <row r="29" spans="1:11" x14ac:dyDescent="0.55000000000000004">
      <c r="A29">
        <v>10044</v>
      </c>
      <c r="B29">
        <v>10000</v>
      </c>
      <c r="C29">
        <v>0</v>
      </c>
      <c r="D29">
        <v>2051</v>
      </c>
      <c r="E29">
        <v>443.42</v>
      </c>
      <c r="F29">
        <v>341206.08</v>
      </c>
      <c r="G29">
        <v>897344.82</v>
      </c>
      <c r="I29" s="7">
        <f t="shared" si="1"/>
        <v>2.6521131207433112E-2</v>
      </c>
      <c r="J29" s="7">
        <f t="shared" si="1"/>
        <v>0.29344450720221638</v>
      </c>
      <c r="K29" s="7">
        <f t="shared" si="1"/>
        <v>0.20724758850226599</v>
      </c>
    </row>
    <row r="30" spans="1:11" x14ac:dyDescent="0.55000000000000004">
      <c r="A30">
        <v>10409</v>
      </c>
      <c r="B30">
        <v>10000</v>
      </c>
      <c r="C30">
        <v>0</v>
      </c>
      <c r="D30">
        <v>2052</v>
      </c>
      <c r="E30">
        <v>442.23</v>
      </c>
      <c r="F30">
        <v>432644.27</v>
      </c>
      <c r="G30">
        <v>1173103.8899999999</v>
      </c>
      <c r="I30" s="7">
        <f t="shared" si="1"/>
        <v>-2.6909074463514408E-3</v>
      </c>
      <c r="J30" s="7">
        <f t="shared" si="1"/>
        <v>0.21134728075793074</v>
      </c>
      <c r="K30" s="7">
        <f t="shared" si="1"/>
        <v>0.23506790178660134</v>
      </c>
    </row>
    <row r="31" spans="1:11" x14ac:dyDescent="0.55000000000000004">
      <c r="A31">
        <v>10774</v>
      </c>
      <c r="B31">
        <v>10000</v>
      </c>
      <c r="C31">
        <v>0</v>
      </c>
      <c r="D31">
        <v>2053</v>
      </c>
      <c r="E31">
        <v>451.48</v>
      </c>
      <c r="F31">
        <v>571778.81999999995</v>
      </c>
      <c r="G31">
        <v>1454103.37</v>
      </c>
      <c r="I31" s="7">
        <f t="shared" si="1"/>
        <v>2.0488172233543014E-2</v>
      </c>
      <c r="J31" s="7">
        <f t="shared" si="1"/>
        <v>0.24333631315689508</v>
      </c>
      <c r="K31" s="7">
        <f t="shared" si="1"/>
        <v>0.19324587632308438</v>
      </c>
    </row>
    <row r="32" spans="1:11" x14ac:dyDescent="0.55000000000000004">
      <c r="A32">
        <v>11139</v>
      </c>
      <c r="B32">
        <v>10000</v>
      </c>
      <c r="C32">
        <v>0</v>
      </c>
      <c r="D32">
        <v>2054</v>
      </c>
      <c r="E32">
        <v>456.4</v>
      </c>
      <c r="F32">
        <v>811623.45</v>
      </c>
      <c r="G32">
        <v>1861379.7</v>
      </c>
      <c r="I32" s="7">
        <f t="shared" si="1"/>
        <v>1.0780017528483697E-2</v>
      </c>
      <c r="J32" s="7">
        <f t="shared" si="1"/>
        <v>0.295512198421571</v>
      </c>
      <c r="K32" s="7">
        <f t="shared" si="1"/>
        <v>0.21880346605262743</v>
      </c>
    </row>
    <row r="33" spans="1:11" x14ac:dyDescent="0.55000000000000004">
      <c r="A33">
        <v>11504</v>
      </c>
      <c r="B33">
        <v>10000</v>
      </c>
      <c r="C33">
        <v>0</v>
      </c>
      <c r="D33">
        <v>2055</v>
      </c>
      <c r="E33">
        <v>454.28</v>
      </c>
      <c r="F33">
        <v>1058815.1200000001</v>
      </c>
      <c r="G33">
        <v>2367509.42</v>
      </c>
      <c r="I33" s="7">
        <f t="shared" si="1"/>
        <v>-4.6667253676146974E-3</v>
      </c>
      <c r="J33" s="7">
        <f t="shared" si="1"/>
        <v>0.23346065364083593</v>
      </c>
      <c r="K33" s="7">
        <f t="shared" si="1"/>
        <v>0.21378150208162636</v>
      </c>
    </row>
    <row r="34" spans="1:11" x14ac:dyDescent="0.55000000000000004">
      <c r="A34">
        <v>11869</v>
      </c>
      <c r="B34">
        <v>10000</v>
      </c>
      <c r="C34">
        <v>0</v>
      </c>
      <c r="D34">
        <v>2056</v>
      </c>
      <c r="E34">
        <v>469.59</v>
      </c>
      <c r="F34">
        <v>1514714.22</v>
      </c>
      <c r="G34">
        <v>3121332.09</v>
      </c>
      <c r="I34" s="7">
        <f t="shared" si="1"/>
        <v>3.2602908920547721E-2</v>
      </c>
      <c r="J34" s="7">
        <f t="shared" si="1"/>
        <v>0.30098027336140004</v>
      </c>
      <c r="K34" s="7">
        <f t="shared" si="1"/>
        <v>0.24150671837036089</v>
      </c>
    </row>
    <row r="35" spans="1:11" x14ac:dyDescent="0.55000000000000004">
      <c r="A35">
        <v>12234</v>
      </c>
      <c r="B35">
        <v>10000</v>
      </c>
      <c r="C35">
        <v>0</v>
      </c>
      <c r="D35">
        <v>2057</v>
      </c>
      <c r="E35">
        <v>472.31</v>
      </c>
      <c r="F35">
        <v>1908668.52</v>
      </c>
      <c r="G35">
        <v>3812445.8</v>
      </c>
      <c r="I35" s="7">
        <f t="shared" si="1"/>
        <v>5.7589295166310837E-3</v>
      </c>
      <c r="J35" s="7">
        <f t="shared" si="1"/>
        <v>0.20640268117378499</v>
      </c>
      <c r="K35" s="7">
        <f t="shared" si="1"/>
        <v>0.18127830433681183</v>
      </c>
    </row>
    <row r="36" spans="1:11" x14ac:dyDescent="0.55000000000000004">
      <c r="A36">
        <v>12599</v>
      </c>
      <c r="B36">
        <v>10000</v>
      </c>
      <c r="C36">
        <v>0</v>
      </c>
      <c r="D36">
        <v>2058</v>
      </c>
      <c r="E36">
        <v>482.35</v>
      </c>
      <c r="F36">
        <v>2479667.33</v>
      </c>
      <c r="G36">
        <v>4763121.78</v>
      </c>
      <c r="I36" s="7">
        <f t="shared" si="1"/>
        <v>2.0814761065616295E-2</v>
      </c>
      <c r="J36" s="7">
        <f t="shared" si="1"/>
        <v>0.23027234463745588</v>
      </c>
      <c r="K36" s="7">
        <f t="shared" si="1"/>
        <v>0.19959094558359169</v>
      </c>
    </row>
    <row r="37" spans="1:11" x14ac:dyDescent="0.55000000000000004">
      <c r="A37">
        <v>12964</v>
      </c>
      <c r="B37">
        <v>10000</v>
      </c>
      <c r="C37">
        <v>0</v>
      </c>
      <c r="D37">
        <v>2059</v>
      </c>
      <c r="E37">
        <v>484.22</v>
      </c>
      <c r="F37">
        <v>4124047.75</v>
      </c>
      <c r="G37">
        <v>6253715.8799999999</v>
      </c>
      <c r="I37" s="7">
        <f t="shared" si="1"/>
        <v>3.8618809631985555E-3</v>
      </c>
      <c r="J37" s="7">
        <f t="shared" si="1"/>
        <v>0.39872972372834431</v>
      </c>
      <c r="K37" s="7">
        <f t="shared" si="1"/>
        <v>0.23835334521145524</v>
      </c>
    </row>
    <row r="38" spans="1:11" x14ac:dyDescent="0.55000000000000004">
      <c r="A38">
        <v>13329</v>
      </c>
      <c r="B38">
        <v>10000</v>
      </c>
      <c r="C38">
        <v>0</v>
      </c>
      <c r="D38">
        <v>2060</v>
      </c>
      <c r="E38">
        <v>494.06</v>
      </c>
      <c r="F38">
        <v>5034417.72</v>
      </c>
      <c r="G38">
        <v>7809522.4199999999</v>
      </c>
      <c r="I38" s="7">
        <f t="shared" si="1"/>
        <v>1.9916609318706178E-2</v>
      </c>
      <c r="J38" s="7">
        <f t="shared" si="1"/>
        <v>0.1808292479154868</v>
      </c>
      <c r="K38" s="7">
        <f t="shared" si="1"/>
        <v>0.19921916556838568</v>
      </c>
    </row>
    <row r="39" spans="1:11" x14ac:dyDescent="0.55000000000000004">
      <c r="A39">
        <v>13694</v>
      </c>
      <c r="B39">
        <v>10000</v>
      </c>
      <c r="C39">
        <v>0</v>
      </c>
      <c r="D39">
        <v>2061</v>
      </c>
      <c r="E39">
        <v>502.81</v>
      </c>
      <c r="F39">
        <v>4780504.8</v>
      </c>
      <c r="G39">
        <v>9459303.3399999999</v>
      </c>
      <c r="I39" s="7">
        <f t="shared" si="1"/>
        <v>1.7402199638034247E-2</v>
      </c>
      <c r="J39" s="7">
        <f t="shared" si="1"/>
        <v>-5.3114248520365448E-2</v>
      </c>
      <c r="K39" s="7">
        <f t="shared" si="1"/>
        <v>0.17440828998724128</v>
      </c>
    </row>
    <row r="40" spans="1:11" x14ac:dyDescent="0.55000000000000004">
      <c r="A40">
        <v>14059</v>
      </c>
      <c r="B40">
        <v>10000</v>
      </c>
      <c r="C40">
        <v>0</v>
      </c>
      <c r="D40">
        <v>2062</v>
      </c>
      <c r="E40">
        <v>506.65</v>
      </c>
      <c r="F40">
        <v>7899039.0099999998</v>
      </c>
      <c r="G40">
        <v>11813660.619999999</v>
      </c>
      <c r="I40" s="7">
        <f t="shared" si="1"/>
        <v>7.5791966841014021E-3</v>
      </c>
      <c r="J40" s="7">
        <f t="shared" si="1"/>
        <v>0.39479919089550108</v>
      </c>
      <c r="K40" s="7">
        <f t="shared" si="1"/>
        <v>0.19929108815045674</v>
      </c>
    </row>
    <row r="41" spans="1:11" x14ac:dyDescent="0.55000000000000004">
      <c r="A41">
        <v>14424</v>
      </c>
      <c r="B41">
        <v>10000</v>
      </c>
      <c r="C41">
        <v>0</v>
      </c>
      <c r="D41">
        <v>2063</v>
      </c>
      <c r="E41">
        <v>507.07</v>
      </c>
      <c r="F41">
        <v>12385538.470000001</v>
      </c>
      <c r="G41">
        <v>15811472.810000001</v>
      </c>
      <c r="I41" s="7">
        <f t="shared" si="1"/>
        <v>8.2828800757295035E-4</v>
      </c>
      <c r="J41" s="7">
        <f t="shared" si="1"/>
        <v>0.3622369322792956</v>
      </c>
      <c r="K41" s="7">
        <f t="shared" si="1"/>
        <v>0.25284249215996984</v>
      </c>
    </row>
    <row r="42" spans="1:11" x14ac:dyDescent="0.55000000000000004">
      <c r="I42" s="7"/>
      <c r="J42" s="7"/>
      <c r="K42" s="7"/>
    </row>
    <row r="43" spans="1:11" x14ac:dyDescent="0.55000000000000004">
      <c r="I43" s="47">
        <f>AVERAGE(I3:I41)</f>
        <v>9.4854376515153115E-3</v>
      </c>
      <c r="J43" s="47">
        <f t="shared" ref="J43:K43" si="2">AVERAGE(J3:J41)</f>
        <v>0.22526804089726568</v>
      </c>
      <c r="K43" s="47">
        <f t="shared" si="2"/>
        <v>0.2263209482219469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C170-2AC4-4489-8DB8-62BDFA076821}">
  <dimension ref="B2:N30"/>
  <sheetViews>
    <sheetView workbookViewId="0">
      <selection activeCell="E7" sqref="E7"/>
    </sheetView>
  </sheetViews>
  <sheetFormatPr defaultRowHeight="14.4" x14ac:dyDescent="0.55000000000000004"/>
  <cols>
    <col min="2" max="2" width="6.5234375" bestFit="1" customWidth="1"/>
    <col min="3" max="3" width="8.15625" bestFit="1" customWidth="1"/>
    <col min="4" max="4" width="6.5234375" bestFit="1" customWidth="1"/>
    <col min="5" max="5" width="6.1015625" bestFit="1" customWidth="1"/>
    <col min="6" max="6" width="7.7890625" bestFit="1" customWidth="1"/>
    <col min="7" max="7" width="10.7890625" bestFit="1" customWidth="1"/>
    <col min="8" max="8" width="8.83984375" bestFit="1" customWidth="1"/>
    <col min="9" max="9" width="5.89453125" bestFit="1" customWidth="1"/>
    <col min="10" max="10" width="10.734375" bestFit="1" customWidth="1"/>
    <col min="11" max="11" width="9" bestFit="1" customWidth="1"/>
    <col min="12" max="12" width="11.15625" bestFit="1" customWidth="1"/>
    <col min="13" max="13" width="8.47265625" bestFit="1" customWidth="1"/>
    <col min="14" max="14" width="9.89453125" bestFit="1" customWidth="1"/>
  </cols>
  <sheetData>
    <row r="2" spans="2:14" x14ac:dyDescent="0.55000000000000004">
      <c r="B2" t="s">
        <v>29</v>
      </c>
      <c r="C2" t="s">
        <v>28</v>
      </c>
      <c r="D2" t="s">
        <v>27</v>
      </c>
      <c r="E2" t="s">
        <v>26</v>
      </c>
      <c r="F2" t="s">
        <v>25</v>
      </c>
      <c r="G2" t="s">
        <v>24</v>
      </c>
      <c r="H2" t="s">
        <v>23</v>
      </c>
      <c r="I2" t="s">
        <v>22</v>
      </c>
      <c r="J2" t="s">
        <v>21</v>
      </c>
      <c r="K2" t="s">
        <v>20</v>
      </c>
      <c r="L2" t="s">
        <v>19</v>
      </c>
      <c r="M2" t="s">
        <v>18</v>
      </c>
      <c r="N2" t="s">
        <v>17</v>
      </c>
    </row>
    <row r="3" spans="2:14" x14ac:dyDescent="0.55000000000000004">
      <c r="B3" t="s">
        <v>16</v>
      </c>
      <c r="C3">
        <v>91.99</v>
      </c>
      <c r="D3">
        <v>-0.27</v>
      </c>
      <c r="E3" s="5">
        <v>-2.8999999999999998E-3</v>
      </c>
      <c r="F3" t="s">
        <v>10</v>
      </c>
      <c r="G3" t="s">
        <v>69</v>
      </c>
      <c r="H3" t="s">
        <v>7</v>
      </c>
      <c r="I3" t="s">
        <v>7</v>
      </c>
      <c r="J3">
        <v>0</v>
      </c>
      <c r="N3" t="s">
        <v>70</v>
      </c>
    </row>
    <row r="4" spans="2:14" x14ac:dyDescent="0.55000000000000004">
      <c r="B4" t="s">
        <v>5</v>
      </c>
      <c r="C4">
        <v>446.95</v>
      </c>
      <c r="D4">
        <v>-5.9</v>
      </c>
      <c r="E4" s="5">
        <v>-1.2999999999999999E-2</v>
      </c>
      <c r="F4" t="s">
        <v>10</v>
      </c>
      <c r="G4" t="s">
        <v>71</v>
      </c>
      <c r="H4" t="s">
        <v>94</v>
      </c>
      <c r="I4" t="s">
        <v>7</v>
      </c>
      <c r="J4" t="s">
        <v>95</v>
      </c>
      <c r="N4" t="s">
        <v>96</v>
      </c>
    </row>
    <row r="5" spans="2:14" x14ac:dyDescent="0.55000000000000004">
      <c r="B5" t="s">
        <v>15</v>
      </c>
      <c r="C5">
        <v>210.62</v>
      </c>
      <c r="D5">
        <v>-3.48</v>
      </c>
      <c r="E5" s="5">
        <v>-1.6299999999999999E-2</v>
      </c>
      <c r="F5" t="s">
        <v>10</v>
      </c>
      <c r="G5" t="s">
        <v>71</v>
      </c>
      <c r="H5" t="s">
        <v>97</v>
      </c>
      <c r="I5" t="s">
        <v>7</v>
      </c>
      <c r="J5" t="s">
        <v>98</v>
      </c>
      <c r="N5" t="s">
        <v>99</v>
      </c>
    </row>
    <row r="6" spans="2:14" x14ac:dyDescent="0.55000000000000004">
      <c r="B6" t="s">
        <v>14</v>
      </c>
      <c r="C6">
        <v>193.25</v>
      </c>
      <c r="D6">
        <v>-4.5999999999999996</v>
      </c>
      <c r="E6" s="5">
        <v>-2.3199999999999998E-2</v>
      </c>
      <c r="F6" t="s">
        <v>10</v>
      </c>
      <c r="G6" t="s">
        <v>71</v>
      </c>
      <c r="H6" t="s">
        <v>100</v>
      </c>
      <c r="I6" t="s">
        <v>7</v>
      </c>
      <c r="J6" t="s">
        <v>101</v>
      </c>
      <c r="N6" t="s">
        <v>102</v>
      </c>
    </row>
    <row r="7" spans="2:14" x14ac:dyDescent="0.55000000000000004">
      <c r="B7" t="s">
        <v>13</v>
      </c>
      <c r="C7">
        <v>123.54</v>
      </c>
      <c r="D7">
        <v>-0.45</v>
      </c>
      <c r="E7" s="5">
        <v>-3.5999999999999999E-3</v>
      </c>
      <c r="F7" t="s">
        <v>10</v>
      </c>
      <c r="G7" t="s">
        <v>71</v>
      </c>
      <c r="H7" t="s">
        <v>103</v>
      </c>
      <c r="I7" t="s">
        <v>7</v>
      </c>
      <c r="J7" t="s">
        <v>104</v>
      </c>
      <c r="N7" t="s">
        <v>105</v>
      </c>
    </row>
    <row r="8" spans="2:14" x14ac:dyDescent="0.55000000000000004">
      <c r="B8" t="s">
        <v>12</v>
      </c>
      <c r="C8">
        <v>504.22</v>
      </c>
      <c r="D8">
        <v>-15.34</v>
      </c>
      <c r="E8" s="5">
        <v>-2.9499999999999998E-2</v>
      </c>
      <c r="F8" t="s">
        <v>10</v>
      </c>
      <c r="G8" t="s">
        <v>71</v>
      </c>
      <c r="H8" t="s">
        <v>106</v>
      </c>
      <c r="I8" t="s">
        <v>7</v>
      </c>
      <c r="J8" t="s">
        <v>107</v>
      </c>
      <c r="N8" t="s">
        <v>108</v>
      </c>
    </row>
    <row r="9" spans="2:14" x14ac:dyDescent="0.55000000000000004">
      <c r="B9" t="s">
        <v>11</v>
      </c>
      <c r="C9">
        <v>197.88</v>
      </c>
      <c r="D9">
        <v>0.46</v>
      </c>
      <c r="E9" s="5">
        <v>2.3E-3</v>
      </c>
      <c r="F9" t="s">
        <v>10</v>
      </c>
      <c r="G9" t="s">
        <v>71</v>
      </c>
      <c r="H9" t="s">
        <v>109</v>
      </c>
      <c r="I9" t="s">
        <v>7</v>
      </c>
      <c r="J9" t="s">
        <v>110</v>
      </c>
      <c r="N9" t="s">
        <v>111</v>
      </c>
    </row>
    <row r="10" spans="2:14" x14ac:dyDescent="0.55000000000000004">
      <c r="B10" t="s">
        <v>45</v>
      </c>
      <c r="C10" s="24">
        <v>5460.48</v>
      </c>
      <c r="D10">
        <v>-22.39</v>
      </c>
      <c r="E10" s="5">
        <v>-4.1000000000000003E-3</v>
      </c>
      <c r="F10" t="s">
        <v>10</v>
      </c>
      <c r="G10" t="s">
        <v>112</v>
      </c>
      <c r="H10" t="s">
        <v>113</v>
      </c>
      <c r="I10" t="s">
        <v>7</v>
      </c>
      <c r="J10" t="s">
        <v>114</v>
      </c>
      <c r="N10" t="s">
        <v>7</v>
      </c>
    </row>
    <row r="11" spans="2:14" x14ac:dyDescent="0.55000000000000004">
      <c r="B11" t="s">
        <v>46</v>
      </c>
      <c r="C11">
        <v>4.343</v>
      </c>
      <c r="D11">
        <v>5.5E-2</v>
      </c>
      <c r="E11" s="5">
        <v>1.2800000000000001E-2</v>
      </c>
      <c r="F11" t="s">
        <v>10</v>
      </c>
      <c r="G11" t="s">
        <v>47</v>
      </c>
      <c r="H11">
        <v>0</v>
      </c>
      <c r="I11" t="s">
        <v>7</v>
      </c>
      <c r="J11">
        <v>0</v>
      </c>
      <c r="N11" t="s">
        <v>7</v>
      </c>
    </row>
    <row r="12" spans="2:14" x14ac:dyDescent="0.55000000000000004">
      <c r="B12" t="s">
        <v>9</v>
      </c>
      <c r="C12" s="24">
        <v>83.334999999999994</v>
      </c>
      <c r="D12">
        <v>-8.3000000000000004E-2</v>
      </c>
      <c r="E12" s="5">
        <v>-1E-3</v>
      </c>
      <c r="F12" t="s">
        <v>8</v>
      </c>
      <c r="G12" t="s">
        <v>115</v>
      </c>
      <c r="H12">
        <v>0</v>
      </c>
      <c r="I12" t="s">
        <v>7</v>
      </c>
      <c r="J12">
        <v>0</v>
      </c>
      <c r="N12" t="s">
        <v>7</v>
      </c>
    </row>
    <row r="13" spans="2:14" x14ac:dyDescent="0.55000000000000004">
      <c r="B13" t="s">
        <v>44</v>
      </c>
      <c r="C13">
        <v>9.48</v>
      </c>
      <c r="D13">
        <v>-0.04</v>
      </c>
      <c r="E13" s="5">
        <v>-4.1999999999999997E-3</v>
      </c>
      <c r="F13" t="s">
        <v>10</v>
      </c>
      <c r="G13" t="s">
        <v>69</v>
      </c>
      <c r="H13" t="s">
        <v>7</v>
      </c>
      <c r="I13" t="s">
        <v>7</v>
      </c>
      <c r="J13">
        <v>0</v>
      </c>
      <c r="N13" t="s">
        <v>7</v>
      </c>
    </row>
    <row r="14" spans="2:14" x14ac:dyDescent="0.55000000000000004">
      <c r="B14" t="s">
        <v>43</v>
      </c>
      <c r="C14">
        <v>130.22999999999999</v>
      </c>
      <c r="D14">
        <v>-0.39</v>
      </c>
      <c r="E14" s="5">
        <v>-3.0000000000000001E-3</v>
      </c>
      <c r="F14" t="s">
        <v>10</v>
      </c>
      <c r="G14" t="s">
        <v>69</v>
      </c>
      <c r="H14" t="s">
        <v>7</v>
      </c>
      <c r="I14" t="s">
        <v>7</v>
      </c>
      <c r="J14">
        <v>0</v>
      </c>
      <c r="N14" t="s">
        <v>116</v>
      </c>
    </row>
    <row r="15" spans="2:14" x14ac:dyDescent="0.55000000000000004">
      <c r="B15" t="s">
        <v>63</v>
      </c>
      <c r="C15" s="24">
        <v>1085</v>
      </c>
      <c r="D15">
        <v>14.12</v>
      </c>
      <c r="E15" s="5">
        <v>1.32E-2</v>
      </c>
      <c r="F15" t="s">
        <v>10</v>
      </c>
      <c r="G15" t="s">
        <v>71</v>
      </c>
      <c r="H15" s="39">
        <v>426215</v>
      </c>
      <c r="I15" t="s">
        <v>7</v>
      </c>
      <c r="J15" s="39">
        <v>64128</v>
      </c>
      <c r="N15" t="s">
        <v>117</v>
      </c>
    </row>
    <row r="16" spans="2:14" x14ac:dyDescent="0.55000000000000004">
      <c r="B16" t="s">
        <v>68</v>
      </c>
      <c r="C16">
        <v>8.18</v>
      </c>
      <c r="D16">
        <v>-0.13</v>
      </c>
      <c r="E16" s="5">
        <v>-1.5599999999999999E-2</v>
      </c>
      <c r="F16" t="s">
        <v>10</v>
      </c>
      <c r="G16" t="s">
        <v>69</v>
      </c>
      <c r="H16" t="s">
        <v>7</v>
      </c>
      <c r="I16" t="s">
        <v>7</v>
      </c>
      <c r="J16">
        <v>0</v>
      </c>
      <c r="N16" t="s">
        <v>7</v>
      </c>
    </row>
    <row r="30" spans="10:10" x14ac:dyDescent="0.55000000000000004">
      <c r="J3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358B-E3CE-4E97-85F2-29F46B278FBD}">
  <dimension ref="A1:X47"/>
  <sheetViews>
    <sheetView workbookViewId="0">
      <selection activeCell="Q32" sqref="Q32"/>
    </sheetView>
  </sheetViews>
  <sheetFormatPr defaultRowHeight="14.4" x14ac:dyDescent="0.55000000000000004"/>
  <cols>
    <col min="2" max="2" width="3.20703125" customWidth="1"/>
    <col min="4" max="4" width="11.5234375" bestFit="1" customWidth="1"/>
    <col min="5" max="5" width="11.5234375" customWidth="1"/>
    <col min="6" max="6" width="11.5234375" bestFit="1" customWidth="1"/>
    <col min="7" max="7" width="7.62890625" bestFit="1" customWidth="1"/>
    <col min="8" max="8" width="10.15625" bestFit="1" customWidth="1"/>
    <col min="9" max="9" width="4.3671875" customWidth="1"/>
    <col min="11" max="11" width="11.15625" bestFit="1" customWidth="1"/>
    <col min="12" max="12" width="9.734375" bestFit="1" customWidth="1"/>
    <col min="13" max="13" width="11.5234375" bestFit="1" customWidth="1"/>
    <col min="14" max="14" width="7.62890625" bestFit="1" customWidth="1"/>
    <col min="15" max="15" width="10.15625" bestFit="1" customWidth="1"/>
    <col min="16" max="16" width="6.05078125" customWidth="1"/>
    <col min="18" max="18" width="11.15625" bestFit="1" customWidth="1"/>
    <col min="19" max="19" width="9.734375" bestFit="1" customWidth="1"/>
    <col min="20" max="20" width="11.15625" bestFit="1" customWidth="1"/>
    <col min="21" max="21" width="7.62890625" bestFit="1" customWidth="1"/>
    <col min="22" max="22" width="10.15625" bestFit="1" customWidth="1"/>
  </cols>
  <sheetData>
    <row r="1" spans="1:24" x14ac:dyDescent="0.55000000000000004">
      <c r="A1" s="49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X1" s="6"/>
    </row>
    <row r="2" spans="1:24" ht="14.7" thickBot="1" x14ac:dyDescent="0.6">
      <c r="X2" s="6"/>
    </row>
    <row r="3" spans="1:24" x14ac:dyDescent="0.55000000000000004">
      <c r="C3" s="51" t="s">
        <v>31</v>
      </c>
      <c r="D3" s="52"/>
      <c r="E3" s="52"/>
      <c r="F3" s="53"/>
      <c r="G3" s="20" t="s">
        <v>37</v>
      </c>
      <c r="H3" s="20" t="s">
        <v>40</v>
      </c>
      <c r="J3" s="51" t="s">
        <v>32</v>
      </c>
      <c r="K3" s="52"/>
      <c r="L3" s="52"/>
      <c r="M3" s="53"/>
      <c r="N3" s="20" t="s">
        <v>37</v>
      </c>
      <c r="O3" s="20" t="s">
        <v>41</v>
      </c>
      <c r="Q3" s="51" t="s">
        <v>33</v>
      </c>
      <c r="R3" s="52"/>
      <c r="S3" s="52"/>
      <c r="T3" s="53"/>
      <c r="U3" s="20" t="s">
        <v>37</v>
      </c>
      <c r="V3" s="20" t="s">
        <v>41</v>
      </c>
      <c r="X3" s="6"/>
    </row>
    <row r="4" spans="1:24" s="10" customFormat="1" x14ac:dyDescent="0.55000000000000004">
      <c r="A4" s="10" t="str">
        <f>[1]MCSummary!$D$1</f>
        <v>Year</v>
      </c>
      <c r="B4"/>
      <c r="C4" s="17" t="str">
        <f>[1]MCSummary!$I$1</f>
        <v>5Per</v>
      </c>
      <c r="D4" s="18" t="s">
        <v>35</v>
      </c>
      <c r="E4" s="18" t="s">
        <v>30</v>
      </c>
      <c r="F4" s="19" t="s">
        <v>6</v>
      </c>
      <c r="G4" s="18"/>
      <c r="H4" s="18"/>
      <c r="J4" s="17" t="str">
        <f>[1]MCSummary!$J$1</f>
        <v>Mean</v>
      </c>
      <c r="K4" s="18" t="s">
        <v>35</v>
      </c>
      <c r="L4" s="18" t="s">
        <v>30</v>
      </c>
      <c r="M4" s="19" t="s">
        <v>6</v>
      </c>
      <c r="N4" s="18"/>
      <c r="O4" s="18"/>
      <c r="Q4" s="17" t="str">
        <f>[1]MCSummary!$K$1</f>
        <v>95Per</v>
      </c>
      <c r="R4" s="18" t="s">
        <v>35</v>
      </c>
      <c r="S4" s="18" t="s">
        <v>30</v>
      </c>
      <c r="T4" s="19" t="s">
        <v>6</v>
      </c>
      <c r="U4" s="18"/>
      <c r="V4" s="18"/>
    </row>
    <row r="5" spans="1:24" ht="14.7" thickBot="1" x14ac:dyDescent="0.6">
      <c r="A5" s="9">
        <f>'VUSTX-MCSummary'!D2</f>
        <v>2024</v>
      </c>
      <c r="C5" s="13">
        <f>'VUSTX-MCSummary'!I2</f>
        <v>-0.1009421265141319</v>
      </c>
      <c r="D5" s="12">
        <f>StartingPortfolio*VUSTX_AAP</f>
        <v>50000</v>
      </c>
      <c r="E5" s="12">
        <f>FirstJob_AnnualIncome*FirstJob_TargetSavingsPercent*VUSTX_AAP</f>
        <v>15000</v>
      </c>
      <c r="F5" s="14">
        <f>(D5+E5)*(1+C5)</f>
        <v>58438.761776581428</v>
      </c>
      <c r="G5" s="21" t="str">
        <f t="shared" ref="G5:G44" si="0">IF((F5-FinancialGoal)&gt;0,"Reached","")</f>
        <v/>
      </c>
      <c r="H5" s="21">
        <f>E5</f>
        <v>15000</v>
      </c>
      <c r="I5" s="7"/>
      <c r="J5" s="13">
        <f>'VUSTX-MCSummary'!J2</f>
        <v>2.2700119474312965E-2</v>
      </c>
      <c r="K5" s="12">
        <f>StartingPortfolio*VUSTX_AAP</f>
        <v>50000</v>
      </c>
      <c r="L5" s="12">
        <f>FirstJob_AnnualIncome*FirstJob_TargetSavingsPercent*VUSTX_AAP</f>
        <v>15000</v>
      </c>
      <c r="M5" s="14">
        <f>(K5+L5)*(1+J5)</f>
        <v>66475.507765830349</v>
      </c>
      <c r="N5" s="21" t="str">
        <f t="shared" ref="N5:N44" si="1">IF((M5-FinancialGoal)&gt;0,"Reached","")</f>
        <v/>
      </c>
      <c r="O5" s="21">
        <f>L5</f>
        <v>15000</v>
      </c>
      <c r="P5" s="7"/>
      <c r="Q5" s="13">
        <f>'VUSTX-MCSummary'!K2</f>
        <v>0.12606837606837604</v>
      </c>
      <c r="R5" s="12">
        <f>StartingPortfolio*VUSTX_AAP</f>
        <v>50000</v>
      </c>
      <c r="S5" s="12">
        <f>FirstJob_AnnualIncome*FirstJob_TargetSavingsPercent*VUSTX_AAP</f>
        <v>15000</v>
      </c>
      <c r="T5" s="14">
        <f>(R5+S5)*(1+Q5)</f>
        <v>73194.444444444438</v>
      </c>
      <c r="U5" s="21" t="str">
        <f t="shared" ref="U5:U44" si="2">IF((T5-FinancialGoal)&gt;0,"Reached","")</f>
        <v/>
      </c>
      <c r="V5" s="21">
        <f>S5</f>
        <v>15000</v>
      </c>
    </row>
    <row r="6" spans="1:24" ht="15" thickTop="1" thickBot="1" x14ac:dyDescent="0.6">
      <c r="A6" s="9">
        <f>'VUSTX-MCSummary'!D3</f>
        <v>2025</v>
      </c>
      <c r="C6" s="13">
        <f>'VUSTX-MCSummary'!I3</f>
        <v>-9.7488921713441687E-2</v>
      </c>
      <c r="D6" s="12">
        <f>F5</f>
        <v>58438.761776581428</v>
      </c>
      <c r="E6" s="12">
        <f t="shared" ref="E6:E44" si="3">E5*(1+FirstJob_IncomeYrlyIncrease)</f>
        <v>16500</v>
      </c>
      <c r="F6" s="14">
        <f t="shared" ref="F6:F44" si="4">(D6+E6)*(1+C6)</f>
        <v>67633.062696442037</v>
      </c>
      <c r="G6" s="21" t="str">
        <f t="shared" si="0"/>
        <v/>
      </c>
      <c r="H6" s="21">
        <f>H5+E6</f>
        <v>31500</v>
      </c>
      <c r="I6" s="5"/>
      <c r="J6" s="13">
        <f>'VUSTX-MCSummary'!J3</f>
        <v>-4.8019207683072202E-3</v>
      </c>
      <c r="K6" s="12">
        <f>M5</f>
        <v>66475.507765830349</v>
      </c>
      <c r="L6" s="12">
        <f t="shared" ref="L6:L44" si="5">L5*(1+FirstJob_IncomeYrlyIncrease)</f>
        <v>16500</v>
      </c>
      <c r="M6" s="14">
        <f>(K6+L6)*(1+J6)</f>
        <v>82577.065951828772</v>
      </c>
      <c r="N6" s="21" t="str">
        <f t="shared" si="1"/>
        <v/>
      </c>
      <c r="O6" s="21">
        <f>L6+O5</f>
        <v>31500</v>
      </c>
      <c r="P6" s="5"/>
      <c r="Q6" s="13">
        <f>'VUSTX-MCSummary'!K3</f>
        <v>6.4000000000000057E-2</v>
      </c>
      <c r="R6" s="12">
        <f>T5</f>
        <v>73194.444444444438</v>
      </c>
      <c r="S6" s="12">
        <f t="shared" ref="S6:S44" si="6">S5*(1+FirstJob_IncomeYrlyIncrease)</f>
        <v>16500</v>
      </c>
      <c r="T6" s="14">
        <f>(R6+S6)*(1+Q6)</f>
        <v>95434.888888888891</v>
      </c>
      <c r="U6" s="21" t="str">
        <f t="shared" si="2"/>
        <v/>
      </c>
      <c r="V6" s="21">
        <f>S6+V5</f>
        <v>31500</v>
      </c>
    </row>
    <row r="7" spans="1:24" ht="15" thickTop="1" thickBot="1" x14ac:dyDescent="0.6">
      <c r="A7" s="9">
        <f>'VUSTX-MCSummary'!D4</f>
        <v>2026</v>
      </c>
      <c r="C7" s="13">
        <f>'VUSTX-MCSummary'!I4</f>
        <v>-6.2794348508634135E-2</v>
      </c>
      <c r="D7" s="12">
        <f t="shared" ref="D7:D44" si="7">F6</f>
        <v>67633.062696442037</v>
      </c>
      <c r="E7" s="12">
        <f t="shared" si="3"/>
        <v>18150</v>
      </c>
      <c r="F7" s="14">
        <f t="shared" si="4"/>
        <v>80396.371161343632</v>
      </c>
      <c r="G7" s="21" t="str">
        <f t="shared" si="0"/>
        <v/>
      </c>
      <c r="H7" s="21">
        <f t="shared" ref="H7:H44" si="8">H6+E7</f>
        <v>49650</v>
      </c>
      <c r="I7" s="5"/>
      <c r="J7" s="13">
        <f>'VUSTX-MCSummary'!J4</f>
        <v>0</v>
      </c>
      <c r="K7" s="12">
        <f t="shared" ref="K7:K44" si="9">M6</f>
        <v>82577.065951828772</v>
      </c>
      <c r="L7" s="12">
        <f t="shared" si="5"/>
        <v>18150</v>
      </c>
      <c r="M7" s="14">
        <f t="shared" ref="M7:M44" si="10">(K7+L7)*(1+J7)</f>
        <v>100727.06595182877</v>
      </c>
      <c r="N7" s="21" t="str">
        <f t="shared" si="1"/>
        <v/>
      </c>
      <c r="O7" s="21">
        <f t="shared" ref="O7:O44" si="11">L7+O6</f>
        <v>49650</v>
      </c>
      <c r="P7" s="5"/>
      <c r="Q7" s="13">
        <f>'VUSTX-MCSummary'!K4</f>
        <v>4.8525214081826813E-2</v>
      </c>
      <c r="R7" s="12">
        <f t="shared" ref="R7:R44" si="12">T6</f>
        <v>95434.888888888891</v>
      </c>
      <c r="S7" s="12">
        <f t="shared" si="6"/>
        <v>18150</v>
      </c>
      <c r="T7" s="14">
        <f t="shared" ref="T7:T44" si="13">(R7+S7)*(1+Q7)</f>
        <v>119096.61993868274</v>
      </c>
      <c r="U7" s="21" t="str">
        <f t="shared" si="2"/>
        <v/>
      </c>
      <c r="V7" s="21">
        <f t="shared" ref="V7:V44" si="14">S7+V6</f>
        <v>49650</v>
      </c>
    </row>
    <row r="8" spans="1:24" ht="15" thickTop="1" thickBot="1" x14ac:dyDescent="0.6">
      <c r="A8" s="9">
        <f>'VUSTX-MCSummary'!D5</f>
        <v>2027</v>
      </c>
      <c r="C8" s="13">
        <f>'VUSTX-MCSummary'!I5</f>
        <v>-6.1666666666666682E-2</v>
      </c>
      <c r="D8" s="12">
        <f t="shared" si="7"/>
        <v>80396.371161343632</v>
      </c>
      <c r="E8" s="12">
        <f t="shared" si="3"/>
        <v>19965</v>
      </c>
      <c r="F8" s="14">
        <f t="shared" si="4"/>
        <v>94172.41993972745</v>
      </c>
      <c r="G8" s="21" t="str">
        <f t="shared" si="0"/>
        <v/>
      </c>
      <c r="H8" s="21">
        <f t="shared" si="8"/>
        <v>69615</v>
      </c>
      <c r="I8" s="5"/>
      <c r="J8" s="13">
        <f>'VUSTX-MCSummary'!J5</f>
        <v>-6.0386473429952557E-3</v>
      </c>
      <c r="K8" s="12">
        <f t="shared" si="9"/>
        <v>100727.06595182877</v>
      </c>
      <c r="L8" s="12">
        <f t="shared" si="5"/>
        <v>19965</v>
      </c>
      <c r="M8" s="14">
        <f t="shared" si="10"/>
        <v>119963.24912844815</v>
      </c>
      <c r="N8" s="21" t="str">
        <f t="shared" si="1"/>
        <v/>
      </c>
      <c r="O8" s="21">
        <f t="shared" si="11"/>
        <v>69615</v>
      </c>
      <c r="P8" s="5"/>
      <c r="Q8" s="13">
        <f>'VUSTX-MCSummary'!K5</f>
        <v>3.489439853076224E-2</v>
      </c>
      <c r="R8" s="12">
        <f t="shared" si="12"/>
        <v>119096.61993868274</v>
      </c>
      <c r="S8" s="12">
        <f t="shared" si="6"/>
        <v>19965</v>
      </c>
      <c r="T8" s="14">
        <f t="shared" si="13"/>
        <v>143914.09152515652</v>
      </c>
      <c r="U8" s="21" t="str">
        <f t="shared" si="2"/>
        <v/>
      </c>
      <c r="V8" s="21">
        <f t="shared" si="14"/>
        <v>69615</v>
      </c>
    </row>
    <row r="9" spans="1:24" ht="15" thickTop="1" thickBot="1" x14ac:dyDescent="0.6">
      <c r="A9" s="9">
        <f>'VUSTX-MCSummary'!D6</f>
        <v>2028</v>
      </c>
      <c r="C9" s="13">
        <f>'VUSTX-MCSummary'!I6</f>
        <v>-5.6338028169014134E-2</v>
      </c>
      <c r="D9" s="12">
        <f t="shared" si="7"/>
        <v>94172.41993972745</v>
      </c>
      <c r="E9" s="12">
        <f t="shared" si="3"/>
        <v>21961.5</v>
      </c>
      <c r="F9" s="14">
        <f t="shared" si="4"/>
        <v>109591.16388678506</v>
      </c>
      <c r="G9" s="21" t="str">
        <f t="shared" si="0"/>
        <v/>
      </c>
      <c r="H9" s="21">
        <f t="shared" si="8"/>
        <v>91576.5</v>
      </c>
      <c r="I9" s="5"/>
      <c r="J9" s="13">
        <f>'VUSTX-MCSummary'!J6</f>
        <v>-1.2091898428052948E-3</v>
      </c>
      <c r="K9" s="12">
        <f t="shared" si="9"/>
        <v>119963.24912844815</v>
      </c>
      <c r="L9" s="12">
        <f t="shared" si="5"/>
        <v>21961.5</v>
      </c>
      <c r="M9" s="14">
        <f t="shared" si="10"/>
        <v>141753.13516335934</v>
      </c>
      <c r="N9" s="21" t="str">
        <f t="shared" si="1"/>
        <v/>
      </c>
      <c r="O9" s="21">
        <f t="shared" si="11"/>
        <v>91576.5</v>
      </c>
      <c r="P9" s="5"/>
      <c r="Q9" s="13">
        <f>'VUSTX-MCSummary'!K6</f>
        <v>3.37178349600709E-2</v>
      </c>
      <c r="R9" s="12">
        <f t="shared" si="12"/>
        <v>143914.09152515652</v>
      </c>
      <c r="S9" s="12">
        <f t="shared" si="6"/>
        <v>21961.5</v>
      </c>
      <c r="T9" s="14">
        <f t="shared" si="13"/>
        <v>171468.55734410588</v>
      </c>
      <c r="U9" s="21" t="str">
        <f t="shared" si="2"/>
        <v/>
      </c>
      <c r="V9" s="21">
        <f t="shared" si="14"/>
        <v>91576.5</v>
      </c>
    </row>
    <row r="10" spans="1:24" ht="15" thickTop="1" thickBot="1" x14ac:dyDescent="0.6">
      <c r="A10" s="9">
        <f>'VUSTX-MCSummary'!D7</f>
        <v>2029</v>
      </c>
      <c r="C10" s="13">
        <f>'VUSTX-MCSummary'!I7</f>
        <v>-4.41176470588234E-2</v>
      </c>
      <c r="D10" s="12">
        <f t="shared" si="7"/>
        <v>109591.16388678506</v>
      </c>
      <c r="E10" s="12">
        <f t="shared" si="3"/>
        <v>24157.65</v>
      </c>
      <c r="F10" s="14">
        <f t="shared" si="4"/>
        <v>127848.13092119162</v>
      </c>
      <c r="G10" s="21" t="str">
        <f t="shared" si="0"/>
        <v/>
      </c>
      <c r="H10" s="21">
        <f t="shared" si="8"/>
        <v>115734.15</v>
      </c>
      <c r="I10" s="5"/>
      <c r="J10" s="13">
        <f>'VUSTX-MCSummary'!J7</f>
        <v>-1.2106537530266086E-3</v>
      </c>
      <c r="K10" s="12">
        <f t="shared" si="9"/>
        <v>141753.13516335934</v>
      </c>
      <c r="L10" s="12">
        <f t="shared" si="5"/>
        <v>24157.65</v>
      </c>
      <c r="M10" s="14">
        <f t="shared" si="10"/>
        <v>165709.92464863372</v>
      </c>
      <c r="N10" s="21" t="str">
        <f t="shared" si="1"/>
        <v/>
      </c>
      <c r="O10" s="21">
        <f t="shared" si="11"/>
        <v>115734.15</v>
      </c>
      <c r="P10" s="5"/>
      <c r="Q10" s="13">
        <f>'VUSTX-MCSummary'!K7</f>
        <v>3.0954428202923576E-2</v>
      </c>
      <c r="R10" s="12">
        <f t="shared" si="12"/>
        <v>171468.55734410588</v>
      </c>
      <c r="S10" s="12">
        <f t="shared" si="6"/>
        <v>24157.65</v>
      </c>
      <c r="T10" s="14">
        <f t="shared" si="13"/>
        <v>201681.70473394921</v>
      </c>
      <c r="U10" s="21" t="str">
        <f t="shared" si="2"/>
        <v/>
      </c>
      <c r="V10" s="21">
        <f t="shared" si="14"/>
        <v>115734.15</v>
      </c>
    </row>
    <row r="11" spans="1:24" ht="15" thickTop="1" thickBot="1" x14ac:dyDescent="0.6">
      <c r="A11" s="9">
        <f>'VUSTX-MCSummary'!D8</f>
        <v>2030</v>
      </c>
      <c r="C11" s="13">
        <f>'VUSTX-MCSummary'!I8</f>
        <v>-4.6153846153846191E-2</v>
      </c>
      <c r="D11" s="12">
        <f t="shared" si="7"/>
        <v>127848.13092119162</v>
      </c>
      <c r="E11" s="12">
        <f t="shared" si="3"/>
        <v>26573.415000000005</v>
      </c>
      <c r="F11" s="14">
        <f t="shared" si="4"/>
        <v>147294.39764790586</v>
      </c>
      <c r="G11" s="21" t="str">
        <f t="shared" si="0"/>
        <v/>
      </c>
      <c r="H11" s="21">
        <f t="shared" si="8"/>
        <v>142307.565</v>
      </c>
      <c r="I11" s="5"/>
      <c r="J11" s="13">
        <f>'VUSTX-MCSummary'!J8</f>
        <v>-3.6452004860266537E-3</v>
      </c>
      <c r="K11" s="12">
        <f t="shared" si="9"/>
        <v>165709.92464863372</v>
      </c>
      <c r="L11" s="12">
        <f t="shared" si="5"/>
        <v>26573.415000000005</v>
      </c>
      <c r="M11" s="14">
        <f t="shared" si="10"/>
        <v>191582.4283254917</v>
      </c>
      <c r="N11" s="21" t="str">
        <f t="shared" si="1"/>
        <v/>
      </c>
      <c r="O11" s="21">
        <f t="shared" si="11"/>
        <v>142307.565</v>
      </c>
      <c r="P11" s="5"/>
      <c r="Q11" s="13">
        <f>'VUSTX-MCSummary'!K8</f>
        <v>1.3570822731127937E-2</v>
      </c>
      <c r="R11" s="12">
        <f t="shared" si="12"/>
        <v>201681.70473394921</v>
      </c>
      <c r="S11" s="12">
        <f t="shared" si="6"/>
        <v>26573.415000000005</v>
      </c>
      <c r="T11" s="14">
        <f t="shared" si="13"/>
        <v>231352.72950133105</v>
      </c>
      <c r="U11" s="21" t="str">
        <f t="shared" si="2"/>
        <v/>
      </c>
      <c r="V11" s="21">
        <f t="shared" si="14"/>
        <v>142307.565</v>
      </c>
    </row>
    <row r="12" spans="1:24" ht="15" thickTop="1" thickBot="1" x14ac:dyDescent="0.6">
      <c r="A12" s="9">
        <f>'VUSTX-MCSummary'!D9</f>
        <v>2031</v>
      </c>
      <c r="C12" s="13">
        <f>'VUSTX-MCSummary'!I9</f>
        <v>-4.4176706827309183E-2</v>
      </c>
      <c r="D12" s="12">
        <f t="shared" si="7"/>
        <v>147294.39764790586</v>
      </c>
      <c r="E12" s="12">
        <f t="shared" si="3"/>
        <v>29230.756500000007</v>
      </c>
      <c r="F12" s="14">
        <f t="shared" si="4"/>
        <v>168726.85416546828</v>
      </c>
      <c r="G12" s="21" t="str">
        <f t="shared" si="0"/>
        <v/>
      </c>
      <c r="H12" s="21">
        <f t="shared" si="8"/>
        <v>171538.32150000002</v>
      </c>
      <c r="I12" s="5"/>
      <c r="J12" s="13">
        <f>'VUSTX-MCSummary'!J9</f>
        <v>-3.6585365853659927E-3</v>
      </c>
      <c r="K12" s="12">
        <f t="shared" si="9"/>
        <v>191582.4283254917</v>
      </c>
      <c r="L12" s="12">
        <f t="shared" si="5"/>
        <v>29230.756500000007</v>
      </c>
      <c r="M12" s="14">
        <f t="shared" si="10"/>
        <v>220005.33171027648</v>
      </c>
      <c r="N12" s="21" t="str">
        <f t="shared" si="1"/>
        <v/>
      </c>
      <c r="O12" s="21">
        <f t="shared" si="11"/>
        <v>171538.32150000002</v>
      </c>
      <c r="P12" s="5"/>
      <c r="Q12" s="13">
        <f>'VUSTX-MCSummary'!K9</f>
        <v>2.2388059701492647E-2</v>
      </c>
      <c r="R12" s="12">
        <f t="shared" si="12"/>
        <v>231352.72950133105</v>
      </c>
      <c r="S12" s="12">
        <f t="shared" si="6"/>
        <v>29230.756500000007</v>
      </c>
      <c r="T12" s="14">
        <f t="shared" si="13"/>
        <v>266417.44464315195</v>
      </c>
      <c r="U12" s="21" t="str">
        <f t="shared" si="2"/>
        <v/>
      </c>
      <c r="V12" s="21">
        <f t="shared" si="14"/>
        <v>171538.32150000002</v>
      </c>
    </row>
    <row r="13" spans="1:24" ht="15" thickTop="1" thickBot="1" x14ac:dyDescent="0.6">
      <c r="A13" s="9">
        <f>'VUSTX-MCSummary'!D10</f>
        <v>2032</v>
      </c>
      <c r="C13" s="13">
        <f>'VUSTX-MCSummary'!I10</f>
        <v>-4.8421052631579038E-2</v>
      </c>
      <c r="D13" s="12">
        <f t="shared" si="7"/>
        <v>168726.85416546828</v>
      </c>
      <c r="E13" s="12">
        <f t="shared" si="3"/>
        <v>32153.832150000009</v>
      </c>
      <c r="F13" s="14">
        <f t="shared" si="4"/>
        <v>191153.83203071926</v>
      </c>
      <c r="G13" s="21" t="str">
        <f t="shared" si="0"/>
        <v/>
      </c>
      <c r="H13" s="21">
        <f t="shared" si="8"/>
        <v>203692.15365000002</v>
      </c>
      <c r="I13" s="5"/>
      <c r="J13" s="13">
        <f>'VUSTX-MCSummary'!J10</f>
        <v>-9.8522167487684834E-3</v>
      </c>
      <c r="K13" s="12">
        <f t="shared" si="9"/>
        <v>220005.33171027648</v>
      </c>
      <c r="L13" s="12">
        <f t="shared" si="5"/>
        <v>32153.832150000009</v>
      </c>
      <c r="M13" s="14">
        <f t="shared" si="10"/>
        <v>249674.83712273682</v>
      </c>
      <c r="N13" s="21" t="str">
        <f t="shared" si="1"/>
        <v/>
      </c>
      <c r="O13" s="21">
        <f t="shared" si="11"/>
        <v>203692.15365000002</v>
      </c>
      <c r="P13" s="5"/>
      <c r="Q13" s="13">
        <f>'VUSTX-MCSummary'!K10</f>
        <v>1.3093289689034381E-2</v>
      </c>
      <c r="R13" s="12">
        <f t="shared" si="12"/>
        <v>266417.44464315195</v>
      </c>
      <c r="S13" s="12">
        <f t="shared" si="6"/>
        <v>32153.832150000009</v>
      </c>
      <c r="T13" s="14">
        <f t="shared" si="13"/>
        <v>302480.55701302958</v>
      </c>
      <c r="U13" s="21" t="str">
        <f t="shared" si="2"/>
        <v/>
      </c>
      <c r="V13" s="21">
        <f t="shared" si="14"/>
        <v>203692.15365000002</v>
      </c>
    </row>
    <row r="14" spans="1:24" ht="15" thickTop="1" thickBot="1" x14ac:dyDescent="0.6">
      <c r="A14" s="9">
        <f>'VUSTX-MCSummary'!D11</f>
        <v>2033</v>
      </c>
      <c r="C14" s="13">
        <f>'VUSTX-MCSummary'!I11</f>
        <v>-2.370689655172421E-2</v>
      </c>
      <c r="D14" s="12">
        <f t="shared" si="7"/>
        <v>191153.83203071926</v>
      </c>
      <c r="E14" s="12">
        <f t="shared" si="3"/>
        <v>35369.215365000011</v>
      </c>
      <c r="F14" s="14">
        <f t="shared" si="4"/>
        <v>221152.88894452763</v>
      </c>
      <c r="G14" s="21" t="str">
        <f t="shared" si="0"/>
        <v/>
      </c>
      <c r="H14" s="21">
        <f t="shared" si="8"/>
        <v>239061.36901500003</v>
      </c>
      <c r="I14" s="5"/>
      <c r="J14" s="13">
        <f>'VUSTX-MCSummary'!J11</f>
        <v>7.3349633251834348E-3</v>
      </c>
      <c r="K14" s="12">
        <f t="shared" si="9"/>
        <v>249674.83712273682</v>
      </c>
      <c r="L14" s="12">
        <f t="shared" si="5"/>
        <v>35369.215365000011</v>
      </c>
      <c r="M14" s="14">
        <f t="shared" si="10"/>
        <v>287134.840158796</v>
      </c>
      <c r="N14" s="21" t="str">
        <f t="shared" si="1"/>
        <v/>
      </c>
      <c r="O14" s="21">
        <f t="shared" si="11"/>
        <v>239061.36901500003</v>
      </c>
      <c r="P14" s="5"/>
      <c r="Q14" s="13">
        <f>'VUSTX-MCSummary'!K11</f>
        <v>3.0927835051546296E-2</v>
      </c>
      <c r="R14" s="12">
        <f t="shared" si="12"/>
        <v>302480.55701302958</v>
      </c>
      <c r="S14" s="12">
        <f t="shared" si="6"/>
        <v>35369.215365000011</v>
      </c>
      <c r="T14" s="14">
        <f t="shared" si="13"/>
        <v>348298.73441033973</v>
      </c>
      <c r="U14" s="21" t="str">
        <f t="shared" si="2"/>
        <v/>
      </c>
      <c r="V14" s="21">
        <f t="shared" si="14"/>
        <v>239061.36901500003</v>
      </c>
    </row>
    <row r="15" spans="1:24" ht="15" thickTop="1" thickBot="1" x14ac:dyDescent="0.6">
      <c r="A15" s="9">
        <f>'VUSTX-MCSummary'!D12</f>
        <v>2034</v>
      </c>
      <c r="C15" s="13">
        <f>'VUSTX-MCSummary'!I12</f>
        <v>-4.269662921348303E-2</v>
      </c>
      <c r="D15" s="12">
        <f t="shared" si="7"/>
        <v>221152.88894452763</v>
      </c>
      <c r="E15" s="12">
        <f t="shared" si="3"/>
        <v>38906.136901500016</v>
      </c>
      <c r="F15" s="14">
        <f t="shared" si="4"/>
        <v>248955.3820458602</v>
      </c>
      <c r="G15" s="21" t="str">
        <f t="shared" si="0"/>
        <v/>
      </c>
      <c r="H15" s="21">
        <f t="shared" si="8"/>
        <v>277967.50591650006</v>
      </c>
      <c r="I15" s="5"/>
      <c r="J15" s="13">
        <f>'VUSTX-MCSummary'!J12</f>
        <v>-1.4888337468982533E-2</v>
      </c>
      <c r="K15" s="12">
        <f t="shared" si="9"/>
        <v>287134.840158796</v>
      </c>
      <c r="L15" s="12">
        <f t="shared" si="5"/>
        <v>38906.136901500016</v>
      </c>
      <c r="M15" s="14">
        <f t="shared" si="10"/>
        <v>321186.76896510553</v>
      </c>
      <c r="N15" s="21" t="str">
        <f t="shared" si="1"/>
        <v/>
      </c>
      <c r="O15" s="21">
        <f t="shared" si="11"/>
        <v>277967.50591650006</v>
      </c>
      <c r="P15" s="5"/>
      <c r="Q15" s="13">
        <f>'VUSTX-MCSummary'!K12</f>
        <v>-5.5821371610845529E-3</v>
      </c>
      <c r="R15" s="12">
        <f t="shared" si="12"/>
        <v>348298.73441033973</v>
      </c>
      <c r="S15" s="12">
        <f t="shared" si="6"/>
        <v>38906.136901500016</v>
      </c>
      <c r="T15" s="14">
        <f t="shared" si="13"/>
        <v>385043.44061073696</v>
      </c>
      <c r="U15" s="21" t="str">
        <f t="shared" si="2"/>
        <v/>
      </c>
      <c r="V15" s="21">
        <f t="shared" si="14"/>
        <v>277967.50591650006</v>
      </c>
    </row>
    <row r="16" spans="1:24" ht="15" thickTop="1" thickBot="1" x14ac:dyDescent="0.6">
      <c r="A16" s="9">
        <f>'VUSTX-MCSummary'!D13</f>
        <v>2035</v>
      </c>
      <c r="C16" s="13">
        <f>'VUSTX-MCSummary'!I13</f>
        <v>-3.9719626168224283E-2</v>
      </c>
      <c r="D16" s="12">
        <f t="shared" si="7"/>
        <v>248955.3820458602</v>
      </c>
      <c r="E16" s="12">
        <f t="shared" si="3"/>
        <v>42796.750591650023</v>
      </c>
      <c r="F16" s="14">
        <f t="shared" si="4"/>
        <v>280163.8469953661</v>
      </c>
      <c r="G16" s="21" t="str">
        <f t="shared" si="0"/>
        <v/>
      </c>
      <c r="H16" s="21">
        <f t="shared" si="8"/>
        <v>320764.25650815008</v>
      </c>
      <c r="I16" s="5"/>
      <c r="J16" s="13">
        <f>'VUSTX-MCSummary'!J13</f>
        <v>0</v>
      </c>
      <c r="K16" s="12">
        <f t="shared" si="9"/>
        <v>321186.76896510553</v>
      </c>
      <c r="L16" s="12">
        <f t="shared" si="5"/>
        <v>42796.750591650023</v>
      </c>
      <c r="M16" s="14">
        <f t="shared" si="10"/>
        <v>363983.51955675555</v>
      </c>
      <c r="N16" s="21" t="str">
        <f t="shared" si="1"/>
        <v/>
      </c>
      <c r="O16" s="21">
        <f t="shared" si="11"/>
        <v>320764.25650815008</v>
      </c>
      <c r="P16" s="5"/>
      <c r="Q16" s="13">
        <f>'VUSTX-MCSummary'!K13</f>
        <v>2.4124513618677082E-2</v>
      </c>
      <c r="R16" s="12">
        <f t="shared" si="12"/>
        <v>385043.44061073696</v>
      </c>
      <c r="S16" s="12">
        <f t="shared" si="6"/>
        <v>42796.750591650023</v>
      </c>
      <c r="T16" s="14">
        <f t="shared" si="13"/>
        <v>438161.62772166642</v>
      </c>
      <c r="U16" s="21" t="str">
        <f t="shared" si="2"/>
        <v/>
      </c>
      <c r="V16" s="21">
        <f t="shared" si="14"/>
        <v>320764.25650815008</v>
      </c>
    </row>
    <row r="17" spans="1:22" ht="15" thickTop="1" thickBot="1" x14ac:dyDescent="0.6">
      <c r="A17" s="9">
        <f>'VUSTX-MCSummary'!D14</f>
        <v>2036</v>
      </c>
      <c r="C17" s="13">
        <f>'VUSTX-MCSummary'!I14</f>
        <v>-2.1479713603818579E-2</v>
      </c>
      <c r="D17" s="12">
        <f t="shared" si="7"/>
        <v>280163.8469953661</v>
      </c>
      <c r="E17" s="12">
        <f t="shared" si="3"/>
        <v>47076.425650815028</v>
      </c>
      <c r="F17" s="14">
        <f t="shared" si="4"/>
        <v>320211.24531010562</v>
      </c>
      <c r="G17" s="21" t="str">
        <f t="shared" si="0"/>
        <v/>
      </c>
      <c r="H17" s="21">
        <f t="shared" si="8"/>
        <v>367840.68215896509</v>
      </c>
      <c r="I17" s="5"/>
      <c r="J17" s="13">
        <f>'VUSTX-MCSummary'!J14</f>
        <v>0</v>
      </c>
      <c r="K17" s="12">
        <f t="shared" si="9"/>
        <v>363983.51955675555</v>
      </c>
      <c r="L17" s="12">
        <f t="shared" si="5"/>
        <v>47076.425650815028</v>
      </c>
      <c r="M17" s="14">
        <f t="shared" si="10"/>
        <v>411059.94520757056</v>
      </c>
      <c r="N17" s="21" t="str">
        <f t="shared" si="1"/>
        <v/>
      </c>
      <c r="O17" s="21">
        <f t="shared" si="11"/>
        <v>367840.68215896509</v>
      </c>
      <c r="P17" s="5"/>
      <c r="Q17" s="13">
        <f>'VUSTX-MCSummary'!K14</f>
        <v>1.1538461538461565E-2</v>
      </c>
      <c r="R17" s="12">
        <f t="shared" si="12"/>
        <v>438161.62772166642</v>
      </c>
      <c r="S17" s="12">
        <f t="shared" si="6"/>
        <v>47076.425650815028</v>
      </c>
      <c r="T17" s="14">
        <f t="shared" si="13"/>
        <v>490836.95398831775</v>
      </c>
      <c r="U17" s="21" t="str">
        <f t="shared" si="2"/>
        <v/>
      </c>
      <c r="V17" s="21">
        <f t="shared" si="14"/>
        <v>367840.68215896509</v>
      </c>
    </row>
    <row r="18" spans="1:22" ht="15" thickTop="1" thickBot="1" x14ac:dyDescent="0.6">
      <c r="A18" s="9">
        <f>'VUSTX-MCSummary'!D15</f>
        <v>2037</v>
      </c>
      <c r="C18" s="13">
        <f>'VUSTX-MCSummary'!I15</f>
        <v>-4.7500000000000098E-2</v>
      </c>
      <c r="D18" s="12">
        <f t="shared" si="7"/>
        <v>320211.24531010562</v>
      </c>
      <c r="E18" s="12">
        <f t="shared" si="3"/>
        <v>51784.068215896536</v>
      </c>
      <c r="F18" s="14">
        <f t="shared" si="4"/>
        <v>354325.53613351705</v>
      </c>
      <c r="G18" s="21" t="str">
        <f t="shared" si="0"/>
        <v/>
      </c>
      <c r="H18" s="21">
        <f t="shared" si="8"/>
        <v>419624.75037486164</v>
      </c>
      <c r="I18" s="5"/>
      <c r="J18" s="13">
        <f>'VUSTX-MCSummary'!J15</f>
        <v>1.2391573729863428E-3</v>
      </c>
      <c r="K18" s="12">
        <f t="shared" si="9"/>
        <v>411059.94520757056</v>
      </c>
      <c r="L18" s="12">
        <f t="shared" si="5"/>
        <v>51784.068215896536</v>
      </c>
      <c r="M18" s="14">
        <f t="shared" si="10"/>
        <v>463417.54999524343</v>
      </c>
      <c r="N18" s="21" t="str">
        <f t="shared" si="1"/>
        <v/>
      </c>
      <c r="O18" s="21">
        <f t="shared" si="11"/>
        <v>419624.75037486164</v>
      </c>
      <c r="P18" s="5"/>
      <c r="Q18" s="13">
        <f>'VUSTX-MCSummary'!K15</f>
        <v>2.7673896783844371E-2</v>
      </c>
      <c r="R18" s="12">
        <f t="shared" si="12"/>
        <v>490836.95398831775</v>
      </c>
      <c r="S18" s="12">
        <f t="shared" si="6"/>
        <v>51784.068215896536</v>
      </c>
      <c r="T18" s="14">
        <f t="shared" si="13"/>
        <v>557637.46036543779</v>
      </c>
      <c r="U18" s="21" t="str">
        <f t="shared" si="2"/>
        <v/>
      </c>
      <c r="V18" s="21">
        <f t="shared" si="14"/>
        <v>419624.75037486164</v>
      </c>
    </row>
    <row r="19" spans="1:22" ht="15" thickTop="1" thickBot="1" x14ac:dyDescent="0.6">
      <c r="A19" s="9">
        <f>'VUSTX-MCSummary'!D16</f>
        <v>2038</v>
      </c>
      <c r="C19" s="13">
        <f>'VUSTX-MCSummary'!I16</f>
        <v>-3.6269430051813503E-2</v>
      </c>
      <c r="D19" s="12">
        <f t="shared" si="7"/>
        <v>354325.53613351705</v>
      </c>
      <c r="E19" s="12">
        <f t="shared" si="3"/>
        <v>56962.475037486191</v>
      </c>
      <c r="F19" s="14">
        <f t="shared" si="4"/>
        <v>396370.82941868703</v>
      </c>
      <c r="G19" s="21" t="str">
        <f t="shared" si="0"/>
        <v/>
      </c>
      <c r="H19" s="21">
        <f t="shared" si="8"/>
        <v>476587.22541234782</v>
      </c>
      <c r="I19" s="5"/>
      <c r="J19" s="13">
        <f>'VUSTX-MCSummary'!J16</f>
        <v>-1.1278195488721787E-2</v>
      </c>
      <c r="K19" s="12">
        <f t="shared" si="9"/>
        <v>463417.54999524343</v>
      </c>
      <c r="L19" s="12">
        <f t="shared" si="5"/>
        <v>56962.475037486191</v>
      </c>
      <c r="M19" s="14">
        <f t="shared" si="10"/>
        <v>514511.07738198456</v>
      </c>
      <c r="N19" s="21" t="str">
        <f t="shared" si="1"/>
        <v/>
      </c>
      <c r="O19" s="21">
        <f t="shared" si="11"/>
        <v>476587.22541234782</v>
      </c>
      <c r="P19" s="5"/>
      <c r="Q19" s="13">
        <f>'VUSTX-MCSummary'!K16</f>
        <v>-6.7771084337349295E-3</v>
      </c>
      <c r="R19" s="12">
        <f t="shared" si="12"/>
        <v>557637.46036543779</v>
      </c>
      <c r="S19" s="12">
        <f t="shared" si="6"/>
        <v>56962.475037486191</v>
      </c>
      <c r="T19" s="14">
        <f t="shared" si="13"/>
        <v>610434.72499733185</v>
      </c>
      <c r="U19" s="21" t="str">
        <f t="shared" si="2"/>
        <v/>
      </c>
      <c r="V19" s="21">
        <f t="shared" si="14"/>
        <v>476587.22541234782</v>
      </c>
    </row>
    <row r="20" spans="1:22" ht="15" thickTop="1" thickBot="1" x14ac:dyDescent="0.6">
      <c r="A20" s="9">
        <f>'VUSTX-MCSummary'!D17</f>
        <v>2039</v>
      </c>
      <c r="C20" s="13">
        <f>'VUSTX-MCSummary'!I17</f>
        <v>-2.3872679045092802E-2</v>
      </c>
      <c r="D20" s="12">
        <f t="shared" si="7"/>
        <v>396370.82941868703</v>
      </c>
      <c r="E20" s="12">
        <f t="shared" si="3"/>
        <v>62658.722541234813</v>
      </c>
      <c r="F20" s="14">
        <f t="shared" si="4"/>
        <v>448071.28679376986</v>
      </c>
      <c r="G20" s="21" t="str">
        <f t="shared" si="0"/>
        <v/>
      </c>
      <c r="H20" s="21">
        <f t="shared" si="8"/>
        <v>539245.94795358262</v>
      </c>
      <c r="I20" s="5"/>
      <c r="J20" s="13">
        <f>'VUSTX-MCSummary'!J17</f>
        <v>-2.5125628140704099E-3</v>
      </c>
      <c r="K20" s="12">
        <f t="shared" si="9"/>
        <v>514511.07738198456</v>
      </c>
      <c r="L20" s="12">
        <f t="shared" si="5"/>
        <v>62658.722541234813</v>
      </c>
      <c r="M20" s="14">
        <f t="shared" si="10"/>
        <v>575719.62454652786</v>
      </c>
      <c r="N20" s="21" t="str">
        <f t="shared" si="1"/>
        <v/>
      </c>
      <c r="O20" s="21">
        <f t="shared" si="11"/>
        <v>539245.94795358262</v>
      </c>
      <c r="P20" s="5"/>
      <c r="Q20" s="13">
        <f>'VUSTX-MCSummary'!K17</f>
        <v>1.0432190760059655E-2</v>
      </c>
      <c r="R20" s="12">
        <f t="shared" si="12"/>
        <v>610434.72499733185</v>
      </c>
      <c r="S20" s="12">
        <f t="shared" si="6"/>
        <v>62658.722541234813</v>
      </c>
      <c r="T20" s="14">
        <f t="shared" si="13"/>
        <v>680115.28678263526</v>
      </c>
      <c r="U20" s="21" t="str">
        <f t="shared" si="2"/>
        <v/>
      </c>
      <c r="V20" s="21">
        <f t="shared" si="14"/>
        <v>539245.94795358262</v>
      </c>
    </row>
    <row r="21" spans="1:22" ht="15" thickTop="1" thickBot="1" x14ac:dyDescent="0.6">
      <c r="A21" s="9">
        <f>'VUSTX-MCSummary'!D18</f>
        <v>2040</v>
      </c>
      <c r="C21" s="13">
        <f>'VUSTX-MCSummary'!I18</f>
        <v>-3.2876712328767155E-2</v>
      </c>
      <c r="D21" s="12">
        <f t="shared" si="7"/>
        <v>448071.28679376986</v>
      </c>
      <c r="E21" s="12">
        <f t="shared" si="3"/>
        <v>68924.594795358295</v>
      </c>
      <c r="F21" s="14">
        <f t="shared" si="4"/>
        <v>499998.75671496498</v>
      </c>
      <c r="G21" s="21" t="str">
        <f t="shared" si="0"/>
        <v/>
      </c>
      <c r="H21" s="21">
        <f t="shared" si="8"/>
        <v>608170.54274894088</v>
      </c>
      <c r="I21" s="5"/>
      <c r="J21" s="13">
        <f>'VUSTX-MCSummary'!J18</f>
        <v>-1.2578616352200991E-3</v>
      </c>
      <c r="K21" s="12">
        <f t="shared" si="9"/>
        <v>575719.62454652786</v>
      </c>
      <c r="L21" s="12">
        <f t="shared" si="5"/>
        <v>68924.594795358295</v>
      </c>
      <c r="M21" s="14">
        <f t="shared" si="10"/>
        <v>643833.34611000947</v>
      </c>
      <c r="N21" s="21" t="str">
        <f t="shared" si="1"/>
        <v/>
      </c>
      <c r="O21" s="21">
        <f t="shared" si="11"/>
        <v>608170.54274894088</v>
      </c>
      <c r="P21" s="5"/>
      <c r="Q21" s="13">
        <f>'VUSTX-MCSummary'!K18</f>
        <v>1.9005847953216359E-2</v>
      </c>
      <c r="R21" s="12">
        <f t="shared" si="12"/>
        <v>680115.28678263526</v>
      </c>
      <c r="S21" s="12">
        <f t="shared" si="6"/>
        <v>68924.594795358295</v>
      </c>
      <c r="T21" s="14">
        <f t="shared" si="13"/>
        <v>763276.01967816008</v>
      </c>
      <c r="U21" s="21" t="str">
        <f t="shared" si="2"/>
        <v/>
      </c>
      <c r="V21" s="21">
        <f t="shared" si="14"/>
        <v>608170.54274894088</v>
      </c>
    </row>
    <row r="22" spans="1:22" ht="15" thickTop="1" thickBot="1" x14ac:dyDescent="0.6">
      <c r="A22" s="9">
        <f>'VUSTX-MCSummary'!D19</f>
        <v>2041</v>
      </c>
      <c r="C22" s="13">
        <f>'VUSTX-MCSummary'!I19</f>
        <v>-1.6713091922005586E-2</v>
      </c>
      <c r="D22" s="12">
        <f t="shared" si="7"/>
        <v>499998.75671496498</v>
      </c>
      <c r="E22" s="12">
        <f t="shared" si="3"/>
        <v>75817.054274894137</v>
      </c>
      <c r="F22" s="14">
        <f t="shared" si="4"/>
        <v>566192.14841064147</v>
      </c>
      <c r="G22" s="21" t="str">
        <f t="shared" si="0"/>
        <v/>
      </c>
      <c r="H22" s="21">
        <f t="shared" si="8"/>
        <v>683987.59702383506</v>
      </c>
      <c r="I22" s="5"/>
      <c r="J22" s="13">
        <f>'VUSTX-MCSummary'!J19</f>
        <v>1.256281407035149E-3</v>
      </c>
      <c r="K22" s="12">
        <f t="shared" si="9"/>
        <v>643833.34611000947</v>
      </c>
      <c r="L22" s="12">
        <f t="shared" si="5"/>
        <v>75817.054274894137</v>
      </c>
      <c r="M22" s="14">
        <f t="shared" si="10"/>
        <v>720554.48380247259</v>
      </c>
      <c r="N22" s="21" t="str">
        <f t="shared" si="1"/>
        <v/>
      </c>
      <c r="O22" s="21">
        <f t="shared" si="11"/>
        <v>683987.59702383506</v>
      </c>
      <c r="P22" s="5"/>
      <c r="Q22" s="13">
        <f>'VUSTX-MCSummary'!K19</f>
        <v>6.5359477124182904E-3</v>
      </c>
      <c r="R22" s="12">
        <f t="shared" si="12"/>
        <v>763276.01967816008</v>
      </c>
      <c r="S22" s="12">
        <f t="shared" si="6"/>
        <v>75817.054274894137</v>
      </c>
      <c r="T22" s="14">
        <f t="shared" si="13"/>
        <v>844577.34241026372</v>
      </c>
      <c r="U22" s="21" t="str">
        <f t="shared" si="2"/>
        <v/>
      </c>
      <c r="V22" s="21">
        <f t="shared" si="14"/>
        <v>683987.59702383506</v>
      </c>
    </row>
    <row r="23" spans="1:22" ht="15" thickTop="1" thickBot="1" x14ac:dyDescent="0.6">
      <c r="A23" s="9">
        <f>'VUSTX-MCSummary'!D20</f>
        <v>2042</v>
      </c>
      <c r="C23" s="13">
        <f>'VUSTX-MCSummary'!I20</f>
        <v>-3.4582132564841397E-2</v>
      </c>
      <c r="D23" s="12">
        <f t="shared" si="7"/>
        <v>566192.14841064147</v>
      </c>
      <c r="E23" s="12">
        <f t="shared" si="3"/>
        <v>83398.759702383555</v>
      </c>
      <c r="F23" s="14">
        <f t="shared" si="4"/>
        <v>627126.66921574459</v>
      </c>
      <c r="G23" s="21" t="str">
        <f t="shared" si="0"/>
        <v/>
      </c>
      <c r="H23" s="21">
        <f t="shared" si="8"/>
        <v>767386.3567262186</v>
      </c>
      <c r="I23" s="5"/>
      <c r="J23" s="13">
        <f>'VUSTX-MCSummary'!J20</f>
        <v>-1.2578616352200991E-3</v>
      </c>
      <c r="K23" s="12">
        <f t="shared" si="9"/>
        <v>720554.48380247259</v>
      </c>
      <c r="L23" s="12">
        <f t="shared" si="5"/>
        <v>83398.759702383555</v>
      </c>
      <c r="M23" s="14">
        <f t="shared" si="10"/>
        <v>802941.98156334064</v>
      </c>
      <c r="N23" s="21" t="str">
        <f t="shared" si="1"/>
        <v/>
      </c>
      <c r="O23" s="21">
        <f t="shared" si="11"/>
        <v>767386.3567262186</v>
      </c>
      <c r="P23" s="5"/>
      <c r="Q23" s="13">
        <f>'VUSTX-MCSummary'!K20</f>
        <v>1.6428571428571459E-2</v>
      </c>
      <c r="R23" s="12">
        <f t="shared" si="12"/>
        <v>844577.34241026372</v>
      </c>
      <c r="S23" s="12">
        <f t="shared" si="6"/>
        <v>83398.759702383555</v>
      </c>
      <c r="T23" s="14">
        <f t="shared" si="13"/>
        <v>943221.42379021225</v>
      </c>
      <c r="U23" s="21" t="str">
        <f t="shared" si="2"/>
        <v/>
      </c>
      <c r="V23" s="21">
        <f t="shared" si="14"/>
        <v>767386.3567262186</v>
      </c>
    </row>
    <row r="24" spans="1:22" ht="15" thickTop="1" thickBot="1" x14ac:dyDescent="0.6">
      <c r="A24" s="9">
        <f>'VUSTX-MCSummary'!D21</f>
        <v>2043</v>
      </c>
      <c r="C24" s="13">
        <f>'VUSTX-MCSummary'!I21</f>
        <v>-3.892215568862286E-2</v>
      </c>
      <c r="D24" s="12">
        <f t="shared" si="7"/>
        <v>627126.66921574459</v>
      </c>
      <c r="E24" s="12">
        <f t="shared" si="3"/>
        <v>91738.635672621924</v>
      </c>
      <c r="F24" s="14">
        <f t="shared" si="4"/>
        <v>690885.51757235208</v>
      </c>
      <c r="G24" s="21" t="str">
        <f t="shared" si="0"/>
        <v/>
      </c>
      <c r="H24" s="21">
        <f t="shared" si="8"/>
        <v>859124.99239884049</v>
      </c>
      <c r="I24" s="5"/>
      <c r="J24" s="13">
        <f>'VUSTX-MCSummary'!J21</f>
        <v>-1.5325670498084304E-2</v>
      </c>
      <c r="K24" s="12">
        <f t="shared" si="9"/>
        <v>802941.98156334064</v>
      </c>
      <c r="L24" s="12">
        <f t="shared" si="5"/>
        <v>91738.635672621924</v>
      </c>
      <c r="M24" s="14">
        <f t="shared" si="10"/>
        <v>880969.03689518152</v>
      </c>
      <c r="N24" s="21" t="str">
        <f t="shared" si="1"/>
        <v/>
      </c>
      <c r="O24" s="21">
        <f t="shared" si="11"/>
        <v>859124.99239884049</v>
      </c>
      <c r="P24" s="5"/>
      <c r="Q24" s="13">
        <f>'VUSTX-MCSummary'!K21</f>
        <v>-1.0101010101010142E-2</v>
      </c>
      <c r="R24" s="12">
        <f t="shared" si="12"/>
        <v>943221.42379021225</v>
      </c>
      <c r="S24" s="12">
        <f t="shared" si="6"/>
        <v>91738.635672621924</v>
      </c>
      <c r="T24" s="14">
        <f t="shared" si="13"/>
        <v>1024505.917448058</v>
      </c>
      <c r="U24" s="21" t="str">
        <f t="shared" si="2"/>
        <v/>
      </c>
      <c r="V24" s="21">
        <f t="shared" si="14"/>
        <v>859124.99239884049</v>
      </c>
    </row>
    <row r="25" spans="1:22" ht="15" thickTop="1" thickBot="1" x14ac:dyDescent="0.6">
      <c r="A25" s="9">
        <f>'VUSTX-MCSummary'!D22</f>
        <v>2044</v>
      </c>
      <c r="C25" s="13">
        <f>'VUSTX-MCSummary'!I22</f>
        <v>-3.405572755417953E-2</v>
      </c>
      <c r="D25" s="12">
        <f t="shared" si="7"/>
        <v>690885.51757235208</v>
      </c>
      <c r="E25" s="12">
        <f t="shared" si="3"/>
        <v>100912.49923988413</v>
      </c>
      <c r="F25" s="14">
        <f t="shared" si="4"/>
        <v>764832.75927373895</v>
      </c>
      <c r="G25" s="21" t="str">
        <f t="shared" si="0"/>
        <v/>
      </c>
      <c r="H25" s="21">
        <f t="shared" si="8"/>
        <v>960037.49163872458</v>
      </c>
      <c r="I25" s="5"/>
      <c r="J25" s="13">
        <f>'VUSTX-MCSummary'!J22</f>
        <v>1.2755102040816054E-3</v>
      </c>
      <c r="K25" s="12">
        <f t="shared" si="9"/>
        <v>880969.03689518152</v>
      </c>
      <c r="L25" s="12">
        <f t="shared" si="5"/>
        <v>100912.49923988413</v>
      </c>
      <c r="M25" s="14">
        <f t="shared" si="10"/>
        <v>983133.93605360517</v>
      </c>
      <c r="N25" s="21" t="str">
        <f t="shared" si="1"/>
        <v/>
      </c>
      <c r="O25" s="21">
        <f t="shared" si="11"/>
        <v>960037.49163872458</v>
      </c>
      <c r="P25" s="5"/>
      <c r="Q25" s="13">
        <f>'VUSTX-MCSummary'!K22</f>
        <v>1.0706638115631717E-2</v>
      </c>
      <c r="R25" s="12">
        <f t="shared" si="12"/>
        <v>1024505.917448058</v>
      </c>
      <c r="S25" s="12">
        <f t="shared" si="6"/>
        <v>100912.49923988413</v>
      </c>
      <c r="T25" s="14">
        <f t="shared" si="13"/>
        <v>1137467.8644040872</v>
      </c>
      <c r="U25" s="21" t="str">
        <f t="shared" si="2"/>
        <v/>
      </c>
      <c r="V25" s="21">
        <f t="shared" si="14"/>
        <v>960037.49163872458</v>
      </c>
    </row>
    <row r="26" spans="1:22" ht="15" thickTop="1" thickBot="1" x14ac:dyDescent="0.6">
      <c r="A26" s="9">
        <f>'VUSTX-MCSummary'!D23</f>
        <v>2045</v>
      </c>
      <c r="C26" s="13">
        <f>'VUSTX-MCSummary'!I23</f>
        <v>-3.5256410256410214E-2</v>
      </c>
      <c r="D26" s="12">
        <f t="shared" si="7"/>
        <v>764832.75927373895</v>
      </c>
      <c r="E26" s="12">
        <f t="shared" si="3"/>
        <v>111003.74916387255</v>
      </c>
      <c r="F26" s="14">
        <f t="shared" si="4"/>
        <v>844957.65717859322</v>
      </c>
      <c r="G26" s="21" t="str">
        <f t="shared" si="0"/>
        <v/>
      </c>
      <c r="H26" s="21">
        <f t="shared" si="8"/>
        <v>1071041.240802597</v>
      </c>
      <c r="I26" s="5"/>
      <c r="J26" s="13">
        <f>'VUSTX-MCSummary'!J23</f>
        <v>-1.1612903225806433E-2</v>
      </c>
      <c r="K26" s="12">
        <f t="shared" si="9"/>
        <v>983133.93605360517</v>
      </c>
      <c r="L26" s="12">
        <f t="shared" si="5"/>
        <v>111003.74916387255</v>
      </c>
      <c r="M26" s="14">
        <f t="shared" si="10"/>
        <v>1081431.5701633391</v>
      </c>
      <c r="N26" s="21" t="str">
        <f t="shared" si="1"/>
        <v/>
      </c>
      <c r="O26" s="21">
        <f t="shared" si="11"/>
        <v>1071041.240802597</v>
      </c>
      <c r="P26" s="5"/>
      <c r="Q26" s="13">
        <f>'VUSTX-MCSummary'!K23</f>
        <v>7.0871722182848798E-3</v>
      </c>
      <c r="R26" s="12">
        <f t="shared" si="12"/>
        <v>1137467.8644040872</v>
      </c>
      <c r="S26" s="12">
        <f t="shared" si="6"/>
        <v>111003.74916387255</v>
      </c>
      <c r="T26" s="14">
        <f t="shared" si="13"/>
        <v>1257319.7469029557</v>
      </c>
      <c r="U26" s="21" t="str">
        <f t="shared" si="2"/>
        <v/>
      </c>
      <c r="V26" s="21">
        <f t="shared" si="14"/>
        <v>1071041.240802597</v>
      </c>
    </row>
    <row r="27" spans="1:22" ht="15" thickTop="1" thickBot="1" x14ac:dyDescent="0.6">
      <c r="A27" s="9">
        <f>'VUSTX-MCSummary'!D24</f>
        <v>2046</v>
      </c>
      <c r="C27" s="13">
        <f>'VUSTX-MCSummary'!I24</f>
        <v>-2.9702970297029806E-2</v>
      </c>
      <c r="D27" s="12">
        <f t="shared" si="7"/>
        <v>844957.65717859322</v>
      </c>
      <c r="E27" s="12">
        <f t="shared" si="3"/>
        <v>122104.12408025982</v>
      </c>
      <c r="F27" s="14">
        <f t="shared" si="4"/>
        <v>938337.17389472853</v>
      </c>
      <c r="G27" s="21" t="str">
        <f t="shared" si="0"/>
        <v/>
      </c>
      <c r="H27" s="21">
        <f t="shared" si="8"/>
        <v>1193145.3648828568</v>
      </c>
      <c r="I27" s="5"/>
      <c r="J27" s="13">
        <f>'VUSTX-MCSummary'!J24</f>
        <v>0</v>
      </c>
      <c r="K27" s="12">
        <f t="shared" si="9"/>
        <v>1081431.5701633391</v>
      </c>
      <c r="L27" s="12">
        <f t="shared" si="5"/>
        <v>122104.12408025982</v>
      </c>
      <c r="M27" s="14">
        <f t="shared" si="10"/>
        <v>1203535.694243599</v>
      </c>
      <c r="N27" s="21" t="str">
        <f t="shared" si="1"/>
        <v/>
      </c>
      <c r="O27" s="21">
        <f t="shared" si="11"/>
        <v>1193145.3648828568</v>
      </c>
      <c r="P27" s="5"/>
      <c r="Q27" s="13">
        <f>'VUSTX-MCSummary'!K24</f>
        <v>5.6377730796335502E-3</v>
      </c>
      <c r="R27" s="12">
        <f t="shared" si="12"/>
        <v>1257319.7469029557</v>
      </c>
      <c r="S27" s="12">
        <f t="shared" si="6"/>
        <v>122104.12408025982</v>
      </c>
      <c r="T27" s="14">
        <f t="shared" si="13"/>
        <v>1387200.7497484486</v>
      </c>
      <c r="U27" s="21" t="str">
        <f t="shared" si="2"/>
        <v/>
      </c>
      <c r="V27" s="21">
        <f t="shared" si="14"/>
        <v>1193145.3648828568</v>
      </c>
    </row>
    <row r="28" spans="1:22" ht="15" thickTop="1" thickBot="1" x14ac:dyDescent="0.6">
      <c r="A28" s="9">
        <f>'VUSTX-MCSummary'!D25</f>
        <v>2047</v>
      </c>
      <c r="C28" s="13">
        <f>'VUSTX-MCSummary'!I25</f>
        <v>-1.3377926421404545E-2</v>
      </c>
      <c r="D28" s="12">
        <f t="shared" si="7"/>
        <v>938337.17389472853</v>
      </c>
      <c r="E28" s="12">
        <f t="shared" si="3"/>
        <v>134314.53648828581</v>
      </c>
      <c r="F28" s="14">
        <f t="shared" si="4"/>
        <v>1058301.8547257166</v>
      </c>
      <c r="G28" s="21" t="str">
        <f t="shared" si="0"/>
        <v/>
      </c>
      <c r="H28" s="21">
        <f t="shared" si="8"/>
        <v>1327459.9013711426</v>
      </c>
      <c r="I28" s="5"/>
      <c r="J28" s="13">
        <f>'VUSTX-MCSummary'!J25</f>
        <v>2.5740025740025193E-3</v>
      </c>
      <c r="K28" s="12">
        <f t="shared" si="9"/>
        <v>1203535.694243599</v>
      </c>
      <c r="L28" s="12">
        <f t="shared" si="5"/>
        <v>134314.53648828581</v>
      </c>
      <c r="M28" s="14">
        <f t="shared" si="10"/>
        <v>1341293.8606694182</v>
      </c>
      <c r="N28" s="21" t="str">
        <f t="shared" si="1"/>
        <v/>
      </c>
      <c r="O28" s="21">
        <f t="shared" si="11"/>
        <v>1327459.9013711426</v>
      </c>
      <c r="P28" s="5"/>
      <c r="Q28" s="13">
        <f>'VUSTX-MCSummary'!K25</f>
        <v>1.6632016632016647E-2</v>
      </c>
      <c r="R28" s="12">
        <f t="shared" si="12"/>
        <v>1387200.7497484486</v>
      </c>
      <c r="S28" s="12">
        <f t="shared" si="6"/>
        <v>134314.53648828581</v>
      </c>
      <c r="T28" s="14">
        <f t="shared" si="13"/>
        <v>1546821.1537832913</v>
      </c>
      <c r="U28" s="21" t="str">
        <f t="shared" si="2"/>
        <v/>
      </c>
      <c r="V28" s="21">
        <f t="shared" si="14"/>
        <v>1327459.9013711426</v>
      </c>
    </row>
    <row r="29" spans="1:22" ht="15" thickTop="1" thickBot="1" x14ac:dyDescent="0.6">
      <c r="A29" s="9">
        <f>'VUSTX-MCSummary'!D26</f>
        <v>2048</v>
      </c>
      <c r="C29" s="13">
        <f>'VUSTX-MCSummary'!I26</f>
        <v>-2.3972602739726127E-2</v>
      </c>
      <c r="D29" s="12">
        <f t="shared" si="7"/>
        <v>1058301.8547257166</v>
      </c>
      <c r="E29" s="12">
        <f t="shared" si="3"/>
        <v>147745.99013711439</v>
      </c>
      <c r="F29" s="14">
        <f t="shared" si="4"/>
        <v>1177135.7389928317</v>
      </c>
      <c r="G29" s="21" t="str">
        <f t="shared" si="0"/>
        <v/>
      </c>
      <c r="H29" s="21">
        <f t="shared" si="8"/>
        <v>1475205.891508257</v>
      </c>
      <c r="I29" s="5"/>
      <c r="J29" s="13">
        <f>'VUSTX-MCSummary'!J26</f>
        <v>-1.2886597938144056E-3</v>
      </c>
      <c r="K29" s="12">
        <f t="shared" si="9"/>
        <v>1341293.8606694182</v>
      </c>
      <c r="L29" s="12">
        <f t="shared" si="5"/>
        <v>147745.99013711439</v>
      </c>
      <c r="M29" s="14">
        <f t="shared" si="10"/>
        <v>1487120.985019411</v>
      </c>
      <c r="N29" s="21" t="str">
        <f t="shared" si="1"/>
        <v/>
      </c>
      <c r="O29" s="21">
        <f t="shared" si="11"/>
        <v>1475205.891508257</v>
      </c>
      <c r="P29" s="5"/>
      <c r="Q29" s="13">
        <f>'VUSTX-MCSummary'!K26</f>
        <v>6.882312456985523E-3</v>
      </c>
      <c r="R29" s="12">
        <f t="shared" si="12"/>
        <v>1546821.1537832913</v>
      </c>
      <c r="S29" s="12">
        <f t="shared" si="6"/>
        <v>147745.99013711439</v>
      </c>
      <c r="T29" s="14">
        <f t="shared" si="13"/>
        <v>1706229.6844842075</v>
      </c>
      <c r="U29" s="21" t="str">
        <f t="shared" si="2"/>
        <v/>
      </c>
      <c r="V29" s="21">
        <f t="shared" si="14"/>
        <v>1475205.891508257</v>
      </c>
    </row>
    <row r="30" spans="1:22" ht="15" thickTop="1" thickBot="1" x14ac:dyDescent="0.6">
      <c r="A30" s="9">
        <f>'VUSTX-MCSummary'!D27</f>
        <v>2049</v>
      </c>
      <c r="C30" s="13">
        <f>'VUSTX-MCSummary'!I27</f>
        <v>-4.2857142857142899E-2</v>
      </c>
      <c r="D30" s="12">
        <f t="shared" si="7"/>
        <v>1177135.7389928317</v>
      </c>
      <c r="E30" s="12">
        <f t="shared" si="3"/>
        <v>162520.58915082584</v>
      </c>
      <c r="F30" s="14">
        <f t="shared" si="4"/>
        <v>1282242.4855089292</v>
      </c>
      <c r="G30" s="21" t="str">
        <f t="shared" si="0"/>
        <v/>
      </c>
      <c r="H30" s="21">
        <f t="shared" si="8"/>
        <v>1637726.4806590828</v>
      </c>
      <c r="I30" s="5"/>
      <c r="J30" s="13">
        <f>'VUSTX-MCSummary'!J27</f>
        <v>-5.1813471502590719E-3</v>
      </c>
      <c r="K30" s="12">
        <f t="shared" si="9"/>
        <v>1487120.985019411</v>
      </c>
      <c r="L30" s="12">
        <f t="shared" si="5"/>
        <v>162520.58915082584</v>
      </c>
      <c r="M30" s="14">
        <f t="shared" si="10"/>
        <v>1641094.2085009608</v>
      </c>
      <c r="N30" s="21" t="str">
        <f t="shared" si="1"/>
        <v/>
      </c>
      <c r="O30" s="21">
        <f t="shared" si="11"/>
        <v>1637726.4806590828</v>
      </c>
      <c r="P30" s="5"/>
      <c r="Q30" s="13">
        <f>'VUSTX-MCSummary'!K27</f>
        <v>4.7945205479452248E-3</v>
      </c>
      <c r="R30" s="12">
        <f t="shared" si="12"/>
        <v>1706229.6844842075</v>
      </c>
      <c r="S30" s="12">
        <f t="shared" si="6"/>
        <v>162520.58915082584</v>
      </c>
      <c r="T30" s="14">
        <f t="shared" si="13"/>
        <v>1877710.0352209546</v>
      </c>
      <c r="U30" s="21" t="str">
        <f t="shared" si="2"/>
        <v/>
      </c>
      <c r="V30" s="21">
        <f t="shared" si="14"/>
        <v>1637726.4806590828</v>
      </c>
    </row>
    <row r="31" spans="1:22" ht="15" thickTop="1" thickBot="1" x14ac:dyDescent="0.6">
      <c r="A31" s="9">
        <f>'VUSTX-MCSummary'!D28</f>
        <v>2050</v>
      </c>
      <c r="C31" s="13">
        <f>'VUSTX-MCSummary'!I28</f>
        <v>-1.8181818181818118E-2</v>
      </c>
      <c r="D31" s="12">
        <f t="shared" si="7"/>
        <v>1282242.4855089292</v>
      </c>
      <c r="E31" s="12">
        <f t="shared" si="3"/>
        <v>178772.64806590843</v>
      </c>
      <c r="F31" s="14">
        <f t="shared" si="4"/>
        <v>1434451.2220552952</v>
      </c>
      <c r="G31" s="21" t="str">
        <f t="shared" si="0"/>
        <v/>
      </c>
      <c r="H31" s="21">
        <f t="shared" si="8"/>
        <v>1816499.1287249911</v>
      </c>
      <c r="I31" s="5"/>
      <c r="J31" s="13">
        <f>'VUSTX-MCSummary'!J28</f>
        <v>-3.9011703511052484E-3</v>
      </c>
      <c r="K31" s="12">
        <f t="shared" si="9"/>
        <v>1641094.2085009608</v>
      </c>
      <c r="L31" s="12">
        <f t="shared" si="5"/>
        <v>178772.64806590843</v>
      </c>
      <c r="M31" s="14">
        <f t="shared" si="10"/>
        <v>1812767.2459430713</v>
      </c>
      <c r="N31" s="21" t="str">
        <f t="shared" si="1"/>
        <v/>
      </c>
      <c r="O31" s="21">
        <f t="shared" si="11"/>
        <v>1816499.1287249911</v>
      </c>
      <c r="P31" s="5"/>
      <c r="Q31" s="13">
        <f>'VUSTX-MCSummary'!K28</f>
        <v>9.4979647218453572E-3</v>
      </c>
      <c r="R31" s="12">
        <f t="shared" si="12"/>
        <v>1877710.0352209546</v>
      </c>
      <c r="S31" s="12">
        <f t="shared" si="6"/>
        <v>178772.64806590843</v>
      </c>
      <c r="T31" s="14">
        <f t="shared" si="13"/>
        <v>2076015.0832638075</v>
      </c>
      <c r="U31" s="21" t="str">
        <f t="shared" si="2"/>
        <v>Reached</v>
      </c>
      <c r="V31" s="21">
        <f t="shared" si="14"/>
        <v>1816499.1287249911</v>
      </c>
    </row>
    <row r="32" spans="1:22" ht="15" thickTop="1" thickBot="1" x14ac:dyDescent="0.6">
      <c r="A32" s="9">
        <f>'VUSTX-MCSummary'!D29</f>
        <v>2051</v>
      </c>
      <c r="C32" s="13">
        <f>'VUSTX-MCSummary'!I29</f>
        <v>-1.8518518518518452E-2</v>
      </c>
      <c r="D32" s="12">
        <f t="shared" si="7"/>
        <v>1434451.2220552952</v>
      </c>
      <c r="E32" s="12">
        <f t="shared" si="3"/>
        <v>196649.91287249929</v>
      </c>
      <c r="F32" s="14">
        <f t="shared" si="4"/>
        <v>1600895.5583550576</v>
      </c>
      <c r="G32" s="21" t="str">
        <f t="shared" si="0"/>
        <v/>
      </c>
      <c r="H32" s="21">
        <f t="shared" si="8"/>
        <v>2013149.0415974904</v>
      </c>
      <c r="I32" s="5"/>
      <c r="J32" s="13">
        <f>'VUSTX-MCSummary'!J29</f>
        <v>5.1746442432082833E-3</v>
      </c>
      <c r="K32" s="12">
        <f t="shared" si="9"/>
        <v>1812767.2459430713</v>
      </c>
      <c r="L32" s="12">
        <f t="shared" si="5"/>
        <v>196649.91287249929</v>
      </c>
      <c r="M32" s="14">
        <f t="shared" si="10"/>
        <v>2019815.1777486396</v>
      </c>
      <c r="N32" s="21" t="str">
        <f t="shared" si="1"/>
        <v>Reached</v>
      </c>
      <c r="O32" s="21">
        <f t="shared" si="11"/>
        <v>2013149.0415974904</v>
      </c>
      <c r="P32" s="5"/>
      <c r="Q32" s="13">
        <f>'VUSTX-MCSummary'!K29</f>
        <v>1.4046822742474855E-2</v>
      </c>
      <c r="R32" s="12">
        <f t="shared" si="12"/>
        <v>2076015.0832638075</v>
      </c>
      <c r="S32" s="12">
        <f t="shared" si="6"/>
        <v>196649.91287249929</v>
      </c>
      <c r="T32" s="14">
        <f t="shared" si="13"/>
        <v>2304588.7184900609</v>
      </c>
      <c r="U32" s="21" t="str">
        <f t="shared" si="2"/>
        <v>Reached</v>
      </c>
      <c r="V32" s="21">
        <f t="shared" si="14"/>
        <v>2013149.0415974904</v>
      </c>
    </row>
    <row r="33" spans="1:22" ht="15" thickTop="1" thickBot="1" x14ac:dyDescent="0.6">
      <c r="A33" s="9">
        <f>'VUSTX-MCSummary'!D30</f>
        <v>2052</v>
      </c>
      <c r="C33" s="13">
        <f>'VUSTX-MCSummary'!I30</f>
        <v>-4.6511627906976785E-2</v>
      </c>
      <c r="D33" s="12">
        <f t="shared" si="7"/>
        <v>1600895.5583550576</v>
      </c>
      <c r="E33" s="12">
        <f t="shared" si="3"/>
        <v>216314.90415974925</v>
      </c>
      <c r="F33" s="14">
        <f t="shared" si="4"/>
        <v>1732689.0456536529</v>
      </c>
      <c r="G33" s="21" t="str">
        <f t="shared" si="0"/>
        <v/>
      </c>
      <c r="H33" s="21">
        <f t="shared" si="8"/>
        <v>2229463.9457572396</v>
      </c>
      <c r="I33" s="5"/>
      <c r="J33" s="13">
        <f>'VUSTX-MCSummary'!J30</f>
        <v>-1.8445322793148956E-2</v>
      </c>
      <c r="K33" s="12">
        <f t="shared" si="9"/>
        <v>2019815.1777486396</v>
      </c>
      <c r="L33" s="12">
        <f t="shared" si="5"/>
        <v>216314.90415974925</v>
      </c>
      <c r="M33" s="14">
        <f t="shared" si="10"/>
        <v>2194883.9407401183</v>
      </c>
      <c r="N33" s="21" t="str">
        <f t="shared" si="1"/>
        <v>Reached</v>
      </c>
      <c r="O33" s="21">
        <f t="shared" si="11"/>
        <v>2229463.9457572396</v>
      </c>
      <c r="P33" s="5"/>
      <c r="Q33" s="13">
        <f>'VUSTX-MCSummary'!K30</f>
        <v>-1.2872628726287229E-2</v>
      </c>
      <c r="R33" s="12">
        <f t="shared" si="12"/>
        <v>2304588.7184900609</v>
      </c>
      <c r="S33" s="12">
        <f t="shared" si="6"/>
        <v>216314.90415974925</v>
      </c>
      <c r="T33" s="14">
        <f t="shared" si="13"/>
        <v>2488452.9662606865</v>
      </c>
      <c r="U33" s="21" t="str">
        <f t="shared" si="2"/>
        <v>Reached</v>
      </c>
      <c r="V33" s="21">
        <f t="shared" si="14"/>
        <v>2229463.9457572396</v>
      </c>
    </row>
    <row r="34" spans="1:22" ht="15" thickTop="1" thickBot="1" x14ac:dyDescent="0.6">
      <c r="A34" s="9">
        <f>'VUSTX-MCSummary'!D31</f>
        <v>2053</v>
      </c>
      <c r="C34" s="13">
        <f>'VUSTX-MCSummary'!I31</f>
        <v>-7.8125000000000069E-3</v>
      </c>
      <c r="D34" s="12">
        <f t="shared" si="7"/>
        <v>1732689.0456536529</v>
      </c>
      <c r="E34" s="12">
        <f t="shared" si="3"/>
        <v>237946.3945757242</v>
      </c>
      <c r="F34" s="14">
        <f t="shared" si="4"/>
        <v>1955239.8508525849</v>
      </c>
      <c r="G34" s="21" t="str">
        <f t="shared" si="0"/>
        <v/>
      </c>
      <c r="H34" s="21">
        <f t="shared" si="8"/>
        <v>2467410.340332964</v>
      </c>
      <c r="I34" s="5"/>
      <c r="J34" s="13">
        <f>'VUSTX-MCSummary'!J31</f>
        <v>1.3157894736841825E-3</v>
      </c>
      <c r="K34" s="12">
        <f t="shared" si="9"/>
        <v>2194883.9407401183</v>
      </c>
      <c r="L34" s="12">
        <f t="shared" si="5"/>
        <v>237946.3945757242</v>
      </c>
      <c r="M34" s="14">
        <f t="shared" si="10"/>
        <v>2436031.4278623108</v>
      </c>
      <c r="N34" s="21" t="str">
        <f t="shared" si="1"/>
        <v>Reached</v>
      </c>
      <c r="O34" s="21">
        <f t="shared" si="11"/>
        <v>2467410.340332964</v>
      </c>
      <c r="P34" s="5"/>
      <c r="Q34" s="13">
        <f>'VUSTX-MCSummary'!K31</f>
        <v>5.3908355795148294E-3</v>
      </c>
      <c r="R34" s="12">
        <f t="shared" si="12"/>
        <v>2488452.9662606865</v>
      </c>
      <c r="S34" s="12">
        <f t="shared" si="6"/>
        <v>237946.3945757242</v>
      </c>
      <c r="T34" s="14">
        <f t="shared" si="13"/>
        <v>2741096.9315147744</v>
      </c>
      <c r="U34" s="21" t="str">
        <f t="shared" si="2"/>
        <v>Reached</v>
      </c>
      <c r="V34" s="21">
        <f t="shared" si="14"/>
        <v>2467410.340332964</v>
      </c>
    </row>
    <row r="35" spans="1:22" ht="15" thickTop="1" thickBot="1" x14ac:dyDescent="0.6">
      <c r="A35" s="9">
        <f>'VUSTX-MCSummary'!D32</f>
        <v>2054</v>
      </c>
      <c r="C35" s="13">
        <f>'VUSTX-MCSummary'!I32</f>
        <v>-4.4897959183673418E-2</v>
      </c>
      <c r="D35" s="12">
        <f t="shared" si="7"/>
        <v>1955239.8508525849</v>
      </c>
      <c r="E35" s="12">
        <f t="shared" si="3"/>
        <v>261741.03403329666</v>
      </c>
      <c r="F35" s="14">
        <f t="shared" si="4"/>
        <v>2117442.9676052909</v>
      </c>
      <c r="G35" s="21" t="str">
        <f t="shared" si="0"/>
        <v>Reached</v>
      </c>
      <c r="H35" s="21">
        <f t="shared" si="8"/>
        <v>2729151.3743662606</v>
      </c>
      <c r="I35" s="5"/>
      <c r="J35" s="13">
        <f>'VUSTX-MCSummary'!J32</f>
        <v>-1.3175230566534633E-3</v>
      </c>
      <c r="K35" s="12">
        <f t="shared" si="9"/>
        <v>2436031.4278623108</v>
      </c>
      <c r="L35" s="12">
        <f t="shared" si="5"/>
        <v>261741.03403329666</v>
      </c>
      <c r="M35" s="14">
        <f t="shared" si="10"/>
        <v>2694218.0844754553</v>
      </c>
      <c r="N35" s="21" t="str">
        <f t="shared" si="1"/>
        <v>Reached</v>
      </c>
      <c r="O35" s="21">
        <f t="shared" si="11"/>
        <v>2729151.3743662606</v>
      </c>
      <c r="P35" s="5"/>
      <c r="Q35" s="13">
        <f>'VUSTX-MCSummary'!K32</f>
        <v>1.2641383898868897E-2</v>
      </c>
      <c r="R35" s="12">
        <f t="shared" si="12"/>
        <v>2741096.9315147744</v>
      </c>
      <c r="S35" s="12">
        <f t="shared" si="6"/>
        <v>261741.03403329666</v>
      </c>
      <c r="T35" s="14">
        <f t="shared" si="13"/>
        <v>3040797.9930566624</v>
      </c>
      <c r="U35" s="21" t="str">
        <f t="shared" si="2"/>
        <v>Reached</v>
      </c>
      <c r="V35" s="21">
        <f t="shared" si="14"/>
        <v>2729151.3743662606</v>
      </c>
    </row>
    <row r="36" spans="1:22" ht="15" thickTop="1" thickBot="1" x14ac:dyDescent="0.6">
      <c r="A36" s="9">
        <f>'VUSTX-MCSummary'!D33</f>
        <v>2055</v>
      </c>
      <c r="C36" s="13">
        <f>'VUSTX-MCSummary'!I33</f>
        <v>-2.0833333333333447E-2</v>
      </c>
      <c r="D36" s="12">
        <f t="shared" si="7"/>
        <v>2117442.9676052909</v>
      </c>
      <c r="E36" s="12">
        <f t="shared" si="3"/>
        <v>287915.13743662636</v>
      </c>
      <c r="F36" s="14">
        <f t="shared" si="4"/>
        <v>2355246.4778535436</v>
      </c>
      <c r="G36" s="21" t="str">
        <f t="shared" si="0"/>
        <v>Reached</v>
      </c>
      <c r="H36" s="21">
        <f t="shared" si="8"/>
        <v>3017066.5118028871</v>
      </c>
      <c r="I36" s="5"/>
      <c r="J36" s="13">
        <f>'VUSTX-MCSummary'!J33</f>
        <v>-6.6312997347479866E-3</v>
      </c>
      <c r="K36" s="12">
        <f t="shared" si="9"/>
        <v>2694218.0844754553</v>
      </c>
      <c r="L36" s="12">
        <f t="shared" si="5"/>
        <v>287915.13743662636</v>
      </c>
      <c r="M36" s="14">
        <f t="shared" si="10"/>
        <v>2962357.8026686329</v>
      </c>
      <c r="N36" s="21" t="str">
        <f t="shared" si="1"/>
        <v>Reached</v>
      </c>
      <c r="O36" s="21">
        <f t="shared" si="11"/>
        <v>3017066.5118028871</v>
      </c>
      <c r="P36" s="5"/>
      <c r="Q36" s="13">
        <f>'VUSTX-MCSummary'!K33</f>
        <v>-2.6684456304202232E-3</v>
      </c>
      <c r="R36" s="12">
        <f t="shared" si="12"/>
        <v>3040797.9930566624</v>
      </c>
      <c r="S36" s="12">
        <f t="shared" si="6"/>
        <v>287915.13743662636</v>
      </c>
      <c r="T36" s="14">
        <f t="shared" si="13"/>
        <v>3319830.6404853016</v>
      </c>
      <c r="U36" s="21" t="str">
        <f t="shared" si="2"/>
        <v>Reached</v>
      </c>
      <c r="V36" s="21">
        <f t="shared" si="14"/>
        <v>3017066.5118028871</v>
      </c>
    </row>
    <row r="37" spans="1:22" ht="15" thickTop="1" thickBot="1" x14ac:dyDescent="0.6">
      <c r="A37" s="9">
        <f>'VUSTX-MCSummary'!D34</f>
        <v>2056</v>
      </c>
      <c r="C37" s="13">
        <f>'VUSTX-MCSummary'!I34</f>
        <v>-4.3478260869565258E-2</v>
      </c>
      <c r="D37" s="12">
        <f t="shared" si="7"/>
        <v>2355246.4778535436</v>
      </c>
      <c r="E37" s="12">
        <f t="shared" si="3"/>
        <v>316706.65118028905</v>
      </c>
      <c r="F37" s="14">
        <f t="shared" si="4"/>
        <v>2555781.2538584485</v>
      </c>
      <c r="G37" s="21" t="str">
        <f t="shared" si="0"/>
        <v>Reached</v>
      </c>
      <c r="H37" s="21">
        <f t="shared" si="8"/>
        <v>3333773.1629831763</v>
      </c>
      <c r="I37" s="5"/>
      <c r="J37" s="13">
        <f>'VUSTX-MCSummary'!J34</f>
        <v>-9.3708165997323008E-3</v>
      </c>
      <c r="K37" s="12">
        <f t="shared" si="9"/>
        <v>2962357.8026686329</v>
      </c>
      <c r="L37" s="12">
        <f t="shared" si="5"/>
        <v>316706.65118028905</v>
      </c>
      <c r="M37" s="14">
        <f t="shared" si="10"/>
        <v>3248336.9422332025</v>
      </c>
      <c r="N37" s="21" t="str">
        <f t="shared" si="1"/>
        <v>Reached</v>
      </c>
      <c r="O37" s="21">
        <f t="shared" si="11"/>
        <v>3333773.1629831763</v>
      </c>
      <c r="P37" s="5"/>
      <c r="Q37" s="13">
        <f>'VUSTX-MCSummary'!K34</f>
        <v>-6.6755674232308324E-4</v>
      </c>
      <c r="R37" s="12">
        <f t="shared" si="12"/>
        <v>3319830.6404853016</v>
      </c>
      <c r="S37" s="12">
        <f t="shared" si="6"/>
        <v>316706.65118028905</v>
      </c>
      <c r="T37" s="14">
        <f t="shared" si="13"/>
        <v>3634109.6966778301</v>
      </c>
      <c r="U37" s="21" t="str">
        <f t="shared" si="2"/>
        <v>Reached</v>
      </c>
      <c r="V37" s="21">
        <f t="shared" si="14"/>
        <v>3333773.1629831763</v>
      </c>
    </row>
    <row r="38" spans="1:22" ht="15" thickTop="1" thickBot="1" x14ac:dyDescent="0.6">
      <c r="A38" s="9">
        <f>'VUSTX-MCSummary'!D35</f>
        <v>2057</v>
      </c>
      <c r="C38" s="13">
        <f>'VUSTX-MCSummary'!I35</f>
        <v>-8.7719298245614117E-3</v>
      </c>
      <c r="D38" s="12">
        <f t="shared" si="7"/>
        <v>2555781.2538584485</v>
      </c>
      <c r="E38" s="12">
        <f t="shared" si="3"/>
        <v>348377.31629831798</v>
      </c>
      <c r="F38" s="14">
        <f t="shared" si="4"/>
        <v>2878683.4949799529</v>
      </c>
      <c r="G38" s="21" t="str">
        <f t="shared" si="0"/>
        <v>Reached</v>
      </c>
      <c r="H38" s="21">
        <f t="shared" si="8"/>
        <v>3682150.4792814944</v>
      </c>
      <c r="I38" s="5"/>
      <c r="J38" s="13">
        <f>'VUSTX-MCSummary'!J35</f>
        <v>-2.6845637583892044E-3</v>
      </c>
      <c r="K38" s="12">
        <f t="shared" si="9"/>
        <v>3248336.9422332025</v>
      </c>
      <c r="L38" s="12">
        <f t="shared" si="5"/>
        <v>348377.31629831798</v>
      </c>
      <c r="M38" s="14">
        <f t="shared" si="10"/>
        <v>3587058.649783785</v>
      </c>
      <c r="N38" s="21" t="str">
        <f t="shared" si="1"/>
        <v>Reached</v>
      </c>
      <c r="O38" s="21">
        <f t="shared" si="11"/>
        <v>3682150.4792814944</v>
      </c>
      <c r="P38" s="5"/>
      <c r="Q38" s="13">
        <f>'VUSTX-MCSummary'!K35</f>
        <v>-2.6773761713521369E-3</v>
      </c>
      <c r="R38" s="12">
        <f t="shared" si="12"/>
        <v>3634109.6966778301</v>
      </c>
      <c r="S38" s="12">
        <f t="shared" si="6"/>
        <v>348377.31629831798</v>
      </c>
      <c r="T38" s="14">
        <f t="shared" si="13"/>
        <v>3971824.3971448867</v>
      </c>
      <c r="U38" s="21" t="str">
        <f t="shared" si="2"/>
        <v>Reached</v>
      </c>
      <c r="V38" s="21">
        <f t="shared" si="14"/>
        <v>3682150.4792814944</v>
      </c>
    </row>
    <row r="39" spans="1:22" ht="15" thickTop="1" thickBot="1" x14ac:dyDescent="0.6">
      <c r="A39" s="9">
        <f>'VUSTX-MCSummary'!D36</f>
        <v>2058</v>
      </c>
      <c r="C39" s="13">
        <f>'VUSTX-MCSummary'!I36</f>
        <v>-3.6363636363636188E-2</v>
      </c>
      <c r="D39" s="12">
        <f t="shared" si="7"/>
        <v>2878683.4949799529</v>
      </c>
      <c r="E39" s="12">
        <f t="shared" si="3"/>
        <v>383215.04792814981</v>
      </c>
      <c r="F39" s="14">
        <f t="shared" si="4"/>
        <v>3143284.0504387179</v>
      </c>
      <c r="G39" s="21" t="str">
        <f t="shared" si="0"/>
        <v>Reached</v>
      </c>
      <c r="H39" s="21">
        <f t="shared" si="8"/>
        <v>4065365.5272096442</v>
      </c>
      <c r="I39" s="5"/>
      <c r="J39" s="13">
        <f>'VUSTX-MCSummary'!J36</f>
        <v>-4.0431266846361518E-3</v>
      </c>
      <c r="K39" s="12">
        <f t="shared" si="9"/>
        <v>3587058.649783785</v>
      </c>
      <c r="L39" s="12">
        <f t="shared" si="5"/>
        <v>383215.04792814981</v>
      </c>
      <c r="M39" s="14">
        <f t="shared" si="10"/>
        <v>3954221.3781794067</v>
      </c>
      <c r="N39" s="21" t="str">
        <f t="shared" si="1"/>
        <v>Reached</v>
      </c>
      <c r="O39" s="21">
        <f t="shared" si="11"/>
        <v>4065365.5272096442</v>
      </c>
      <c r="P39" s="5"/>
      <c r="Q39" s="13">
        <f>'VUSTX-MCSummary'!K36</f>
        <v>1.1904761904761887E-2</v>
      </c>
      <c r="R39" s="12">
        <f t="shared" si="12"/>
        <v>3971824.3971448867</v>
      </c>
      <c r="S39" s="12">
        <f t="shared" si="6"/>
        <v>383215.04792814981</v>
      </c>
      <c r="T39" s="14">
        <f t="shared" si="13"/>
        <v>4406885.1527524767</v>
      </c>
      <c r="U39" s="21" t="str">
        <f t="shared" si="2"/>
        <v>Reached</v>
      </c>
      <c r="V39" s="21">
        <f t="shared" si="14"/>
        <v>4065365.5272096442</v>
      </c>
    </row>
    <row r="40" spans="1:22" ht="15" thickTop="1" thickBot="1" x14ac:dyDescent="0.6">
      <c r="A40" s="9">
        <f>'VUSTX-MCSummary'!D37</f>
        <v>2059</v>
      </c>
      <c r="C40" s="13">
        <f>'VUSTX-MCSummary'!I37</f>
        <v>-4.566210045662206E-3</v>
      </c>
      <c r="D40" s="12">
        <f t="shared" si="7"/>
        <v>3143284.0504387179</v>
      </c>
      <c r="E40" s="12">
        <f t="shared" si="3"/>
        <v>421536.55272096483</v>
      </c>
      <c r="F40" s="14">
        <f t="shared" si="4"/>
        <v>3548542.8835105519</v>
      </c>
      <c r="G40" s="21" t="str">
        <f t="shared" si="0"/>
        <v>Reached</v>
      </c>
      <c r="H40" s="21">
        <f t="shared" si="8"/>
        <v>4486902.0799306091</v>
      </c>
      <c r="I40" s="5"/>
      <c r="J40" s="13">
        <f>'VUSTX-MCSummary'!J37</f>
        <v>9.345794392523402E-3</v>
      </c>
      <c r="K40" s="12">
        <f t="shared" si="9"/>
        <v>3954221.3781794067</v>
      </c>
      <c r="L40" s="12">
        <f t="shared" si="5"/>
        <v>421536.55272096483</v>
      </c>
      <c r="M40" s="14">
        <f t="shared" si="10"/>
        <v>4416652.8648340208</v>
      </c>
      <c r="N40" s="21" t="str">
        <f t="shared" si="1"/>
        <v>Reached</v>
      </c>
      <c r="O40" s="21">
        <f t="shared" si="11"/>
        <v>4486902.0799306091</v>
      </c>
      <c r="P40" s="5"/>
      <c r="Q40" s="13">
        <f>'VUSTX-MCSummary'!K37</f>
        <v>1.9455252918287983E-2</v>
      </c>
      <c r="R40" s="12">
        <f t="shared" si="12"/>
        <v>4406885.1527524767</v>
      </c>
      <c r="S40" s="12">
        <f t="shared" si="6"/>
        <v>421536.55272096483</v>
      </c>
      <c r="T40" s="14">
        <f t="shared" si="13"/>
        <v>4922359.8709495794</v>
      </c>
      <c r="U40" s="21" t="str">
        <f t="shared" si="2"/>
        <v>Reached</v>
      </c>
      <c r="V40" s="21">
        <f t="shared" si="14"/>
        <v>4486902.0799306091</v>
      </c>
    </row>
    <row r="41" spans="1:22" ht="15" thickTop="1" thickBot="1" x14ac:dyDescent="0.6">
      <c r="A41" s="9">
        <f>'VUSTX-MCSummary'!D38</f>
        <v>2060</v>
      </c>
      <c r="C41" s="13">
        <f>'VUSTX-MCSummary'!I38</f>
        <v>-2.8169014084507067E-2</v>
      </c>
      <c r="D41" s="12">
        <f t="shared" si="7"/>
        <v>3548542.8835105519</v>
      </c>
      <c r="E41" s="12">
        <f t="shared" si="3"/>
        <v>463690.20799306134</v>
      </c>
      <c r="F41" s="14">
        <f t="shared" si="4"/>
        <v>3899212.4410387222</v>
      </c>
      <c r="G41" s="21" t="str">
        <f t="shared" si="0"/>
        <v>Reached</v>
      </c>
      <c r="H41" s="21">
        <f t="shared" si="8"/>
        <v>4950592.2879236704</v>
      </c>
      <c r="I41" s="5"/>
      <c r="J41" s="13">
        <f>'VUSTX-MCSummary'!J38</f>
        <v>0</v>
      </c>
      <c r="K41" s="12">
        <f t="shared" si="9"/>
        <v>4416652.8648340208</v>
      </c>
      <c r="L41" s="12">
        <f t="shared" si="5"/>
        <v>463690.20799306134</v>
      </c>
      <c r="M41" s="14">
        <f t="shared" si="10"/>
        <v>4880343.0728270821</v>
      </c>
      <c r="N41" s="21" t="str">
        <f t="shared" si="1"/>
        <v>Reached</v>
      </c>
      <c r="O41" s="21">
        <f t="shared" si="11"/>
        <v>4950592.2879236704</v>
      </c>
      <c r="P41" s="5"/>
      <c r="Q41" s="13">
        <f>'VUSTX-MCSummary'!K38</f>
        <v>7.0830650354152891E-3</v>
      </c>
      <c r="R41" s="12">
        <f t="shared" si="12"/>
        <v>4922359.8709495794</v>
      </c>
      <c r="S41" s="12">
        <f t="shared" si="6"/>
        <v>463690.20799306134</v>
      </c>
      <c r="T41" s="14">
        <f t="shared" si="13"/>
        <v>5424199.8219357943</v>
      </c>
      <c r="U41" s="21" t="str">
        <f t="shared" si="2"/>
        <v>Reached</v>
      </c>
      <c r="V41" s="21">
        <f t="shared" si="14"/>
        <v>4950592.2879236704</v>
      </c>
    </row>
    <row r="42" spans="1:22" ht="15" thickTop="1" thickBot="1" x14ac:dyDescent="0.6">
      <c r="A42" s="9">
        <f>'VUSTX-MCSummary'!D39</f>
        <v>2061</v>
      </c>
      <c r="C42" s="13">
        <f>'VUSTX-MCSummary'!I39</f>
        <v>-9.4786729857819999E-3</v>
      </c>
      <c r="D42" s="12">
        <f t="shared" si="7"/>
        <v>3899212.4410387222</v>
      </c>
      <c r="E42" s="12">
        <f t="shared" si="3"/>
        <v>510059.2287923675</v>
      </c>
      <c r="F42" s="14">
        <f t="shared" si="4"/>
        <v>4367477.6255672881</v>
      </c>
      <c r="G42" s="21" t="str">
        <f t="shared" si="0"/>
        <v>Reached</v>
      </c>
      <c r="H42" s="21">
        <f t="shared" si="8"/>
        <v>5460651.5167160379</v>
      </c>
      <c r="I42" s="5"/>
      <c r="J42" s="13">
        <f>'VUSTX-MCSummary'!J39</f>
        <v>-4.0214477211796577E-3</v>
      </c>
      <c r="K42" s="12">
        <f t="shared" si="9"/>
        <v>4880343.0728270821</v>
      </c>
      <c r="L42" s="12">
        <f t="shared" si="5"/>
        <v>510059.2287923675</v>
      </c>
      <c r="M42" s="14">
        <f t="shared" si="10"/>
        <v>5368725.0805673609</v>
      </c>
      <c r="N42" s="21" t="str">
        <f t="shared" si="1"/>
        <v>Reached</v>
      </c>
      <c r="O42" s="21">
        <f t="shared" si="11"/>
        <v>5460651.5167160379</v>
      </c>
      <c r="P42" s="5"/>
      <c r="Q42" s="13">
        <f>'VUSTX-MCSummary'!K39</f>
        <v>-1.2894906511927513E-3</v>
      </c>
      <c r="R42" s="12">
        <f t="shared" si="12"/>
        <v>5424199.8219357943</v>
      </c>
      <c r="S42" s="12">
        <f t="shared" si="6"/>
        <v>510059.2287923675</v>
      </c>
      <c r="T42" s="14">
        <f t="shared" si="13"/>
        <v>5926606.8791604917</v>
      </c>
      <c r="U42" s="21" t="str">
        <f t="shared" si="2"/>
        <v>Reached</v>
      </c>
      <c r="V42" s="21">
        <f t="shared" si="14"/>
        <v>5460651.5167160379</v>
      </c>
    </row>
    <row r="43" spans="1:22" ht="15" thickTop="1" thickBot="1" x14ac:dyDescent="0.6">
      <c r="A43" s="9">
        <f>'VUSTX-MCSummary'!D40</f>
        <v>2062</v>
      </c>
      <c r="C43" s="13">
        <f>'VUSTX-MCSummary'!I40</f>
        <v>-5.4999999999999938E-2</v>
      </c>
      <c r="D43" s="12">
        <f t="shared" si="7"/>
        <v>4367477.6255672881</v>
      </c>
      <c r="E43" s="12">
        <f t="shared" si="3"/>
        <v>561065.15167160425</v>
      </c>
      <c r="F43" s="14">
        <f t="shared" si="4"/>
        <v>4657472.9244907536</v>
      </c>
      <c r="G43" s="21" t="str">
        <f t="shared" si="0"/>
        <v>Reached</v>
      </c>
      <c r="H43" s="21">
        <f t="shared" si="8"/>
        <v>6021716.6683876421</v>
      </c>
      <c r="I43" s="5"/>
      <c r="J43" s="13">
        <f>'VUSTX-MCSummary'!J40</f>
        <v>-1.3422818791946022E-3</v>
      </c>
      <c r="K43" s="12">
        <f t="shared" si="9"/>
        <v>5368725.0805673609</v>
      </c>
      <c r="L43" s="12">
        <f t="shared" si="5"/>
        <v>561065.15167160425</v>
      </c>
      <c r="M43" s="14">
        <f t="shared" si="10"/>
        <v>5921830.7822628058</v>
      </c>
      <c r="N43" s="21" t="str">
        <f t="shared" si="1"/>
        <v>Reached</v>
      </c>
      <c r="O43" s="21">
        <f t="shared" si="11"/>
        <v>6021716.6683876421</v>
      </c>
      <c r="P43" s="5"/>
      <c r="Q43" s="13">
        <f>'VUSTX-MCSummary'!K40</f>
        <v>1.0841836734693874E-2</v>
      </c>
      <c r="R43" s="12">
        <f t="shared" si="12"/>
        <v>5926606.8791604917</v>
      </c>
      <c r="S43" s="12">
        <f t="shared" si="6"/>
        <v>561065.15167160425</v>
      </c>
      <c r="T43" s="14">
        <f t="shared" si="13"/>
        <v>6558010.3117786171</v>
      </c>
      <c r="U43" s="21" t="str">
        <f t="shared" si="2"/>
        <v>Reached</v>
      </c>
      <c r="V43" s="21">
        <f t="shared" si="14"/>
        <v>6021716.6683876421</v>
      </c>
    </row>
    <row r="44" spans="1:22" ht="15" thickTop="1" thickBot="1" x14ac:dyDescent="0.6">
      <c r="A44" s="9">
        <f>'VUSTX-MCSummary'!D41</f>
        <v>2063</v>
      </c>
      <c r="C44" s="13">
        <f>'VUSTX-MCSummary'!I41</f>
        <v>-1.0101010101010111E-2</v>
      </c>
      <c r="D44" s="15">
        <f t="shared" si="7"/>
        <v>4657472.9244907536</v>
      </c>
      <c r="E44" s="15">
        <f t="shared" si="3"/>
        <v>617171.66683876468</v>
      </c>
      <c r="F44" s="16">
        <f t="shared" si="4"/>
        <v>5221365.3530332604</v>
      </c>
      <c r="G44" s="21" t="str">
        <f t="shared" si="0"/>
        <v>Reached</v>
      </c>
      <c r="H44" s="21">
        <f t="shared" si="8"/>
        <v>6638888.3352264073</v>
      </c>
      <c r="I44" s="5"/>
      <c r="J44" s="13">
        <f>'VUSTX-MCSummary'!J41</f>
        <v>-1.0854816824966088E-2</v>
      </c>
      <c r="K44" s="15">
        <f t="shared" si="9"/>
        <v>5921830.7822628058</v>
      </c>
      <c r="L44" s="15">
        <f t="shared" si="5"/>
        <v>617171.66683876468</v>
      </c>
      <c r="M44" s="16">
        <f t="shared" si="10"/>
        <v>6468022.7752985684</v>
      </c>
      <c r="N44" s="21" t="str">
        <f t="shared" si="1"/>
        <v>Reached</v>
      </c>
      <c r="O44" s="21">
        <f t="shared" si="11"/>
        <v>6638888.3352264073</v>
      </c>
      <c r="P44" s="5"/>
      <c r="Q44" s="13">
        <f>'VUSTX-MCSummary'!K41</f>
        <v>-7.0648683365446005E-3</v>
      </c>
      <c r="R44" s="15">
        <f t="shared" si="12"/>
        <v>6558010.3117786171</v>
      </c>
      <c r="S44" s="15">
        <f t="shared" si="6"/>
        <v>617171.66683876468</v>
      </c>
      <c r="T44" s="16">
        <f t="shared" si="13"/>
        <v>7124490.2626477014</v>
      </c>
      <c r="U44" s="21" t="str">
        <f t="shared" si="2"/>
        <v>Reached</v>
      </c>
      <c r="V44" s="21">
        <f t="shared" si="14"/>
        <v>6638888.3352264073</v>
      </c>
    </row>
    <row r="45" spans="1:22" ht="14.7" thickTop="1" x14ac:dyDescent="0.55000000000000004"/>
    <row r="46" spans="1:22" x14ac:dyDescent="0.55000000000000004">
      <c r="E46" t="s">
        <v>36</v>
      </c>
    </row>
    <row r="47" spans="1:22" x14ac:dyDescent="0.55000000000000004">
      <c r="E47" s="12">
        <f>SUM(E5:E44)</f>
        <v>6638888.3352264073</v>
      </c>
    </row>
  </sheetData>
  <mergeCells count="4">
    <mergeCell ref="A1:L1"/>
    <mergeCell ref="C3:F3"/>
    <mergeCell ref="J3:M3"/>
    <mergeCell ref="Q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D3A-23BA-4EC8-8F77-5F5B14060E9F}">
  <dimension ref="A1:K43"/>
  <sheetViews>
    <sheetView workbookViewId="0">
      <selection activeCell="K3" sqref="K3"/>
    </sheetView>
  </sheetViews>
  <sheetFormatPr defaultRowHeight="14.4" x14ac:dyDescent="0.55000000000000004"/>
  <sheetData>
    <row r="1" spans="1:11" x14ac:dyDescent="0.55000000000000004">
      <c r="A1" s="45" t="s">
        <v>85</v>
      </c>
      <c r="B1" s="45" t="s">
        <v>86</v>
      </c>
      <c r="C1" s="45" t="s">
        <v>87</v>
      </c>
      <c r="D1" s="45" t="s">
        <v>88</v>
      </c>
      <c r="E1" s="45" t="s">
        <v>89</v>
      </c>
      <c r="F1" s="45" t="s">
        <v>90</v>
      </c>
      <c r="G1" s="45" t="s">
        <v>91</v>
      </c>
      <c r="I1" s="46" t="s">
        <v>92</v>
      </c>
      <c r="J1" s="46" t="s">
        <v>2</v>
      </c>
      <c r="K1" s="46" t="s">
        <v>93</v>
      </c>
    </row>
    <row r="2" spans="1:11" x14ac:dyDescent="0.55000000000000004">
      <c r="A2">
        <v>188</v>
      </c>
      <c r="B2">
        <v>10000</v>
      </c>
      <c r="C2">
        <v>0</v>
      </c>
      <c r="D2">
        <v>2024</v>
      </c>
      <c r="E2">
        <v>7.43</v>
      </c>
      <c r="F2">
        <v>8.3699999999999992</v>
      </c>
      <c r="G2">
        <v>9.36</v>
      </c>
      <c r="I2" s="7">
        <f>(E2-VUSTX_LastPrice)/E2</f>
        <v>-0.1009421265141319</v>
      </c>
      <c r="J2" s="7">
        <f>(F2-VUSTX_LastPrice)/F2</f>
        <v>2.2700119474312965E-2</v>
      </c>
      <c r="K2" s="7">
        <f>(G2-VUSTX_LastPrice)/G2</f>
        <v>0.12606837606837604</v>
      </c>
    </row>
    <row r="3" spans="1:11" x14ac:dyDescent="0.55000000000000004">
      <c r="A3">
        <v>553</v>
      </c>
      <c r="B3">
        <v>10000</v>
      </c>
      <c r="C3">
        <v>0</v>
      </c>
      <c r="D3">
        <v>2025</v>
      </c>
      <c r="E3">
        <v>6.77</v>
      </c>
      <c r="F3">
        <v>8.33</v>
      </c>
      <c r="G3">
        <v>10</v>
      </c>
      <c r="I3" s="7">
        <f>(E3-E2)/E3</f>
        <v>-9.7488921713441687E-2</v>
      </c>
      <c r="J3" s="7">
        <f t="shared" ref="J3:K18" si="0">(F3-F2)/F3</f>
        <v>-4.8019207683072202E-3</v>
      </c>
      <c r="K3" s="7">
        <f t="shared" si="0"/>
        <v>6.4000000000000057E-2</v>
      </c>
    </row>
    <row r="4" spans="1:11" x14ac:dyDescent="0.55000000000000004">
      <c r="A4">
        <v>918</v>
      </c>
      <c r="B4">
        <v>10000</v>
      </c>
      <c r="C4">
        <v>0</v>
      </c>
      <c r="D4">
        <v>2026</v>
      </c>
      <c r="E4">
        <v>6.37</v>
      </c>
      <c r="F4">
        <v>8.33</v>
      </c>
      <c r="G4">
        <v>10.51</v>
      </c>
      <c r="I4" s="7">
        <f t="shared" ref="I4:K41" si="1">(E4-E3)/E4</f>
        <v>-6.2794348508634135E-2</v>
      </c>
      <c r="J4" s="7">
        <f t="shared" si="0"/>
        <v>0</v>
      </c>
      <c r="K4" s="7">
        <f t="shared" si="0"/>
        <v>4.8525214081826813E-2</v>
      </c>
    </row>
    <row r="5" spans="1:11" x14ac:dyDescent="0.55000000000000004">
      <c r="A5">
        <v>1283</v>
      </c>
      <c r="B5">
        <v>10000</v>
      </c>
      <c r="C5">
        <v>0</v>
      </c>
      <c r="D5">
        <v>2027</v>
      </c>
      <c r="E5">
        <v>6</v>
      </c>
      <c r="F5">
        <v>8.2799999999999994</v>
      </c>
      <c r="G5">
        <v>10.89</v>
      </c>
      <c r="I5" s="7">
        <f t="shared" si="1"/>
        <v>-6.1666666666666682E-2</v>
      </c>
      <c r="J5" s="7">
        <f t="shared" si="0"/>
        <v>-6.0386473429952557E-3</v>
      </c>
      <c r="K5" s="7">
        <f t="shared" si="0"/>
        <v>3.489439853076224E-2</v>
      </c>
    </row>
    <row r="6" spans="1:11" x14ac:dyDescent="0.55000000000000004">
      <c r="A6">
        <v>1648</v>
      </c>
      <c r="B6">
        <v>10000</v>
      </c>
      <c r="C6">
        <v>0</v>
      </c>
      <c r="D6">
        <v>2028</v>
      </c>
      <c r="E6">
        <v>5.68</v>
      </c>
      <c r="F6">
        <v>8.27</v>
      </c>
      <c r="G6">
        <v>11.27</v>
      </c>
      <c r="I6" s="7">
        <f t="shared" si="1"/>
        <v>-5.6338028169014134E-2</v>
      </c>
      <c r="J6" s="7">
        <f t="shared" si="0"/>
        <v>-1.2091898428052948E-3</v>
      </c>
      <c r="K6" s="7">
        <f t="shared" si="0"/>
        <v>3.37178349600709E-2</v>
      </c>
    </row>
    <row r="7" spans="1:11" x14ac:dyDescent="0.55000000000000004">
      <c r="A7">
        <v>2013</v>
      </c>
      <c r="B7">
        <v>10000</v>
      </c>
      <c r="C7">
        <v>0</v>
      </c>
      <c r="D7">
        <v>2029</v>
      </c>
      <c r="E7">
        <v>5.44</v>
      </c>
      <c r="F7">
        <v>8.26</v>
      </c>
      <c r="G7">
        <v>11.63</v>
      </c>
      <c r="I7" s="7">
        <f t="shared" si="1"/>
        <v>-4.41176470588234E-2</v>
      </c>
      <c r="J7" s="7">
        <f t="shared" si="0"/>
        <v>-1.2106537530266086E-3</v>
      </c>
      <c r="K7" s="7">
        <f t="shared" si="0"/>
        <v>3.0954428202923576E-2</v>
      </c>
    </row>
    <row r="8" spans="1:11" x14ac:dyDescent="0.55000000000000004">
      <c r="A8">
        <v>2378</v>
      </c>
      <c r="B8">
        <v>10000</v>
      </c>
      <c r="C8">
        <v>0</v>
      </c>
      <c r="D8">
        <v>2030</v>
      </c>
      <c r="E8">
        <v>5.2</v>
      </c>
      <c r="F8">
        <v>8.23</v>
      </c>
      <c r="G8">
        <v>11.79</v>
      </c>
      <c r="I8" s="7">
        <f t="shared" si="1"/>
        <v>-4.6153846153846191E-2</v>
      </c>
      <c r="J8" s="7">
        <f t="shared" si="0"/>
        <v>-3.6452004860266537E-3</v>
      </c>
      <c r="K8" s="7">
        <f t="shared" si="0"/>
        <v>1.3570822731127937E-2</v>
      </c>
    </row>
    <row r="9" spans="1:11" x14ac:dyDescent="0.55000000000000004">
      <c r="A9">
        <v>2743</v>
      </c>
      <c r="B9">
        <v>10000</v>
      </c>
      <c r="C9">
        <v>0</v>
      </c>
      <c r="D9">
        <v>2031</v>
      </c>
      <c r="E9">
        <v>4.9800000000000004</v>
      </c>
      <c r="F9">
        <v>8.1999999999999993</v>
      </c>
      <c r="G9">
        <v>12.06</v>
      </c>
      <c r="I9" s="7">
        <f t="shared" si="1"/>
        <v>-4.4176706827309183E-2</v>
      </c>
      <c r="J9" s="7">
        <f t="shared" si="0"/>
        <v>-3.6585365853659927E-3</v>
      </c>
      <c r="K9" s="7">
        <f t="shared" si="0"/>
        <v>2.2388059701492647E-2</v>
      </c>
    </row>
    <row r="10" spans="1:11" x14ac:dyDescent="0.55000000000000004">
      <c r="A10">
        <v>3108</v>
      </c>
      <c r="B10">
        <v>10000</v>
      </c>
      <c r="C10">
        <v>0</v>
      </c>
      <c r="D10">
        <v>2032</v>
      </c>
      <c r="E10">
        <v>4.75</v>
      </c>
      <c r="F10">
        <v>8.1199999999999992</v>
      </c>
      <c r="G10">
        <v>12.22</v>
      </c>
      <c r="I10" s="7">
        <f t="shared" si="1"/>
        <v>-4.8421052631579038E-2</v>
      </c>
      <c r="J10" s="7">
        <f t="shared" si="0"/>
        <v>-9.8522167487684834E-3</v>
      </c>
      <c r="K10" s="7">
        <f t="shared" si="0"/>
        <v>1.3093289689034381E-2</v>
      </c>
    </row>
    <row r="11" spans="1:11" x14ac:dyDescent="0.55000000000000004">
      <c r="A11">
        <v>3473</v>
      </c>
      <c r="B11">
        <v>10000</v>
      </c>
      <c r="C11">
        <v>0</v>
      </c>
      <c r="D11">
        <v>2033</v>
      </c>
      <c r="E11">
        <v>4.6399999999999997</v>
      </c>
      <c r="F11">
        <v>8.18</v>
      </c>
      <c r="G11">
        <v>12.61</v>
      </c>
      <c r="I11" s="7">
        <f t="shared" si="1"/>
        <v>-2.370689655172421E-2</v>
      </c>
      <c r="J11" s="7">
        <f t="shared" si="0"/>
        <v>7.3349633251834348E-3</v>
      </c>
      <c r="K11" s="7">
        <f t="shared" si="0"/>
        <v>3.0927835051546296E-2</v>
      </c>
    </row>
    <row r="12" spans="1:11" x14ac:dyDescent="0.55000000000000004">
      <c r="A12">
        <v>3838</v>
      </c>
      <c r="B12">
        <v>10000</v>
      </c>
      <c r="C12">
        <v>0</v>
      </c>
      <c r="D12">
        <v>2034</v>
      </c>
      <c r="E12">
        <v>4.45</v>
      </c>
      <c r="F12">
        <v>8.06</v>
      </c>
      <c r="G12">
        <v>12.54</v>
      </c>
      <c r="I12" s="7">
        <f t="shared" si="1"/>
        <v>-4.269662921348303E-2</v>
      </c>
      <c r="J12" s="7">
        <f t="shared" si="0"/>
        <v>-1.4888337468982533E-2</v>
      </c>
      <c r="K12" s="7">
        <f t="shared" si="0"/>
        <v>-5.5821371610845529E-3</v>
      </c>
    </row>
    <row r="13" spans="1:11" x14ac:dyDescent="0.55000000000000004">
      <c r="A13">
        <v>4203</v>
      </c>
      <c r="B13">
        <v>10000</v>
      </c>
      <c r="C13">
        <v>0</v>
      </c>
      <c r="D13">
        <v>2035</v>
      </c>
      <c r="E13">
        <v>4.28</v>
      </c>
      <c r="F13">
        <v>8.06</v>
      </c>
      <c r="G13">
        <v>12.85</v>
      </c>
      <c r="I13" s="7">
        <f t="shared" si="1"/>
        <v>-3.9719626168224283E-2</v>
      </c>
      <c r="J13" s="7">
        <f t="shared" si="0"/>
        <v>0</v>
      </c>
      <c r="K13" s="7">
        <f t="shared" si="0"/>
        <v>2.4124513618677082E-2</v>
      </c>
    </row>
    <row r="14" spans="1:11" x14ac:dyDescent="0.55000000000000004">
      <c r="A14">
        <v>4568</v>
      </c>
      <c r="B14">
        <v>10000</v>
      </c>
      <c r="C14">
        <v>0</v>
      </c>
      <c r="D14">
        <v>2036</v>
      </c>
      <c r="E14">
        <v>4.1900000000000004</v>
      </c>
      <c r="F14">
        <v>8.06</v>
      </c>
      <c r="G14">
        <v>13</v>
      </c>
      <c r="I14" s="7">
        <f t="shared" si="1"/>
        <v>-2.1479713603818579E-2</v>
      </c>
      <c r="J14" s="7">
        <f t="shared" si="0"/>
        <v>0</v>
      </c>
      <c r="K14" s="7">
        <f t="shared" si="0"/>
        <v>1.1538461538461565E-2</v>
      </c>
    </row>
    <row r="15" spans="1:11" x14ac:dyDescent="0.55000000000000004">
      <c r="A15">
        <v>4933</v>
      </c>
      <c r="B15">
        <v>10000</v>
      </c>
      <c r="C15">
        <v>0</v>
      </c>
      <c r="D15">
        <v>2037</v>
      </c>
      <c r="E15">
        <v>4</v>
      </c>
      <c r="F15">
        <v>8.07</v>
      </c>
      <c r="G15">
        <v>13.37</v>
      </c>
      <c r="I15" s="7">
        <f t="shared" si="1"/>
        <v>-4.7500000000000098E-2</v>
      </c>
      <c r="J15" s="7">
        <f t="shared" si="0"/>
        <v>1.2391573729863428E-3</v>
      </c>
      <c r="K15" s="7">
        <f t="shared" si="0"/>
        <v>2.7673896783844371E-2</v>
      </c>
    </row>
    <row r="16" spans="1:11" x14ac:dyDescent="0.55000000000000004">
      <c r="A16">
        <v>5298</v>
      </c>
      <c r="B16">
        <v>10000</v>
      </c>
      <c r="C16">
        <v>0</v>
      </c>
      <c r="D16">
        <v>2038</v>
      </c>
      <c r="E16">
        <v>3.86</v>
      </c>
      <c r="F16">
        <v>7.98</v>
      </c>
      <c r="G16">
        <v>13.28</v>
      </c>
      <c r="I16" s="7">
        <f t="shared" si="1"/>
        <v>-3.6269430051813503E-2</v>
      </c>
      <c r="J16" s="7">
        <f t="shared" si="0"/>
        <v>-1.1278195488721787E-2</v>
      </c>
      <c r="K16" s="7">
        <f t="shared" si="0"/>
        <v>-6.7771084337349295E-3</v>
      </c>
    </row>
    <row r="17" spans="1:11" x14ac:dyDescent="0.55000000000000004">
      <c r="A17">
        <v>5663</v>
      </c>
      <c r="B17">
        <v>10000</v>
      </c>
      <c r="C17">
        <v>0</v>
      </c>
      <c r="D17">
        <v>2039</v>
      </c>
      <c r="E17">
        <v>3.77</v>
      </c>
      <c r="F17">
        <v>7.96</v>
      </c>
      <c r="G17">
        <v>13.42</v>
      </c>
      <c r="I17" s="7">
        <f t="shared" si="1"/>
        <v>-2.3872679045092802E-2</v>
      </c>
      <c r="J17" s="7">
        <f t="shared" si="0"/>
        <v>-2.5125628140704099E-3</v>
      </c>
      <c r="K17" s="7">
        <f t="shared" si="0"/>
        <v>1.0432190760059655E-2</v>
      </c>
    </row>
    <row r="18" spans="1:11" x14ac:dyDescent="0.55000000000000004">
      <c r="A18">
        <v>6028</v>
      </c>
      <c r="B18">
        <v>10000</v>
      </c>
      <c r="C18">
        <v>0</v>
      </c>
      <c r="D18">
        <v>2040</v>
      </c>
      <c r="E18">
        <v>3.65</v>
      </c>
      <c r="F18">
        <v>7.95</v>
      </c>
      <c r="G18">
        <v>13.68</v>
      </c>
      <c r="I18" s="7">
        <f t="shared" si="1"/>
        <v>-3.2876712328767155E-2</v>
      </c>
      <c r="J18" s="7">
        <f t="shared" si="0"/>
        <v>-1.2578616352200991E-3</v>
      </c>
      <c r="K18" s="7">
        <f t="shared" si="0"/>
        <v>1.9005847953216359E-2</v>
      </c>
    </row>
    <row r="19" spans="1:11" x14ac:dyDescent="0.55000000000000004">
      <c r="A19">
        <v>6393</v>
      </c>
      <c r="B19">
        <v>10000</v>
      </c>
      <c r="C19">
        <v>0</v>
      </c>
      <c r="D19">
        <v>2041</v>
      </c>
      <c r="E19">
        <v>3.59</v>
      </c>
      <c r="F19">
        <v>7.96</v>
      </c>
      <c r="G19">
        <v>13.77</v>
      </c>
      <c r="I19" s="7">
        <f t="shared" si="1"/>
        <v>-1.6713091922005586E-2</v>
      </c>
      <c r="J19" s="7">
        <f t="shared" si="1"/>
        <v>1.256281407035149E-3</v>
      </c>
      <c r="K19" s="7">
        <f t="shared" si="1"/>
        <v>6.5359477124182904E-3</v>
      </c>
    </row>
    <row r="20" spans="1:11" x14ac:dyDescent="0.55000000000000004">
      <c r="A20">
        <v>6758</v>
      </c>
      <c r="B20">
        <v>10000</v>
      </c>
      <c r="C20">
        <v>0</v>
      </c>
      <c r="D20">
        <v>2042</v>
      </c>
      <c r="E20">
        <v>3.47</v>
      </c>
      <c r="F20">
        <v>7.95</v>
      </c>
      <c r="G20">
        <v>14</v>
      </c>
      <c r="I20" s="7">
        <f t="shared" si="1"/>
        <v>-3.4582132564841397E-2</v>
      </c>
      <c r="J20" s="7">
        <f t="shared" si="1"/>
        <v>-1.2578616352200991E-3</v>
      </c>
      <c r="K20" s="7">
        <f t="shared" si="1"/>
        <v>1.6428571428571459E-2</v>
      </c>
    </row>
    <row r="21" spans="1:11" x14ac:dyDescent="0.55000000000000004">
      <c r="A21">
        <v>7123</v>
      </c>
      <c r="B21">
        <v>10000</v>
      </c>
      <c r="C21">
        <v>0</v>
      </c>
      <c r="D21">
        <v>2043</v>
      </c>
      <c r="E21">
        <v>3.34</v>
      </c>
      <c r="F21">
        <v>7.83</v>
      </c>
      <c r="G21">
        <v>13.86</v>
      </c>
      <c r="I21" s="7">
        <f t="shared" si="1"/>
        <v>-3.892215568862286E-2</v>
      </c>
      <c r="J21" s="7">
        <f t="shared" si="1"/>
        <v>-1.5325670498084304E-2</v>
      </c>
      <c r="K21" s="7">
        <f t="shared" si="1"/>
        <v>-1.0101010101010142E-2</v>
      </c>
    </row>
    <row r="22" spans="1:11" x14ac:dyDescent="0.55000000000000004">
      <c r="A22">
        <v>7488</v>
      </c>
      <c r="B22">
        <v>10000</v>
      </c>
      <c r="C22">
        <v>0</v>
      </c>
      <c r="D22">
        <v>2044</v>
      </c>
      <c r="E22">
        <v>3.23</v>
      </c>
      <c r="F22">
        <v>7.84</v>
      </c>
      <c r="G22">
        <v>14.01</v>
      </c>
      <c r="I22" s="7">
        <f t="shared" si="1"/>
        <v>-3.405572755417953E-2</v>
      </c>
      <c r="J22" s="7">
        <f t="shared" si="1"/>
        <v>1.2755102040816054E-3</v>
      </c>
      <c r="K22" s="7">
        <f t="shared" si="1"/>
        <v>1.0706638115631717E-2</v>
      </c>
    </row>
    <row r="23" spans="1:11" x14ac:dyDescent="0.55000000000000004">
      <c r="A23">
        <v>7853</v>
      </c>
      <c r="B23">
        <v>10000</v>
      </c>
      <c r="C23">
        <v>0</v>
      </c>
      <c r="D23">
        <v>2045</v>
      </c>
      <c r="E23">
        <v>3.12</v>
      </c>
      <c r="F23">
        <v>7.75</v>
      </c>
      <c r="G23">
        <v>14.11</v>
      </c>
      <c r="I23" s="7">
        <f t="shared" si="1"/>
        <v>-3.5256410256410214E-2</v>
      </c>
      <c r="J23" s="7">
        <f t="shared" si="1"/>
        <v>-1.1612903225806433E-2</v>
      </c>
      <c r="K23" s="7">
        <f t="shared" si="1"/>
        <v>7.0871722182848798E-3</v>
      </c>
    </row>
    <row r="24" spans="1:11" x14ac:dyDescent="0.55000000000000004">
      <c r="A24">
        <v>8218</v>
      </c>
      <c r="B24">
        <v>10000</v>
      </c>
      <c r="C24">
        <v>0</v>
      </c>
      <c r="D24">
        <v>2046</v>
      </c>
      <c r="E24">
        <v>3.03</v>
      </c>
      <c r="F24">
        <v>7.75</v>
      </c>
      <c r="G24">
        <v>14.19</v>
      </c>
      <c r="I24" s="7">
        <f t="shared" si="1"/>
        <v>-2.9702970297029806E-2</v>
      </c>
      <c r="J24" s="7">
        <f t="shared" si="1"/>
        <v>0</v>
      </c>
      <c r="K24" s="7">
        <f t="shared" si="1"/>
        <v>5.6377730796335502E-3</v>
      </c>
    </row>
    <row r="25" spans="1:11" x14ac:dyDescent="0.55000000000000004">
      <c r="A25">
        <v>8583</v>
      </c>
      <c r="B25">
        <v>10000</v>
      </c>
      <c r="C25">
        <v>0</v>
      </c>
      <c r="D25">
        <v>2047</v>
      </c>
      <c r="E25">
        <v>2.99</v>
      </c>
      <c r="F25">
        <v>7.77</v>
      </c>
      <c r="G25">
        <v>14.43</v>
      </c>
      <c r="I25" s="7">
        <f t="shared" si="1"/>
        <v>-1.3377926421404545E-2</v>
      </c>
      <c r="J25" s="7">
        <f t="shared" si="1"/>
        <v>2.5740025740025193E-3</v>
      </c>
      <c r="K25" s="7">
        <f t="shared" si="1"/>
        <v>1.6632016632016647E-2</v>
      </c>
    </row>
    <row r="26" spans="1:11" x14ac:dyDescent="0.55000000000000004">
      <c r="A26">
        <v>8948</v>
      </c>
      <c r="B26">
        <v>10000</v>
      </c>
      <c r="C26">
        <v>0</v>
      </c>
      <c r="D26">
        <v>2048</v>
      </c>
      <c r="E26">
        <v>2.92</v>
      </c>
      <c r="F26">
        <v>7.76</v>
      </c>
      <c r="G26">
        <v>14.53</v>
      </c>
      <c r="I26" s="7">
        <f t="shared" si="1"/>
        <v>-2.3972602739726127E-2</v>
      </c>
      <c r="J26" s="7">
        <f t="shared" si="1"/>
        <v>-1.2886597938144056E-3</v>
      </c>
      <c r="K26" s="7">
        <f t="shared" si="1"/>
        <v>6.882312456985523E-3</v>
      </c>
    </row>
    <row r="27" spans="1:11" x14ac:dyDescent="0.55000000000000004">
      <c r="A27">
        <v>9313</v>
      </c>
      <c r="B27">
        <v>10000</v>
      </c>
      <c r="C27">
        <v>0</v>
      </c>
      <c r="D27">
        <v>2049</v>
      </c>
      <c r="E27">
        <v>2.8</v>
      </c>
      <c r="F27">
        <v>7.72</v>
      </c>
      <c r="G27">
        <v>14.6</v>
      </c>
      <c r="I27" s="7">
        <f t="shared" si="1"/>
        <v>-4.2857142857142899E-2</v>
      </c>
      <c r="J27" s="7">
        <f t="shared" si="1"/>
        <v>-5.1813471502590719E-3</v>
      </c>
      <c r="K27" s="7">
        <f t="shared" si="1"/>
        <v>4.7945205479452248E-3</v>
      </c>
    </row>
    <row r="28" spans="1:11" x14ac:dyDescent="0.55000000000000004">
      <c r="A28">
        <v>9678</v>
      </c>
      <c r="B28">
        <v>10000</v>
      </c>
      <c r="C28">
        <v>0</v>
      </c>
      <c r="D28">
        <v>2050</v>
      </c>
      <c r="E28">
        <v>2.75</v>
      </c>
      <c r="F28">
        <v>7.69</v>
      </c>
      <c r="G28">
        <v>14.74</v>
      </c>
      <c r="I28" s="7">
        <f t="shared" si="1"/>
        <v>-1.8181818181818118E-2</v>
      </c>
      <c r="J28" s="7">
        <f t="shared" si="1"/>
        <v>-3.9011703511052484E-3</v>
      </c>
      <c r="K28" s="7">
        <f t="shared" si="1"/>
        <v>9.4979647218453572E-3</v>
      </c>
    </row>
    <row r="29" spans="1:11" x14ac:dyDescent="0.55000000000000004">
      <c r="A29">
        <v>10043</v>
      </c>
      <c r="B29">
        <v>10000</v>
      </c>
      <c r="C29">
        <v>0</v>
      </c>
      <c r="D29">
        <v>2051</v>
      </c>
      <c r="E29">
        <v>2.7</v>
      </c>
      <c r="F29">
        <v>7.73</v>
      </c>
      <c r="G29">
        <v>14.95</v>
      </c>
      <c r="I29" s="7">
        <f t="shared" si="1"/>
        <v>-1.8518518518518452E-2</v>
      </c>
      <c r="J29" s="7">
        <f t="shared" si="1"/>
        <v>5.1746442432082833E-3</v>
      </c>
      <c r="K29" s="7">
        <f t="shared" si="1"/>
        <v>1.4046822742474855E-2</v>
      </c>
    </row>
    <row r="30" spans="1:11" x14ac:dyDescent="0.55000000000000004">
      <c r="A30">
        <v>10408</v>
      </c>
      <c r="B30">
        <v>10000</v>
      </c>
      <c r="C30">
        <v>0</v>
      </c>
      <c r="D30">
        <v>2052</v>
      </c>
      <c r="E30">
        <v>2.58</v>
      </c>
      <c r="F30">
        <v>7.59</v>
      </c>
      <c r="G30">
        <v>14.76</v>
      </c>
      <c r="I30" s="7">
        <f t="shared" si="1"/>
        <v>-4.6511627906976785E-2</v>
      </c>
      <c r="J30" s="7">
        <f t="shared" si="1"/>
        <v>-1.8445322793148956E-2</v>
      </c>
      <c r="K30" s="7">
        <f t="shared" si="1"/>
        <v>-1.2872628726287229E-2</v>
      </c>
    </row>
    <row r="31" spans="1:11" x14ac:dyDescent="0.55000000000000004">
      <c r="A31">
        <v>10773</v>
      </c>
      <c r="B31">
        <v>10000</v>
      </c>
      <c r="C31">
        <v>0</v>
      </c>
      <c r="D31">
        <v>2053</v>
      </c>
      <c r="E31">
        <v>2.56</v>
      </c>
      <c r="F31">
        <v>7.6</v>
      </c>
      <c r="G31">
        <v>14.84</v>
      </c>
      <c r="I31" s="7">
        <f t="shared" si="1"/>
        <v>-7.8125000000000069E-3</v>
      </c>
      <c r="J31" s="7">
        <f t="shared" si="1"/>
        <v>1.3157894736841825E-3</v>
      </c>
      <c r="K31" s="7">
        <f t="shared" si="1"/>
        <v>5.3908355795148294E-3</v>
      </c>
    </row>
    <row r="32" spans="1:11" x14ac:dyDescent="0.55000000000000004">
      <c r="A32">
        <v>11138</v>
      </c>
      <c r="B32">
        <v>10000</v>
      </c>
      <c r="C32">
        <v>0</v>
      </c>
      <c r="D32">
        <v>2054</v>
      </c>
      <c r="E32">
        <v>2.4500000000000002</v>
      </c>
      <c r="F32">
        <v>7.59</v>
      </c>
      <c r="G32">
        <v>15.03</v>
      </c>
      <c r="I32" s="7">
        <f t="shared" si="1"/>
        <v>-4.4897959183673418E-2</v>
      </c>
      <c r="J32" s="7">
        <f t="shared" si="1"/>
        <v>-1.3175230566534633E-3</v>
      </c>
      <c r="K32" s="7">
        <f t="shared" si="1"/>
        <v>1.2641383898868897E-2</v>
      </c>
    </row>
    <row r="33" spans="1:11" x14ac:dyDescent="0.55000000000000004">
      <c r="A33">
        <v>11503</v>
      </c>
      <c r="B33">
        <v>10000</v>
      </c>
      <c r="C33">
        <v>0</v>
      </c>
      <c r="D33">
        <v>2055</v>
      </c>
      <c r="E33">
        <v>2.4</v>
      </c>
      <c r="F33">
        <v>7.54</v>
      </c>
      <c r="G33">
        <v>14.99</v>
      </c>
      <c r="I33" s="7">
        <f t="shared" si="1"/>
        <v>-2.0833333333333447E-2</v>
      </c>
      <c r="J33" s="7">
        <f t="shared" si="1"/>
        <v>-6.6312997347479866E-3</v>
      </c>
      <c r="K33" s="7">
        <f t="shared" si="1"/>
        <v>-2.6684456304202232E-3</v>
      </c>
    </row>
    <row r="34" spans="1:11" x14ac:dyDescent="0.55000000000000004">
      <c r="A34">
        <v>11868</v>
      </c>
      <c r="B34">
        <v>10000</v>
      </c>
      <c r="C34">
        <v>0</v>
      </c>
      <c r="D34">
        <v>2056</v>
      </c>
      <c r="E34">
        <v>2.2999999999999998</v>
      </c>
      <c r="F34">
        <v>7.47</v>
      </c>
      <c r="G34">
        <v>14.98</v>
      </c>
      <c r="I34" s="7">
        <f t="shared" si="1"/>
        <v>-4.3478260869565258E-2</v>
      </c>
      <c r="J34" s="7">
        <f t="shared" si="1"/>
        <v>-9.3708165997323008E-3</v>
      </c>
      <c r="K34" s="7">
        <f t="shared" si="1"/>
        <v>-6.6755674232308324E-4</v>
      </c>
    </row>
    <row r="35" spans="1:11" x14ac:dyDescent="0.55000000000000004">
      <c r="A35">
        <v>12233</v>
      </c>
      <c r="B35">
        <v>10000</v>
      </c>
      <c r="C35">
        <v>0</v>
      </c>
      <c r="D35">
        <v>2057</v>
      </c>
      <c r="E35">
        <v>2.2799999999999998</v>
      </c>
      <c r="F35">
        <v>7.45</v>
      </c>
      <c r="G35">
        <v>14.94</v>
      </c>
      <c r="I35" s="7">
        <f t="shared" si="1"/>
        <v>-8.7719298245614117E-3</v>
      </c>
      <c r="J35" s="7">
        <f t="shared" si="1"/>
        <v>-2.6845637583892044E-3</v>
      </c>
      <c r="K35" s="7">
        <f t="shared" si="1"/>
        <v>-2.6773761713521369E-3</v>
      </c>
    </row>
    <row r="36" spans="1:11" x14ac:dyDescent="0.55000000000000004">
      <c r="A36">
        <v>12598</v>
      </c>
      <c r="B36">
        <v>10000</v>
      </c>
      <c r="C36">
        <v>0</v>
      </c>
      <c r="D36">
        <v>2058</v>
      </c>
      <c r="E36">
        <v>2.2000000000000002</v>
      </c>
      <c r="F36">
        <v>7.42</v>
      </c>
      <c r="G36">
        <v>15.12</v>
      </c>
      <c r="I36" s="7">
        <f t="shared" si="1"/>
        <v>-3.6363636363636188E-2</v>
      </c>
      <c r="J36" s="7">
        <f t="shared" si="1"/>
        <v>-4.0431266846361518E-3</v>
      </c>
      <c r="K36" s="7">
        <f t="shared" si="1"/>
        <v>1.1904761904761887E-2</v>
      </c>
    </row>
    <row r="37" spans="1:11" x14ac:dyDescent="0.55000000000000004">
      <c r="A37">
        <v>12963</v>
      </c>
      <c r="B37">
        <v>10000</v>
      </c>
      <c r="C37">
        <v>0</v>
      </c>
      <c r="D37">
        <v>2059</v>
      </c>
      <c r="E37">
        <v>2.19</v>
      </c>
      <c r="F37">
        <v>7.49</v>
      </c>
      <c r="G37">
        <v>15.42</v>
      </c>
      <c r="I37" s="7">
        <f t="shared" si="1"/>
        <v>-4.566210045662206E-3</v>
      </c>
      <c r="J37" s="7">
        <f t="shared" si="1"/>
        <v>9.345794392523402E-3</v>
      </c>
      <c r="K37" s="7">
        <f t="shared" si="1"/>
        <v>1.9455252918287983E-2</v>
      </c>
    </row>
    <row r="38" spans="1:11" x14ac:dyDescent="0.55000000000000004">
      <c r="A38">
        <v>13328</v>
      </c>
      <c r="B38">
        <v>10000</v>
      </c>
      <c r="C38">
        <v>0</v>
      </c>
      <c r="D38">
        <v>2060</v>
      </c>
      <c r="E38">
        <v>2.13</v>
      </c>
      <c r="F38">
        <v>7.49</v>
      </c>
      <c r="G38">
        <v>15.53</v>
      </c>
      <c r="I38" s="7">
        <f t="shared" si="1"/>
        <v>-2.8169014084507067E-2</v>
      </c>
      <c r="J38" s="7">
        <f t="shared" si="1"/>
        <v>0</v>
      </c>
      <c r="K38" s="7">
        <f t="shared" si="1"/>
        <v>7.0830650354152891E-3</v>
      </c>
    </row>
    <row r="39" spans="1:11" x14ac:dyDescent="0.55000000000000004">
      <c r="A39">
        <v>13693</v>
      </c>
      <c r="B39">
        <v>10000</v>
      </c>
      <c r="C39">
        <v>0</v>
      </c>
      <c r="D39">
        <v>2061</v>
      </c>
      <c r="E39">
        <v>2.11</v>
      </c>
      <c r="F39">
        <v>7.46</v>
      </c>
      <c r="G39">
        <v>15.51</v>
      </c>
      <c r="I39" s="7">
        <f t="shared" si="1"/>
        <v>-9.4786729857819999E-3</v>
      </c>
      <c r="J39" s="7">
        <f t="shared" si="1"/>
        <v>-4.0214477211796577E-3</v>
      </c>
      <c r="K39" s="7">
        <f t="shared" si="1"/>
        <v>-1.2894906511927513E-3</v>
      </c>
    </row>
    <row r="40" spans="1:11" x14ac:dyDescent="0.55000000000000004">
      <c r="A40">
        <v>14058</v>
      </c>
      <c r="B40">
        <v>10000</v>
      </c>
      <c r="C40">
        <v>0</v>
      </c>
      <c r="D40">
        <v>2062</v>
      </c>
      <c r="E40">
        <v>2</v>
      </c>
      <c r="F40">
        <v>7.45</v>
      </c>
      <c r="G40">
        <v>15.68</v>
      </c>
      <c r="I40" s="7">
        <f t="shared" si="1"/>
        <v>-5.4999999999999938E-2</v>
      </c>
      <c r="J40" s="7">
        <f t="shared" si="1"/>
        <v>-1.3422818791946022E-3</v>
      </c>
      <c r="K40" s="7">
        <f t="shared" si="1"/>
        <v>1.0841836734693874E-2</v>
      </c>
    </row>
    <row r="41" spans="1:11" x14ac:dyDescent="0.55000000000000004">
      <c r="A41">
        <v>14423</v>
      </c>
      <c r="B41">
        <v>10000</v>
      </c>
      <c r="C41">
        <v>0</v>
      </c>
      <c r="D41">
        <v>2063</v>
      </c>
      <c r="E41">
        <v>1.98</v>
      </c>
      <c r="F41">
        <v>7.37</v>
      </c>
      <c r="G41">
        <v>15.57</v>
      </c>
      <c r="I41" s="7">
        <f t="shared" si="1"/>
        <v>-1.0101010101010111E-2</v>
      </c>
      <c r="J41" s="7">
        <f t="shared" si="1"/>
        <v>-1.0854816824966088E-2</v>
      </c>
      <c r="K41" s="7">
        <f t="shared" si="1"/>
        <v>-7.0648683365446005E-3</v>
      </c>
    </row>
    <row r="42" spans="1:11" x14ac:dyDescent="0.55000000000000004">
      <c r="I42" s="7"/>
      <c r="J42" s="7"/>
      <c r="K42" s="7"/>
    </row>
    <row r="43" spans="1:11" x14ac:dyDescent="0.55000000000000004">
      <c r="I43" s="47">
        <f>AVERAGE(I3:I41)</f>
        <v>-3.4651373240837065E-2</v>
      </c>
      <c r="J43" s="47">
        <f t="shared" ref="J43:K43" si="2">AVERAGE(J3:J41)</f>
        <v>-3.2850254268852151E-3</v>
      </c>
      <c r="K43" s="47">
        <f t="shared" si="2"/>
        <v>1.2838796086575489E-2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508C-A897-4A0B-A34E-775B822F9D1C}">
  <dimension ref="A1:X47"/>
  <sheetViews>
    <sheetView workbookViewId="0">
      <selection activeCell="Q33" sqref="Q33"/>
    </sheetView>
  </sheetViews>
  <sheetFormatPr defaultRowHeight="14.4" x14ac:dyDescent="0.55000000000000004"/>
  <cols>
    <col min="2" max="2" width="3.20703125" customWidth="1"/>
    <col min="4" max="4" width="11.5234375" bestFit="1" customWidth="1"/>
    <col min="5" max="5" width="11.5234375" customWidth="1"/>
    <col min="6" max="6" width="11.5234375" bestFit="1" customWidth="1"/>
    <col min="7" max="7" width="7.62890625" bestFit="1" customWidth="1"/>
    <col min="8" max="8" width="10.15625" bestFit="1" customWidth="1"/>
    <col min="9" max="9" width="4.3671875" customWidth="1"/>
    <col min="11" max="11" width="11.15625" bestFit="1" customWidth="1"/>
    <col min="12" max="12" width="9.734375" bestFit="1" customWidth="1"/>
    <col min="13" max="13" width="11.5234375" bestFit="1" customWidth="1"/>
    <col min="14" max="14" width="7.62890625" bestFit="1" customWidth="1"/>
    <col min="15" max="15" width="10.15625" bestFit="1" customWidth="1"/>
    <col min="16" max="16" width="6.05078125" customWidth="1"/>
    <col min="18" max="18" width="11.15625" bestFit="1" customWidth="1"/>
    <col min="19" max="19" width="9.734375" bestFit="1" customWidth="1"/>
    <col min="20" max="20" width="11.15625" bestFit="1" customWidth="1"/>
    <col min="21" max="21" width="7.62890625" bestFit="1" customWidth="1"/>
    <col min="22" max="22" width="10.15625" bestFit="1" customWidth="1"/>
  </cols>
  <sheetData>
    <row r="1" spans="1:24" x14ac:dyDescent="0.55000000000000004">
      <c r="A1" s="49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X1" s="6"/>
    </row>
    <row r="2" spans="1:24" ht="14.7" thickBot="1" x14ac:dyDescent="0.6">
      <c r="X2" s="6"/>
    </row>
    <row r="3" spans="1:24" x14ac:dyDescent="0.55000000000000004">
      <c r="C3" s="51" t="s">
        <v>31</v>
      </c>
      <c r="D3" s="52"/>
      <c r="E3" s="52"/>
      <c r="F3" s="53"/>
      <c r="G3" s="20" t="s">
        <v>37</v>
      </c>
      <c r="H3" s="20" t="s">
        <v>40</v>
      </c>
      <c r="J3" s="51" t="s">
        <v>32</v>
      </c>
      <c r="K3" s="52"/>
      <c r="L3" s="52"/>
      <c r="M3" s="53"/>
      <c r="N3" s="20" t="s">
        <v>37</v>
      </c>
      <c r="O3" s="20" t="s">
        <v>41</v>
      </c>
      <c r="Q3" s="51" t="s">
        <v>33</v>
      </c>
      <c r="R3" s="52"/>
      <c r="S3" s="52"/>
      <c r="T3" s="53"/>
      <c r="U3" s="20" t="s">
        <v>37</v>
      </c>
      <c r="V3" s="20" t="s">
        <v>41</v>
      </c>
      <c r="X3" s="6"/>
    </row>
    <row r="4" spans="1:24" s="10" customFormat="1" x14ac:dyDescent="0.55000000000000004">
      <c r="A4" s="10" t="str">
        <f>[1]MCSummary!$D$1</f>
        <v>Year</v>
      </c>
      <c r="B4"/>
      <c r="C4" s="17" t="str">
        <f>[1]MCSummary!$I$1</f>
        <v>5Per</v>
      </c>
      <c r="D4" s="18" t="s">
        <v>35</v>
      </c>
      <c r="E4" s="18" t="s">
        <v>30</v>
      </c>
      <c r="F4" s="19" t="s">
        <v>6</v>
      </c>
      <c r="G4" s="18"/>
      <c r="H4" s="18"/>
      <c r="J4" s="17" t="str">
        <f>[1]MCSummary!$J$1</f>
        <v>Mean</v>
      </c>
      <c r="K4" s="18" t="s">
        <v>35</v>
      </c>
      <c r="L4" s="18" t="s">
        <v>30</v>
      </c>
      <c r="M4" s="19" t="s">
        <v>6</v>
      </c>
      <c r="N4" s="18"/>
      <c r="O4" s="18"/>
      <c r="Q4" s="17" t="str">
        <f>[1]MCSummary!$K$1</f>
        <v>95Per</v>
      </c>
      <c r="R4" s="18" t="s">
        <v>35</v>
      </c>
      <c r="S4" s="18" t="s">
        <v>30</v>
      </c>
      <c r="T4" s="19" t="s">
        <v>6</v>
      </c>
      <c r="U4" s="18"/>
      <c r="V4" s="18"/>
    </row>
    <row r="5" spans="1:24" ht="14.7" thickBot="1" x14ac:dyDescent="0.6">
      <c r="A5" s="9">
        <f>'VTSMX-MCSummary'!D2</f>
        <v>2024</v>
      </c>
      <c r="C5" s="13">
        <f>'VTSMX-MCSummary'!I2</f>
        <v>-0.17155451601295424</v>
      </c>
      <c r="D5" s="12">
        <f>StartingPortfolio*VTSMX_AAP</f>
        <v>50000</v>
      </c>
      <c r="E5" s="12">
        <f>FirstJob_AnnualIncome*FirstJob_TargetSavingsPercent*VTSMX_AAP</f>
        <v>15000</v>
      </c>
      <c r="F5" s="14">
        <f>(D5+E5)*(1+C5)</f>
        <v>53848.956459157976</v>
      </c>
      <c r="G5" s="21" t="str">
        <f t="shared" ref="G5:G44" si="0">IF((F5-FinancialGoal)&gt;0,"Reached","")</f>
        <v/>
      </c>
      <c r="H5" s="21">
        <f>E5</f>
        <v>15000</v>
      </c>
      <c r="I5" s="7"/>
      <c r="J5" s="13">
        <f>'VTSMX-MCSummary'!I2</f>
        <v>-0.17155451601295424</v>
      </c>
      <c r="K5" s="12">
        <f>StartingPortfolio*VTSMX_AAP</f>
        <v>50000</v>
      </c>
      <c r="L5" s="12">
        <f>FirstJob_AnnualIncome*FirstJob_TargetSavingsPercent*VTSMX_AAP</f>
        <v>15000</v>
      </c>
      <c r="M5" s="14">
        <f>(K5+L5)*(1+J5)</f>
        <v>53848.956459157976</v>
      </c>
      <c r="N5" s="21" t="str">
        <f t="shared" ref="N5:N44" si="1">IF((M5-FinancialGoal)&gt;0,"Reached","")</f>
        <v/>
      </c>
      <c r="O5" s="21">
        <f>L5</f>
        <v>15000</v>
      </c>
      <c r="P5" s="7"/>
      <c r="Q5" s="13">
        <f>'VTSMX-MCSummary'!K2</f>
        <v>0.19823924151942385</v>
      </c>
      <c r="R5" s="12">
        <f>StartingPortfolio*VTSMX_AAP</f>
        <v>50000</v>
      </c>
      <c r="S5" s="12">
        <f>FirstJob_AnnualIncome*FirstJob_TargetSavingsPercent*VTSMX_AAP</f>
        <v>15000</v>
      </c>
      <c r="T5" s="14">
        <f>(R5+S5)*(1+Q5)</f>
        <v>77885.550698762556</v>
      </c>
      <c r="U5" s="21" t="str">
        <f t="shared" ref="U5:U44" si="2">IF((T5-FinancialGoal)&gt;0,"Reached","")</f>
        <v/>
      </c>
      <c r="V5" s="21">
        <f>S5</f>
        <v>15000</v>
      </c>
    </row>
    <row r="6" spans="1:24" ht="15" thickTop="1" thickBot="1" x14ac:dyDescent="0.6">
      <c r="A6" s="9">
        <f>'VTSMX-MCSummary'!D3</f>
        <v>2025</v>
      </c>
      <c r="C6" s="13">
        <f>'VTSMX-MCSummary'!I3</f>
        <v>-8.1638610489442459E-2</v>
      </c>
      <c r="D6" s="12">
        <f>F5</f>
        <v>53848.956459157976</v>
      </c>
      <c r="E6" s="12">
        <f t="shared" ref="E6:E44" si="3">E5*(1+FirstJob_IncomeYrlyIncrease)</f>
        <v>16500</v>
      </c>
      <c r="F6" s="14">
        <f t="shared" ref="F6:F44" si="4">(D6+E6)*(1+C6)</f>
        <v>64605.765404450038</v>
      </c>
      <c r="G6" s="21" t="str">
        <f t="shared" si="0"/>
        <v/>
      </c>
      <c r="H6" s="21">
        <f>H5+E6</f>
        <v>31500</v>
      </c>
      <c r="I6" s="5"/>
      <c r="J6" s="13">
        <f>'VTSMX-MCSummary'!I3</f>
        <v>-8.1638610489442459E-2</v>
      </c>
      <c r="K6" s="12">
        <f>M5</f>
        <v>53848.956459157976</v>
      </c>
      <c r="L6" s="12">
        <f t="shared" ref="L6:L44" si="5">L5*(1+FirstJob_IncomeYrlyIncrease)</f>
        <v>16500</v>
      </c>
      <c r="M6" s="14">
        <f>(K6+L6)*(1+J6)</f>
        <v>64605.765404450038</v>
      </c>
      <c r="N6" s="21" t="str">
        <f t="shared" si="1"/>
        <v/>
      </c>
      <c r="O6" s="21">
        <f>L6+O5</f>
        <v>31500</v>
      </c>
      <c r="P6" s="5"/>
      <c r="Q6" s="13">
        <f>'VTSMX-MCSummary'!K3</f>
        <v>0.18298878326039936</v>
      </c>
      <c r="R6" s="12">
        <f>T5</f>
        <v>77885.550698762556</v>
      </c>
      <c r="S6" s="12">
        <f t="shared" ref="S6:S44" si="6">S5*(1+FirstJob_IncomeYrlyIncrease)</f>
        <v>16500</v>
      </c>
      <c r="T6" s="14">
        <f>(R6+S6)*(1+Q6)</f>
        <v>111657.04777849185</v>
      </c>
      <c r="U6" s="21" t="str">
        <f t="shared" si="2"/>
        <v/>
      </c>
      <c r="V6" s="21">
        <f>S6+V5</f>
        <v>31500</v>
      </c>
    </row>
    <row r="7" spans="1:24" ht="15" thickTop="1" thickBot="1" x14ac:dyDescent="0.6">
      <c r="A7" s="9">
        <f>'VTSMX-MCSummary'!D4</f>
        <v>2026</v>
      </c>
      <c r="C7" s="13">
        <f>'VTSMX-MCSummary'!I4</f>
        <v>-4.3032578909976603E-2</v>
      </c>
      <c r="D7" s="12">
        <f t="shared" ref="D7:D44" si="7">F6</f>
        <v>64605.765404450038</v>
      </c>
      <c r="E7" s="12">
        <f t="shared" si="3"/>
        <v>18150</v>
      </c>
      <c r="F7" s="14">
        <f t="shared" si="4"/>
        <v>79194.571399427528</v>
      </c>
      <c r="G7" s="21" t="str">
        <f t="shared" si="0"/>
        <v/>
      </c>
      <c r="H7" s="21">
        <f t="shared" ref="H7:H44" si="8">H6+E7</f>
        <v>49650</v>
      </c>
      <c r="I7" s="5"/>
      <c r="J7" s="13">
        <f>'VTSMX-MCSummary'!I4</f>
        <v>-4.3032578909976603E-2</v>
      </c>
      <c r="K7" s="12">
        <f t="shared" ref="K7:K44" si="9">M6</f>
        <v>64605.765404450038</v>
      </c>
      <c r="L7" s="12">
        <f t="shared" si="5"/>
        <v>18150</v>
      </c>
      <c r="M7" s="14">
        <f t="shared" ref="M7:M44" si="10">(K7+L7)*(1+J7)</f>
        <v>79194.571399427528</v>
      </c>
      <c r="N7" s="21" t="str">
        <f t="shared" si="1"/>
        <v/>
      </c>
      <c r="O7" s="21">
        <f t="shared" ref="O7:O44" si="11">L7+O6</f>
        <v>49650</v>
      </c>
      <c r="P7" s="5"/>
      <c r="Q7" s="13">
        <f>'VTSMX-MCSummary'!K4</f>
        <v>0.14068983402489629</v>
      </c>
      <c r="R7" s="12">
        <f t="shared" ref="R7:R44" si="12">T6</f>
        <v>111657.04777849185</v>
      </c>
      <c r="S7" s="12">
        <f t="shared" si="6"/>
        <v>18150</v>
      </c>
      <c r="T7" s="14">
        <f t="shared" ref="T7:T44" si="13">(R7+S7)*(1+Q7)</f>
        <v>148069.57978570965</v>
      </c>
      <c r="U7" s="21" t="str">
        <f t="shared" si="2"/>
        <v/>
      </c>
      <c r="V7" s="21">
        <f t="shared" ref="V7:V44" si="14">S7+V6</f>
        <v>49650</v>
      </c>
    </row>
    <row r="8" spans="1:24" ht="15" thickTop="1" thickBot="1" x14ac:dyDescent="0.6">
      <c r="A8" s="9">
        <f>'VTSMX-MCSummary'!D5</f>
        <v>2027</v>
      </c>
      <c r="C8" s="13">
        <f>'VTSMX-MCSummary'!I5</f>
        <v>-2.4539877300613491E-2</v>
      </c>
      <c r="D8" s="12">
        <f t="shared" si="7"/>
        <v>79194.571399427528</v>
      </c>
      <c r="E8" s="12">
        <f t="shared" si="3"/>
        <v>19965</v>
      </c>
      <c r="F8" s="14">
        <f t="shared" si="4"/>
        <v>96726.207684104156</v>
      </c>
      <c r="G8" s="21" t="str">
        <f t="shared" si="0"/>
        <v/>
      </c>
      <c r="H8" s="21">
        <f t="shared" si="8"/>
        <v>69615</v>
      </c>
      <c r="I8" s="5"/>
      <c r="J8" s="13">
        <f>'VTSMX-MCSummary'!I5</f>
        <v>-2.4539877300613491E-2</v>
      </c>
      <c r="K8" s="12">
        <f t="shared" si="9"/>
        <v>79194.571399427528</v>
      </c>
      <c r="L8" s="12">
        <f t="shared" si="5"/>
        <v>19965</v>
      </c>
      <c r="M8" s="14">
        <f t="shared" si="10"/>
        <v>96726.207684104156</v>
      </c>
      <c r="N8" s="21" t="str">
        <f t="shared" si="1"/>
        <v/>
      </c>
      <c r="O8" s="21">
        <f t="shared" si="11"/>
        <v>69615</v>
      </c>
      <c r="P8" s="5"/>
      <c r="Q8" s="13">
        <f>'VTSMX-MCSummary'!K5</f>
        <v>0.13315848632446597</v>
      </c>
      <c r="R8" s="12">
        <f t="shared" si="12"/>
        <v>148069.57978570965</v>
      </c>
      <c r="S8" s="12">
        <f t="shared" si="6"/>
        <v>19965</v>
      </c>
      <c r="T8" s="14">
        <f t="shared" si="13"/>
        <v>190409.81008014243</v>
      </c>
      <c r="U8" s="21" t="str">
        <f t="shared" si="2"/>
        <v/>
      </c>
      <c r="V8" s="21">
        <f t="shared" si="14"/>
        <v>69615</v>
      </c>
    </row>
    <row r="9" spans="1:24" ht="15" thickTop="1" thickBot="1" x14ac:dyDescent="0.6">
      <c r="A9" s="9">
        <f>'VTSMX-MCSummary'!D6</f>
        <v>2028</v>
      </c>
      <c r="C9" s="13">
        <f>'VTSMX-MCSummary'!I6</f>
        <v>-5.2018310445273782E-4</v>
      </c>
      <c r="D9" s="12">
        <f t="shared" si="7"/>
        <v>96726.207684104156</v>
      </c>
      <c r="E9" s="12">
        <f t="shared" si="3"/>
        <v>21961.5</v>
      </c>
      <c r="F9" s="14">
        <f t="shared" si="4"/>
        <v>118625.96834386066</v>
      </c>
      <c r="G9" s="21" t="str">
        <f t="shared" si="0"/>
        <v/>
      </c>
      <c r="H9" s="21">
        <f t="shared" si="8"/>
        <v>91576.5</v>
      </c>
      <c r="I9" s="5"/>
      <c r="J9" s="13">
        <f>'VTSMX-MCSummary'!I6</f>
        <v>-5.2018310445273782E-4</v>
      </c>
      <c r="K9" s="12">
        <f t="shared" si="9"/>
        <v>96726.207684104156</v>
      </c>
      <c r="L9" s="12">
        <f t="shared" si="5"/>
        <v>21961.5</v>
      </c>
      <c r="M9" s="14">
        <f t="shared" si="10"/>
        <v>118625.96834386066</v>
      </c>
      <c r="N9" s="21" t="str">
        <f t="shared" si="1"/>
        <v/>
      </c>
      <c r="O9" s="21">
        <f t="shared" si="11"/>
        <v>91576.5</v>
      </c>
      <c r="P9" s="5"/>
      <c r="Q9" s="13">
        <f>'VTSMX-MCSummary'!K6</f>
        <v>0.13394769290674291</v>
      </c>
      <c r="R9" s="12">
        <f t="shared" si="12"/>
        <v>190409.81008014243</v>
      </c>
      <c r="S9" s="12">
        <f t="shared" si="6"/>
        <v>21961.5</v>
      </c>
      <c r="T9" s="14">
        <f t="shared" si="13"/>
        <v>240817.95710496002</v>
      </c>
      <c r="U9" s="21" t="str">
        <f t="shared" si="2"/>
        <v/>
      </c>
      <c r="V9" s="21">
        <f t="shared" si="14"/>
        <v>91576.5</v>
      </c>
    </row>
    <row r="10" spans="1:24" ht="15" thickTop="1" thickBot="1" x14ac:dyDescent="0.6">
      <c r="A10" s="9">
        <f>'VTSMX-MCSummary'!D7</f>
        <v>2029</v>
      </c>
      <c r="C10" s="13">
        <f>'VTSMX-MCSummary'!I7</f>
        <v>-1.3603290098070297E-2</v>
      </c>
      <c r="D10" s="12">
        <f t="shared" si="7"/>
        <v>118625.96834386066</v>
      </c>
      <c r="E10" s="12">
        <f t="shared" si="3"/>
        <v>24157.65</v>
      </c>
      <c r="F10" s="14">
        <f t="shared" si="4"/>
        <v>140841.29136227697</v>
      </c>
      <c r="G10" s="21" t="str">
        <f t="shared" si="0"/>
        <v/>
      </c>
      <c r="H10" s="21">
        <f t="shared" si="8"/>
        <v>115734.15</v>
      </c>
      <c r="I10" s="5"/>
      <c r="J10" s="13">
        <f>'VTSMX-MCSummary'!I7</f>
        <v>-1.3603290098070297E-2</v>
      </c>
      <c r="K10" s="12">
        <f t="shared" si="9"/>
        <v>118625.96834386066</v>
      </c>
      <c r="L10" s="12">
        <f t="shared" si="5"/>
        <v>24157.65</v>
      </c>
      <c r="M10" s="14">
        <f t="shared" si="10"/>
        <v>140841.29136227697</v>
      </c>
      <c r="N10" s="21" t="str">
        <f t="shared" si="1"/>
        <v/>
      </c>
      <c r="O10" s="21">
        <f t="shared" si="11"/>
        <v>115734.15</v>
      </c>
      <c r="P10" s="5"/>
      <c r="Q10" s="13">
        <f>'VTSMX-MCSummary'!K7</f>
        <v>0.10470048224972406</v>
      </c>
      <c r="R10" s="12">
        <f t="shared" si="12"/>
        <v>240817.95710496002</v>
      </c>
      <c r="S10" s="12">
        <f t="shared" si="6"/>
        <v>24157.65</v>
      </c>
      <c r="T10" s="14">
        <f t="shared" si="13"/>
        <v>292718.68095326272</v>
      </c>
      <c r="U10" s="21" t="str">
        <f t="shared" si="2"/>
        <v/>
      </c>
      <c r="V10" s="21">
        <f t="shared" si="14"/>
        <v>115734.15</v>
      </c>
    </row>
    <row r="11" spans="1:24" ht="15" thickTop="1" thickBot="1" x14ac:dyDescent="0.6">
      <c r="A11" s="9">
        <f>'VTSMX-MCSummary'!D8</f>
        <v>2030</v>
      </c>
      <c r="C11" s="13">
        <f>'VTSMX-MCSummary'!I8</f>
        <v>-4.6615107532577364E-3</v>
      </c>
      <c r="D11" s="12">
        <f t="shared" si="7"/>
        <v>140841.29136227697</v>
      </c>
      <c r="E11" s="12">
        <f t="shared" si="3"/>
        <v>26573.415000000005</v>
      </c>
      <c r="F11" s="14">
        <f t="shared" si="4"/>
        <v>166634.30090831575</v>
      </c>
      <c r="G11" s="21" t="str">
        <f t="shared" si="0"/>
        <v/>
      </c>
      <c r="H11" s="21">
        <f t="shared" si="8"/>
        <v>142307.565</v>
      </c>
      <c r="I11" s="5"/>
      <c r="J11" s="13">
        <f>'VTSMX-MCSummary'!I8</f>
        <v>-4.6615107532577364E-3</v>
      </c>
      <c r="K11" s="12">
        <f t="shared" si="9"/>
        <v>140841.29136227697</v>
      </c>
      <c r="L11" s="12">
        <f t="shared" si="5"/>
        <v>26573.415000000005</v>
      </c>
      <c r="M11" s="14">
        <f t="shared" si="10"/>
        <v>166634.30090831575</v>
      </c>
      <c r="N11" s="21" t="str">
        <f t="shared" si="1"/>
        <v/>
      </c>
      <c r="O11" s="21">
        <f t="shared" si="11"/>
        <v>142307.565</v>
      </c>
      <c r="P11" s="5"/>
      <c r="Q11" s="13">
        <f>'VTSMX-MCSummary'!K8</f>
        <v>0.11817599590111437</v>
      </c>
      <c r="R11" s="12">
        <f t="shared" si="12"/>
        <v>292718.68095326272</v>
      </c>
      <c r="S11" s="12">
        <f t="shared" si="6"/>
        <v>26573.415000000005</v>
      </c>
      <c r="T11" s="14">
        <f t="shared" si="13"/>
        <v>357024.75737589371</v>
      </c>
      <c r="U11" s="21" t="str">
        <f t="shared" si="2"/>
        <v/>
      </c>
      <c r="V11" s="21">
        <f t="shared" si="14"/>
        <v>142307.565</v>
      </c>
    </row>
    <row r="12" spans="1:24" ht="15" thickTop="1" thickBot="1" x14ac:dyDescent="0.6">
      <c r="A12" s="9">
        <f>'VTSMX-MCSummary'!D9</f>
        <v>2031</v>
      </c>
      <c r="C12" s="13">
        <f>'VTSMX-MCSummary'!I9</f>
        <v>-2.4426508071368307E-3</v>
      </c>
      <c r="D12" s="12">
        <f t="shared" si="7"/>
        <v>166634.30090831575</v>
      </c>
      <c r="E12" s="12">
        <f t="shared" si="3"/>
        <v>29230.756500000007</v>
      </c>
      <c r="F12" s="14">
        <f t="shared" si="4"/>
        <v>195386.62746774746</v>
      </c>
      <c r="G12" s="21" t="str">
        <f t="shared" si="0"/>
        <v/>
      </c>
      <c r="H12" s="21">
        <f t="shared" si="8"/>
        <v>171538.32150000002</v>
      </c>
      <c r="I12" s="5"/>
      <c r="J12" s="13">
        <f>'VTSMX-MCSummary'!I9</f>
        <v>-2.4426508071368307E-3</v>
      </c>
      <c r="K12" s="12">
        <f t="shared" si="9"/>
        <v>166634.30090831575</v>
      </c>
      <c r="L12" s="12">
        <f t="shared" si="5"/>
        <v>29230.756500000007</v>
      </c>
      <c r="M12" s="14">
        <f t="shared" si="10"/>
        <v>195386.62746774746</v>
      </c>
      <c r="N12" s="21" t="str">
        <f t="shared" si="1"/>
        <v/>
      </c>
      <c r="O12" s="21">
        <f t="shared" si="11"/>
        <v>171538.32150000002</v>
      </c>
      <c r="P12" s="5"/>
      <c r="Q12" s="13">
        <f>'VTSMX-MCSummary'!K9</f>
        <v>0.11011056651088558</v>
      </c>
      <c r="R12" s="12">
        <f t="shared" si="12"/>
        <v>357024.75737589371</v>
      </c>
      <c r="S12" s="12">
        <f t="shared" si="6"/>
        <v>29230.756500000007</v>
      </c>
      <c r="T12" s="14">
        <f t="shared" si="13"/>
        <v>428786.32732672157</v>
      </c>
      <c r="U12" s="21" t="str">
        <f t="shared" si="2"/>
        <v/>
      </c>
      <c r="V12" s="21">
        <f t="shared" si="14"/>
        <v>171538.32150000002</v>
      </c>
    </row>
    <row r="13" spans="1:24" ht="15" thickTop="1" thickBot="1" x14ac:dyDescent="0.6">
      <c r="A13" s="9">
        <f>'VTSMX-MCSummary'!D10</f>
        <v>2032</v>
      </c>
      <c r="C13" s="13">
        <f>'VTSMX-MCSummary'!I10</f>
        <v>-3.9449834737177768E-3</v>
      </c>
      <c r="D13" s="12">
        <f t="shared" si="7"/>
        <v>195386.62746774746</v>
      </c>
      <c r="E13" s="12">
        <f t="shared" si="3"/>
        <v>32153.832150000009</v>
      </c>
      <c r="F13" s="14">
        <f t="shared" si="4"/>
        <v>226642.81626495332</v>
      </c>
      <c r="G13" s="21" t="str">
        <f t="shared" si="0"/>
        <v/>
      </c>
      <c r="H13" s="21">
        <f t="shared" si="8"/>
        <v>203692.15365000002</v>
      </c>
      <c r="I13" s="5"/>
      <c r="J13" s="13">
        <f>'VTSMX-MCSummary'!I10</f>
        <v>-3.9449834737177768E-3</v>
      </c>
      <c r="K13" s="12">
        <f t="shared" si="9"/>
        <v>195386.62746774746</v>
      </c>
      <c r="L13" s="12">
        <f t="shared" si="5"/>
        <v>32153.832150000009</v>
      </c>
      <c r="M13" s="14">
        <f t="shared" si="10"/>
        <v>226642.81626495332</v>
      </c>
      <c r="N13" s="21" t="str">
        <f t="shared" si="1"/>
        <v/>
      </c>
      <c r="O13" s="21">
        <f t="shared" si="11"/>
        <v>203692.15365000002</v>
      </c>
      <c r="P13" s="5"/>
      <c r="Q13" s="13">
        <f>'VTSMX-MCSummary'!K10</f>
        <v>0.11853950647054097</v>
      </c>
      <c r="R13" s="12">
        <f t="shared" si="12"/>
        <v>428786.32732672157</v>
      </c>
      <c r="S13" s="12">
        <f t="shared" si="6"/>
        <v>32153.832150000009</v>
      </c>
      <c r="T13" s="14">
        <f t="shared" si="13"/>
        <v>515579.77849354467</v>
      </c>
      <c r="U13" s="21" t="str">
        <f t="shared" si="2"/>
        <v/>
      </c>
      <c r="V13" s="21">
        <f t="shared" si="14"/>
        <v>203692.15365000002</v>
      </c>
    </row>
    <row r="14" spans="1:24" ht="15" thickTop="1" thickBot="1" x14ac:dyDescent="0.6">
      <c r="A14" s="9">
        <f>'VTSMX-MCSummary'!D11</f>
        <v>2033</v>
      </c>
      <c r="C14" s="13">
        <f>'VTSMX-MCSummary'!I11</f>
        <v>2.4462880238246094E-3</v>
      </c>
      <c r="D14" s="12">
        <f t="shared" si="7"/>
        <v>226642.81626495332</v>
      </c>
      <c r="E14" s="12">
        <f t="shared" si="3"/>
        <v>35369.215365000011</v>
      </c>
      <c r="F14" s="14">
        <f t="shared" si="4"/>
        <v>262652.98852502764</v>
      </c>
      <c r="G14" s="21" t="str">
        <f t="shared" si="0"/>
        <v/>
      </c>
      <c r="H14" s="21">
        <f t="shared" si="8"/>
        <v>239061.36901500003</v>
      </c>
      <c r="I14" s="5"/>
      <c r="J14" s="13">
        <f>'VTSMX-MCSummary'!I11</f>
        <v>2.4462880238246094E-3</v>
      </c>
      <c r="K14" s="12">
        <f t="shared" si="9"/>
        <v>226642.81626495332</v>
      </c>
      <c r="L14" s="12">
        <f t="shared" si="5"/>
        <v>35369.215365000011</v>
      </c>
      <c r="M14" s="14">
        <f t="shared" si="10"/>
        <v>262652.98852502764</v>
      </c>
      <c r="N14" s="21" t="str">
        <f t="shared" si="1"/>
        <v/>
      </c>
      <c r="O14" s="21">
        <f t="shared" si="11"/>
        <v>239061.36901500003</v>
      </c>
      <c r="P14" s="5"/>
      <c r="Q14" s="13">
        <f>'VTSMX-MCSummary'!K11</f>
        <v>0.10202461294164346</v>
      </c>
      <c r="R14" s="12">
        <f t="shared" si="12"/>
        <v>515579.77849354467</v>
      </c>
      <c r="S14" s="12">
        <f t="shared" si="6"/>
        <v>35369.215365000011</v>
      </c>
      <c r="T14" s="14">
        <f t="shared" si="13"/>
        <v>607159.35170755058</v>
      </c>
      <c r="U14" s="21" t="str">
        <f t="shared" si="2"/>
        <v/>
      </c>
      <c r="V14" s="21">
        <f t="shared" si="14"/>
        <v>239061.36901500003</v>
      </c>
    </row>
    <row r="15" spans="1:24" ht="15" thickTop="1" thickBot="1" x14ac:dyDescent="0.6">
      <c r="A15" s="9">
        <f>'VTSMX-MCSummary'!D12</f>
        <v>2034</v>
      </c>
      <c r="C15" s="13">
        <f>'VTSMX-MCSummary'!I12</f>
        <v>2.44031830238731E-3</v>
      </c>
      <c r="D15" s="12">
        <f t="shared" si="7"/>
        <v>262652.98852502764</v>
      </c>
      <c r="E15" s="12">
        <f t="shared" si="3"/>
        <v>38906.136901500016</v>
      </c>
      <c r="F15" s="14">
        <f t="shared" si="4"/>
        <v>302295.02567955793</v>
      </c>
      <c r="G15" s="21" t="str">
        <f t="shared" si="0"/>
        <v/>
      </c>
      <c r="H15" s="21">
        <f t="shared" si="8"/>
        <v>277967.50591650006</v>
      </c>
      <c r="I15" s="5"/>
      <c r="J15" s="13">
        <f>'VTSMX-MCSummary'!I12</f>
        <v>2.44031830238731E-3</v>
      </c>
      <c r="K15" s="12">
        <f t="shared" si="9"/>
        <v>262652.98852502764</v>
      </c>
      <c r="L15" s="12">
        <f t="shared" si="5"/>
        <v>38906.136901500016</v>
      </c>
      <c r="M15" s="14">
        <f t="shared" si="10"/>
        <v>302295.02567955793</v>
      </c>
      <c r="N15" s="21" t="str">
        <f t="shared" si="1"/>
        <v/>
      </c>
      <c r="O15" s="21">
        <f t="shared" si="11"/>
        <v>277967.50591650006</v>
      </c>
      <c r="P15" s="5"/>
      <c r="Q15" s="13">
        <f>'VTSMX-MCSummary'!K12</f>
        <v>0.10533877920023248</v>
      </c>
      <c r="R15" s="12">
        <f t="shared" si="12"/>
        <v>607159.35170755058</v>
      </c>
      <c r="S15" s="12">
        <f t="shared" si="6"/>
        <v>38906.136901500016</v>
      </c>
      <c r="T15" s="14">
        <f t="shared" si="13"/>
        <v>714121.23846252973</v>
      </c>
      <c r="U15" s="21" t="str">
        <f t="shared" si="2"/>
        <v/>
      </c>
      <c r="V15" s="21">
        <f t="shared" si="14"/>
        <v>277967.50591650006</v>
      </c>
    </row>
    <row r="16" spans="1:24" ht="15" thickTop="1" thickBot="1" x14ac:dyDescent="0.6">
      <c r="A16" s="9">
        <f>'VTSMX-MCSummary'!D13</f>
        <v>2035</v>
      </c>
      <c r="C16" s="13">
        <f>'VTSMX-MCSummary'!I13</f>
        <v>9.2504993167244354E-3</v>
      </c>
      <c r="D16" s="12">
        <f t="shared" si="7"/>
        <v>302295.02567955793</v>
      </c>
      <c r="E16" s="12">
        <f t="shared" si="3"/>
        <v>42796.750591650023</v>
      </c>
      <c r="F16" s="14">
        <f t="shared" si="4"/>
        <v>348284.04751181195</v>
      </c>
      <c r="G16" s="21" t="str">
        <f t="shared" si="0"/>
        <v/>
      </c>
      <c r="H16" s="21">
        <f t="shared" si="8"/>
        <v>320764.25650815008</v>
      </c>
      <c r="I16" s="5"/>
      <c r="J16" s="13">
        <f>'VTSMX-MCSummary'!I13</f>
        <v>9.2504993167244354E-3</v>
      </c>
      <c r="K16" s="12">
        <f t="shared" si="9"/>
        <v>302295.02567955793</v>
      </c>
      <c r="L16" s="12">
        <f t="shared" si="5"/>
        <v>42796.750591650023</v>
      </c>
      <c r="M16" s="14">
        <f t="shared" si="10"/>
        <v>348284.04751181195</v>
      </c>
      <c r="N16" s="21" t="str">
        <f t="shared" si="1"/>
        <v/>
      </c>
      <c r="O16" s="21">
        <f t="shared" si="11"/>
        <v>320764.25650815008</v>
      </c>
      <c r="P16" s="5"/>
      <c r="Q16" s="13">
        <f>'VTSMX-MCSummary'!K13</f>
        <v>9.3525916820323823E-2</v>
      </c>
      <c r="R16" s="12">
        <f t="shared" si="12"/>
        <v>714121.23846252973</v>
      </c>
      <c r="S16" s="12">
        <f t="shared" si="6"/>
        <v>42796.750591650023</v>
      </c>
      <c r="T16" s="14">
        <f t="shared" si="13"/>
        <v>827709.43793826771</v>
      </c>
      <c r="U16" s="21" t="str">
        <f t="shared" si="2"/>
        <v/>
      </c>
      <c r="V16" s="21">
        <f t="shared" si="14"/>
        <v>320764.25650815008</v>
      </c>
    </row>
    <row r="17" spans="1:22" ht="15" thickTop="1" thickBot="1" x14ac:dyDescent="0.6">
      <c r="A17" s="9">
        <f>'VTSMX-MCSummary'!D14</f>
        <v>2036</v>
      </c>
      <c r="C17" s="13">
        <f>'VTSMX-MCSummary'!I14</f>
        <v>1.7455071266267278E-2</v>
      </c>
      <c r="D17" s="12">
        <f t="shared" si="7"/>
        <v>348284.04751181195</v>
      </c>
      <c r="E17" s="12">
        <f t="shared" si="3"/>
        <v>47076.425650815028</v>
      </c>
      <c r="F17" s="14">
        <f t="shared" si="4"/>
        <v>402261.51839754579</v>
      </c>
      <c r="G17" s="21" t="str">
        <f t="shared" si="0"/>
        <v/>
      </c>
      <c r="H17" s="21">
        <f t="shared" si="8"/>
        <v>367840.68215896509</v>
      </c>
      <c r="I17" s="5"/>
      <c r="J17" s="13">
        <f>'VTSMX-MCSummary'!I14</f>
        <v>1.7455071266267278E-2</v>
      </c>
      <c r="K17" s="12">
        <f t="shared" si="9"/>
        <v>348284.04751181195</v>
      </c>
      <c r="L17" s="12">
        <f t="shared" si="5"/>
        <v>47076.425650815028</v>
      </c>
      <c r="M17" s="14">
        <f t="shared" si="10"/>
        <v>402261.51839754579</v>
      </c>
      <c r="N17" s="21" t="str">
        <f t="shared" si="1"/>
        <v/>
      </c>
      <c r="O17" s="21">
        <f t="shared" si="11"/>
        <v>367840.68215896509</v>
      </c>
      <c r="P17" s="5"/>
      <c r="Q17" s="13">
        <f>'VTSMX-MCSummary'!K14</f>
        <v>0.11582951634189889</v>
      </c>
      <c r="R17" s="12">
        <f t="shared" si="12"/>
        <v>827709.43793826771</v>
      </c>
      <c r="S17" s="12">
        <f t="shared" si="6"/>
        <v>47076.425650815028</v>
      </c>
      <c r="T17" s="14">
        <f t="shared" si="13"/>
        <v>976111.88707133662</v>
      </c>
      <c r="U17" s="21" t="str">
        <f t="shared" si="2"/>
        <v/>
      </c>
      <c r="V17" s="21">
        <f t="shared" si="14"/>
        <v>367840.68215896509</v>
      </c>
    </row>
    <row r="18" spans="1:22" ht="15" thickTop="1" thickBot="1" x14ac:dyDescent="0.6">
      <c r="A18" s="9">
        <f>'VTSMX-MCSummary'!D15</f>
        <v>2037</v>
      </c>
      <c r="C18" s="13">
        <f>'VTSMX-MCSummary'!I15</f>
        <v>5.8527569565664586E-3</v>
      </c>
      <c r="D18" s="12">
        <f t="shared" si="7"/>
        <v>402261.51839754579</v>
      </c>
      <c r="E18" s="12">
        <f t="shared" si="3"/>
        <v>51784.068215896536</v>
      </c>
      <c r="F18" s="14">
        <f t="shared" si="4"/>
        <v>456703.00507909246</v>
      </c>
      <c r="G18" s="21" t="str">
        <f t="shared" si="0"/>
        <v/>
      </c>
      <c r="H18" s="21">
        <f t="shared" si="8"/>
        <v>419624.75037486164</v>
      </c>
      <c r="I18" s="5"/>
      <c r="J18" s="13">
        <f>'VTSMX-MCSummary'!I15</f>
        <v>5.8527569565664586E-3</v>
      </c>
      <c r="K18" s="12">
        <f t="shared" si="9"/>
        <v>402261.51839754579</v>
      </c>
      <c r="L18" s="12">
        <f t="shared" si="5"/>
        <v>51784.068215896536</v>
      </c>
      <c r="M18" s="14">
        <f t="shared" si="10"/>
        <v>456703.00507909246</v>
      </c>
      <c r="N18" s="21" t="str">
        <f t="shared" si="1"/>
        <v/>
      </c>
      <c r="O18" s="21">
        <f t="shared" si="11"/>
        <v>419624.75037486164</v>
      </c>
      <c r="P18" s="5"/>
      <c r="Q18" s="13">
        <f>'VTSMX-MCSummary'!K15</f>
        <v>9.3227895626055976E-2</v>
      </c>
      <c r="R18" s="12">
        <f t="shared" si="12"/>
        <v>976111.88707133662</v>
      </c>
      <c r="S18" s="12">
        <f t="shared" si="6"/>
        <v>51784.068215896536</v>
      </c>
      <c r="T18" s="14">
        <f t="shared" si="13"/>
        <v>1123724.5321211964</v>
      </c>
      <c r="U18" s="21" t="str">
        <f t="shared" si="2"/>
        <v/>
      </c>
      <c r="V18" s="21">
        <f t="shared" si="14"/>
        <v>419624.75037486164</v>
      </c>
    </row>
    <row r="19" spans="1:22" ht="15" thickTop="1" thickBot="1" x14ac:dyDescent="0.6">
      <c r="A19" s="9">
        <f>'VTSMX-MCSummary'!D16</f>
        <v>2038</v>
      </c>
      <c r="C19" s="13">
        <f>'VTSMX-MCSummary'!I16</f>
        <v>-1.0269049086059885E-4</v>
      </c>
      <c r="D19" s="12">
        <f t="shared" si="7"/>
        <v>456703.00507909246</v>
      </c>
      <c r="E19" s="12">
        <f t="shared" si="3"/>
        <v>56962.475037486191</v>
      </c>
      <c r="F19" s="14">
        <f t="shared" si="4"/>
        <v>513612.73155628727</v>
      </c>
      <c r="G19" s="21" t="str">
        <f t="shared" si="0"/>
        <v/>
      </c>
      <c r="H19" s="21">
        <f t="shared" si="8"/>
        <v>476587.22541234782</v>
      </c>
      <c r="I19" s="5"/>
      <c r="J19" s="13">
        <f>'VTSMX-MCSummary'!I16</f>
        <v>-1.0269049086059885E-4</v>
      </c>
      <c r="K19" s="12">
        <f t="shared" si="9"/>
        <v>456703.00507909246</v>
      </c>
      <c r="L19" s="12">
        <f t="shared" si="5"/>
        <v>56962.475037486191</v>
      </c>
      <c r="M19" s="14">
        <f t="shared" si="10"/>
        <v>513612.73155628727</v>
      </c>
      <c r="N19" s="21" t="str">
        <f t="shared" si="1"/>
        <v/>
      </c>
      <c r="O19" s="21">
        <f t="shared" si="11"/>
        <v>476587.22541234782</v>
      </c>
      <c r="P19" s="5"/>
      <c r="Q19" s="13">
        <f>'VTSMX-MCSummary'!K16</f>
        <v>0.10368905901653126</v>
      </c>
      <c r="R19" s="12">
        <f t="shared" si="12"/>
        <v>1123724.5321211964</v>
      </c>
      <c r="S19" s="12">
        <f t="shared" si="6"/>
        <v>56962.475037486191</v>
      </c>
      <c r="T19" s="14">
        <f t="shared" si="13"/>
        <v>1303111.331924011</v>
      </c>
      <c r="U19" s="21" t="str">
        <f t="shared" si="2"/>
        <v/>
      </c>
      <c r="V19" s="21">
        <f t="shared" si="14"/>
        <v>476587.22541234782</v>
      </c>
    </row>
    <row r="20" spans="1:22" ht="15" thickTop="1" thickBot="1" x14ac:dyDescent="0.6">
      <c r="A20" s="9">
        <f>'VTSMX-MCSummary'!D17</f>
        <v>2039</v>
      </c>
      <c r="C20" s="13">
        <f>'VTSMX-MCSummary'!I17</f>
        <v>-1.0270103728038312E-4</v>
      </c>
      <c r="D20" s="12">
        <f t="shared" si="7"/>
        <v>513612.73155628727</v>
      </c>
      <c r="E20" s="12">
        <f t="shared" si="3"/>
        <v>62658.722541234813</v>
      </c>
      <c r="F20" s="14">
        <f t="shared" si="4"/>
        <v>576212.27042143117</v>
      </c>
      <c r="G20" s="21" t="str">
        <f t="shared" si="0"/>
        <v/>
      </c>
      <c r="H20" s="21">
        <f t="shared" si="8"/>
        <v>539245.94795358262</v>
      </c>
      <c r="I20" s="5"/>
      <c r="J20" s="13">
        <f>'VTSMX-MCSummary'!I17</f>
        <v>-1.0270103728038312E-4</v>
      </c>
      <c r="K20" s="12">
        <f t="shared" si="9"/>
        <v>513612.73155628727</v>
      </c>
      <c r="L20" s="12">
        <f t="shared" si="5"/>
        <v>62658.722541234813</v>
      </c>
      <c r="M20" s="14">
        <f t="shared" si="10"/>
        <v>576212.27042143117</v>
      </c>
      <c r="N20" s="21" t="str">
        <f t="shared" si="1"/>
        <v/>
      </c>
      <c r="O20" s="21">
        <f t="shared" si="11"/>
        <v>539245.94795358262</v>
      </c>
      <c r="P20" s="5"/>
      <c r="Q20" s="13">
        <f>'VTSMX-MCSummary'!K17</f>
        <v>0.11128971962616827</v>
      </c>
      <c r="R20" s="12">
        <f t="shared" si="12"/>
        <v>1303111.331924011</v>
      </c>
      <c r="S20" s="12">
        <f t="shared" si="6"/>
        <v>62658.722541234813</v>
      </c>
      <c r="T20" s="14">
        <f t="shared" si="13"/>
        <v>1517766.2209004995</v>
      </c>
      <c r="U20" s="21" t="str">
        <f t="shared" si="2"/>
        <v/>
      </c>
      <c r="V20" s="21">
        <f t="shared" si="14"/>
        <v>539245.94795358262</v>
      </c>
    </row>
    <row r="21" spans="1:22" ht="15" thickTop="1" thickBot="1" x14ac:dyDescent="0.6">
      <c r="A21" s="9">
        <f>'VTSMX-MCSummary'!D18</f>
        <v>2040</v>
      </c>
      <c r="C21" s="13">
        <f>'VTSMX-MCSummary'!I18</f>
        <v>1.35751190355586E-2</v>
      </c>
      <c r="D21" s="12">
        <f t="shared" si="7"/>
        <v>576212.27042143117</v>
      </c>
      <c r="E21" s="12">
        <f t="shared" si="3"/>
        <v>68924.594795358295</v>
      </c>
      <c r="F21" s="14">
        <f t="shared" si="4"/>
        <v>653894.67495633452</v>
      </c>
      <c r="G21" s="21" t="str">
        <f t="shared" si="0"/>
        <v/>
      </c>
      <c r="H21" s="21">
        <f t="shared" si="8"/>
        <v>608170.54274894088</v>
      </c>
      <c r="I21" s="5"/>
      <c r="J21" s="13">
        <f>'VTSMX-MCSummary'!I18</f>
        <v>1.35751190355586E-2</v>
      </c>
      <c r="K21" s="12">
        <f t="shared" si="9"/>
        <v>576212.27042143117</v>
      </c>
      <c r="L21" s="12">
        <f t="shared" si="5"/>
        <v>68924.594795358295</v>
      </c>
      <c r="M21" s="14">
        <f t="shared" si="10"/>
        <v>653894.67495633452</v>
      </c>
      <c r="N21" s="21" t="str">
        <f t="shared" si="1"/>
        <v/>
      </c>
      <c r="O21" s="21">
        <f t="shared" si="11"/>
        <v>608170.54274894088</v>
      </c>
      <c r="P21" s="5"/>
      <c r="Q21" s="13">
        <f>'VTSMX-MCSummary'!K18</f>
        <v>8.4037426059563311E-2</v>
      </c>
      <c r="R21" s="12">
        <f t="shared" si="12"/>
        <v>1517766.2209004995</v>
      </c>
      <c r="S21" s="12">
        <f t="shared" si="6"/>
        <v>68924.594795358295</v>
      </c>
      <c r="T21" s="14">
        <f t="shared" si="13"/>
        <v>1720032.2277992868</v>
      </c>
      <c r="U21" s="21" t="str">
        <f t="shared" si="2"/>
        <v/>
      </c>
      <c r="V21" s="21">
        <f t="shared" si="14"/>
        <v>608170.54274894088</v>
      </c>
    </row>
    <row r="22" spans="1:22" ht="15" thickTop="1" thickBot="1" x14ac:dyDescent="0.6">
      <c r="A22" s="9">
        <f>'VTSMX-MCSummary'!D19</f>
        <v>2041</v>
      </c>
      <c r="C22" s="13">
        <f>'VTSMX-MCSummary'!I19</f>
        <v>1.0921843687374784E-2</v>
      </c>
      <c r="D22" s="12">
        <f t="shared" si="7"/>
        <v>653894.67495633452</v>
      </c>
      <c r="E22" s="12">
        <f t="shared" si="3"/>
        <v>75817.054274894137</v>
      </c>
      <c r="F22" s="14">
        <f t="shared" si="4"/>
        <v>737681.52667473617</v>
      </c>
      <c r="G22" s="21" t="str">
        <f t="shared" si="0"/>
        <v/>
      </c>
      <c r="H22" s="21">
        <f t="shared" si="8"/>
        <v>683987.59702383506</v>
      </c>
      <c r="I22" s="5"/>
      <c r="J22" s="13">
        <f>'VTSMX-MCSummary'!I19</f>
        <v>1.0921843687374784E-2</v>
      </c>
      <c r="K22" s="12">
        <f t="shared" si="9"/>
        <v>653894.67495633452</v>
      </c>
      <c r="L22" s="12">
        <f t="shared" si="5"/>
        <v>75817.054274894137</v>
      </c>
      <c r="M22" s="14">
        <f t="shared" si="10"/>
        <v>737681.52667473617</v>
      </c>
      <c r="N22" s="21" t="str">
        <f t="shared" si="1"/>
        <v/>
      </c>
      <c r="O22" s="21">
        <f t="shared" si="11"/>
        <v>683987.59702383506</v>
      </c>
      <c r="P22" s="5"/>
      <c r="Q22" s="13">
        <f>'VTSMX-MCSummary'!K19</f>
        <v>9.1250670960815849E-2</v>
      </c>
      <c r="R22" s="12">
        <f t="shared" si="12"/>
        <v>1720032.2277992868</v>
      </c>
      <c r="S22" s="12">
        <f t="shared" si="6"/>
        <v>75817.054274894137</v>
      </c>
      <c r="T22" s="14">
        <f t="shared" si="13"/>
        <v>1959721.7340079492</v>
      </c>
      <c r="U22" s="21" t="str">
        <f t="shared" si="2"/>
        <v/>
      </c>
      <c r="V22" s="21">
        <f t="shared" si="14"/>
        <v>683987.59702383506</v>
      </c>
    </row>
    <row r="23" spans="1:22" ht="15" thickTop="1" thickBot="1" x14ac:dyDescent="0.6">
      <c r="A23" s="9">
        <f>'VTSMX-MCSummary'!D20</f>
        <v>2042</v>
      </c>
      <c r="C23" s="13">
        <f>'VTSMX-MCSummary'!I20</f>
        <v>8.4451068057626276E-3</v>
      </c>
      <c r="D23" s="12">
        <f t="shared" si="7"/>
        <v>737681.52667473617</v>
      </c>
      <c r="E23" s="12">
        <f t="shared" si="3"/>
        <v>83398.759702383555</v>
      </c>
      <c r="F23" s="14">
        <f t="shared" si="4"/>
        <v>828014.39709168067</v>
      </c>
      <c r="G23" s="21" t="str">
        <f t="shared" si="0"/>
        <v/>
      </c>
      <c r="H23" s="21">
        <f t="shared" si="8"/>
        <v>767386.3567262186</v>
      </c>
      <c r="I23" s="5"/>
      <c r="J23" s="13">
        <f>'VTSMX-MCSummary'!I20</f>
        <v>8.4451068057626276E-3</v>
      </c>
      <c r="K23" s="12">
        <f t="shared" si="9"/>
        <v>737681.52667473617</v>
      </c>
      <c r="L23" s="12">
        <f t="shared" si="5"/>
        <v>83398.759702383555</v>
      </c>
      <c r="M23" s="14">
        <f t="shared" si="10"/>
        <v>828014.39709168067</v>
      </c>
      <c r="N23" s="21" t="str">
        <f t="shared" si="1"/>
        <v/>
      </c>
      <c r="O23" s="21">
        <f t="shared" si="11"/>
        <v>767386.3567262186</v>
      </c>
      <c r="P23" s="5"/>
      <c r="Q23" s="13">
        <f>'VTSMX-MCSummary'!K20</f>
        <v>0.11787351431473195</v>
      </c>
      <c r="R23" s="12">
        <f t="shared" si="12"/>
        <v>1959721.7340079492</v>
      </c>
      <c r="S23" s="12">
        <f t="shared" si="6"/>
        <v>83398.759702383555</v>
      </c>
      <c r="T23" s="14">
        <f t="shared" si="13"/>
        <v>2283950.2864724202</v>
      </c>
      <c r="U23" s="21" t="str">
        <f t="shared" si="2"/>
        <v>Reached</v>
      </c>
      <c r="V23" s="21">
        <f t="shared" si="14"/>
        <v>767386.3567262186</v>
      </c>
    </row>
    <row r="24" spans="1:22" ht="15" thickTop="1" thickBot="1" x14ac:dyDescent="0.6">
      <c r="A24" s="9">
        <f>'VTSMX-MCSummary'!D21</f>
        <v>2043</v>
      </c>
      <c r="C24" s="13">
        <f>'VTSMX-MCSummary'!I21</f>
        <v>4.2540561931142919E-3</v>
      </c>
      <c r="D24" s="12">
        <f t="shared" si="7"/>
        <v>828014.39709168067</v>
      </c>
      <c r="E24" s="12">
        <f t="shared" si="3"/>
        <v>91738.635672621924</v>
      </c>
      <c r="F24" s="14">
        <f t="shared" si="4"/>
        <v>923665.71384946932</v>
      </c>
      <c r="G24" s="21" t="str">
        <f t="shared" si="0"/>
        <v/>
      </c>
      <c r="H24" s="21">
        <f t="shared" si="8"/>
        <v>859124.99239884049</v>
      </c>
      <c r="I24" s="5"/>
      <c r="J24" s="13">
        <f>'VTSMX-MCSummary'!I21</f>
        <v>4.2540561931142919E-3</v>
      </c>
      <c r="K24" s="12">
        <f t="shared" si="9"/>
        <v>828014.39709168067</v>
      </c>
      <c r="L24" s="12">
        <f t="shared" si="5"/>
        <v>91738.635672621924</v>
      </c>
      <c r="M24" s="14">
        <f t="shared" si="10"/>
        <v>923665.71384946932</v>
      </c>
      <c r="N24" s="21" t="str">
        <f t="shared" si="1"/>
        <v/>
      </c>
      <c r="O24" s="21">
        <f t="shared" si="11"/>
        <v>859124.99239884049</v>
      </c>
      <c r="P24" s="5"/>
      <c r="Q24" s="13">
        <f>'VTSMX-MCSummary'!K21</f>
        <v>4.7947577141438553E-2</v>
      </c>
      <c r="R24" s="12">
        <f t="shared" si="12"/>
        <v>2283950.2864724202</v>
      </c>
      <c r="S24" s="12">
        <f t="shared" si="6"/>
        <v>91738.635672621924</v>
      </c>
      <c r="T24" s="14">
        <f t="shared" si="13"/>
        <v>2489597.4500036528</v>
      </c>
      <c r="U24" s="21" t="str">
        <f t="shared" si="2"/>
        <v>Reached</v>
      </c>
      <c r="V24" s="21">
        <f t="shared" si="14"/>
        <v>859124.99239884049</v>
      </c>
    </row>
    <row r="25" spans="1:22" ht="15" thickTop="1" thickBot="1" x14ac:dyDescent="0.6">
      <c r="A25" s="9">
        <f>'VTSMX-MCSummary'!D22</f>
        <v>2044</v>
      </c>
      <c r="C25" s="13">
        <f>'VTSMX-MCSummary'!I22</f>
        <v>1.4046039797112737E-2</v>
      </c>
      <c r="D25" s="12">
        <f t="shared" si="7"/>
        <v>923665.71384946932</v>
      </c>
      <c r="E25" s="12">
        <f t="shared" si="3"/>
        <v>100912.49923988413</v>
      </c>
      <c r="F25" s="14">
        <f t="shared" si="4"/>
        <v>1038969.4794456611</v>
      </c>
      <c r="G25" s="21" t="str">
        <f t="shared" si="0"/>
        <v/>
      </c>
      <c r="H25" s="21">
        <f t="shared" si="8"/>
        <v>960037.49163872458</v>
      </c>
      <c r="I25" s="5"/>
      <c r="J25" s="13">
        <f>'VTSMX-MCSummary'!I22</f>
        <v>1.4046039797112737E-2</v>
      </c>
      <c r="K25" s="12">
        <f t="shared" si="9"/>
        <v>923665.71384946932</v>
      </c>
      <c r="L25" s="12">
        <f t="shared" si="5"/>
        <v>100912.49923988413</v>
      </c>
      <c r="M25" s="14">
        <f t="shared" si="10"/>
        <v>1038969.4794456611</v>
      </c>
      <c r="N25" s="21" t="str">
        <f t="shared" si="1"/>
        <v/>
      </c>
      <c r="O25" s="21">
        <f t="shared" si="11"/>
        <v>960037.49163872458</v>
      </c>
      <c r="P25" s="5"/>
      <c r="Q25" s="13">
        <f>'VTSMX-MCSummary'!K22</f>
        <v>0.10866856117956715</v>
      </c>
      <c r="R25" s="12">
        <f t="shared" si="12"/>
        <v>2489597.4500036528</v>
      </c>
      <c r="S25" s="12">
        <f t="shared" si="6"/>
        <v>100912.49923988413</v>
      </c>
      <c r="T25" s="14">
        <f t="shared" si="13"/>
        <v>2872016.9381491863</v>
      </c>
      <c r="U25" s="21" t="str">
        <f t="shared" si="2"/>
        <v>Reached</v>
      </c>
      <c r="V25" s="21">
        <f t="shared" si="14"/>
        <v>960037.49163872458</v>
      </c>
    </row>
    <row r="26" spans="1:22" ht="15" thickTop="1" thickBot="1" x14ac:dyDescent="0.6">
      <c r="A26" s="9">
        <f>'VTSMX-MCSummary'!D23</f>
        <v>2045</v>
      </c>
      <c r="C26" s="13">
        <f>'VTSMX-MCSummary'!I23</f>
        <v>-5.8869701726844024E-3</v>
      </c>
      <c r="D26" s="12">
        <f t="shared" si="7"/>
        <v>1038969.4794456611</v>
      </c>
      <c r="E26" s="12">
        <f t="shared" si="3"/>
        <v>111003.74916387255</v>
      </c>
      <c r="F26" s="14">
        <f t="shared" si="4"/>
        <v>1143203.3705133237</v>
      </c>
      <c r="G26" s="21" t="str">
        <f t="shared" si="0"/>
        <v/>
      </c>
      <c r="H26" s="21">
        <f t="shared" si="8"/>
        <v>1071041.240802597</v>
      </c>
      <c r="I26" s="5"/>
      <c r="J26" s="13">
        <f>'VTSMX-MCSummary'!I23</f>
        <v>-5.8869701726844024E-3</v>
      </c>
      <c r="K26" s="12">
        <f t="shared" si="9"/>
        <v>1038969.4794456611</v>
      </c>
      <c r="L26" s="12">
        <f t="shared" si="5"/>
        <v>111003.74916387255</v>
      </c>
      <c r="M26" s="14">
        <f t="shared" si="10"/>
        <v>1143203.3705133237</v>
      </c>
      <c r="N26" s="21" t="str">
        <f t="shared" si="1"/>
        <v/>
      </c>
      <c r="O26" s="21">
        <f t="shared" si="11"/>
        <v>1071041.240802597</v>
      </c>
      <c r="P26" s="5"/>
      <c r="Q26" s="13">
        <f>'VTSMX-MCSummary'!K23</f>
        <v>9.8944805620707177E-2</v>
      </c>
      <c r="R26" s="12">
        <f t="shared" si="12"/>
        <v>2872016.9381491863</v>
      </c>
      <c r="S26" s="12">
        <f t="shared" si="6"/>
        <v>111003.74916387255</v>
      </c>
      <c r="T26" s="14">
        <f t="shared" si="13"/>
        <v>3278175.0893817977</v>
      </c>
      <c r="U26" s="21" t="str">
        <f t="shared" si="2"/>
        <v>Reached</v>
      </c>
      <c r="V26" s="21">
        <f t="shared" si="14"/>
        <v>1071041.240802597</v>
      </c>
    </row>
    <row r="27" spans="1:22" ht="15" thickTop="1" thickBot="1" x14ac:dyDescent="0.6">
      <c r="A27" s="9">
        <f>'VTSMX-MCSummary'!D24</f>
        <v>2046</v>
      </c>
      <c r="C27" s="13">
        <f>'VTSMX-MCSummary'!I24</f>
        <v>1.5931254224196115E-2</v>
      </c>
      <c r="D27" s="12">
        <f t="shared" si="7"/>
        <v>1143203.3705133237</v>
      </c>
      <c r="E27" s="12">
        <f t="shared" si="3"/>
        <v>122104.12408025982</v>
      </c>
      <c r="F27" s="14">
        <f t="shared" si="4"/>
        <v>1285465.4299617345</v>
      </c>
      <c r="G27" s="21" t="str">
        <f t="shared" si="0"/>
        <v/>
      </c>
      <c r="H27" s="21">
        <f t="shared" si="8"/>
        <v>1193145.3648828568</v>
      </c>
      <c r="I27" s="5"/>
      <c r="J27" s="13">
        <f>'VTSMX-MCSummary'!I24</f>
        <v>1.5931254224196115E-2</v>
      </c>
      <c r="K27" s="12">
        <f t="shared" si="9"/>
        <v>1143203.3705133237</v>
      </c>
      <c r="L27" s="12">
        <f t="shared" si="5"/>
        <v>122104.12408025982</v>
      </c>
      <c r="M27" s="14">
        <f t="shared" si="10"/>
        <v>1285465.4299617345</v>
      </c>
      <c r="N27" s="21" t="str">
        <f t="shared" si="1"/>
        <v/>
      </c>
      <c r="O27" s="21">
        <f t="shared" si="11"/>
        <v>1193145.3648828568</v>
      </c>
      <c r="P27" s="5"/>
      <c r="Q27" s="13">
        <f>'VTSMX-MCSummary'!K24</f>
        <v>8.9684128068323585E-2</v>
      </c>
      <c r="R27" s="12">
        <f t="shared" si="12"/>
        <v>3278175.0893817977</v>
      </c>
      <c r="S27" s="12">
        <f t="shared" si="6"/>
        <v>122104.12408025982</v>
      </c>
      <c r="T27" s="14">
        <f t="shared" si="13"/>
        <v>3705230.2899102475</v>
      </c>
      <c r="U27" s="21" t="str">
        <f t="shared" si="2"/>
        <v>Reached</v>
      </c>
      <c r="V27" s="21">
        <f t="shared" si="14"/>
        <v>1193145.3648828568</v>
      </c>
    </row>
    <row r="28" spans="1:22" ht="15" thickTop="1" thickBot="1" x14ac:dyDescent="0.6">
      <c r="A28" s="9">
        <f>'VTSMX-MCSummary'!D25</f>
        <v>2047</v>
      </c>
      <c r="C28" s="13">
        <f>'VTSMX-MCSummary'!I25</f>
        <v>3.943065974225916E-3</v>
      </c>
      <c r="D28" s="12">
        <f t="shared" si="7"/>
        <v>1285465.4299617345</v>
      </c>
      <c r="E28" s="12">
        <f t="shared" si="3"/>
        <v>134314.53648828581</v>
      </c>
      <c r="F28" s="14">
        <f t="shared" si="4"/>
        <v>1425378.2525266169</v>
      </c>
      <c r="G28" s="21" t="str">
        <f t="shared" si="0"/>
        <v/>
      </c>
      <c r="H28" s="21">
        <f t="shared" si="8"/>
        <v>1327459.9013711426</v>
      </c>
      <c r="I28" s="5"/>
      <c r="J28" s="13">
        <f>'VTSMX-MCSummary'!I25</f>
        <v>3.943065974225916E-3</v>
      </c>
      <c r="K28" s="12">
        <f t="shared" si="9"/>
        <v>1285465.4299617345</v>
      </c>
      <c r="L28" s="12">
        <f t="shared" si="5"/>
        <v>134314.53648828581</v>
      </c>
      <c r="M28" s="14">
        <f t="shared" si="10"/>
        <v>1425378.2525266169</v>
      </c>
      <c r="N28" s="21" t="str">
        <f t="shared" si="1"/>
        <v/>
      </c>
      <c r="O28" s="21">
        <f t="shared" si="11"/>
        <v>1327459.9013711426</v>
      </c>
      <c r="P28" s="5"/>
      <c r="Q28" s="13">
        <f>'VTSMX-MCSummary'!K25</f>
        <v>9.4057370842041813E-2</v>
      </c>
      <c r="R28" s="12">
        <f t="shared" si="12"/>
        <v>3705230.2899102475</v>
      </c>
      <c r="S28" s="12">
        <f t="shared" si="6"/>
        <v>134314.53648828581</v>
      </c>
      <c r="T28" s="14">
        <f t="shared" si="13"/>
        <v>4200682.3179997429</v>
      </c>
      <c r="U28" s="21" t="str">
        <f t="shared" si="2"/>
        <v>Reached</v>
      </c>
      <c r="V28" s="21">
        <f t="shared" si="14"/>
        <v>1327459.9013711426</v>
      </c>
    </row>
    <row r="29" spans="1:22" ht="15" thickTop="1" thickBot="1" x14ac:dyDescent="0.6">
      <c r="A29" s="9">
        <f>'VTSMX-MCSummary'!D26</f>
        <v>2048</v>
      </c>
      <c r="C29" s="13">
        <f>'VTSMX-MCSummary'!I26</f>
        <v>1.4314153000284302E-2</v>
      </c>
      <c r="D29" s="12">
        <f t="shared" si="7"/>
        <v>1425378.2525266169</v>
      </c>
      <c r="E29" s="12">
        <f t="shared" si="3"/>
        <v>147745.99013711439</v>
      </c>
      <c r="F29" s="14">
        <f t="shared" si="4"/>
        <v>1595642.1837616765</v>
      </c>
      <c r="G29" s="21" t="str">
        <f t="shared" si="0"/>
        <v/>
      </c>
      <c r="H29" s="21">
        <f t="shared" si="8"/>
        <v>1475205.891508257</v>
      </c>
      <c r="I29" s="5"/>
      <c r="J29" s="13">
        <f>'VTSMX-MCSummary'!I26</f>
        <v>1.4314153000284302E-2</v>
      </c>
      <c r="K29" s="12">
        <f t="shared" si="9"/>
        <v>1425378.2525266169</v>
      </c>
      <c r="L29" s="12">
        <f t="shared" si="5"/>
        <v>147745.99013711439</v>
      </c>
      <c r="M29" s="14">
        <f t="shared" si="10"/>
        <v>1595642.1837616765</v>
      </c>
      <c r="N29" s="21" t="str">
        <f t="shared" si="1"/>
        <v/>
      </c>
      <c r="O29" s="21">
        <f t="shared" si="11"/>
        <v>1475205.891508257</v>
      </c>
      <c r="P29" s="5"/>
      <c r="Q29" s="13">
        <f>'VTSMX-MCSummary'!K26</f>
        <v>7.7473053892215635E-2</v>
      </c>
      <c r="R29" s="12">
        <f t="shared" si="12"/>
        <v>4200682.3179997429</v>
      </c>
      <c r="S29" s="12">
        <f t="shared" si="6"/>
        <v>147745.99013711439</v>
      </c>
      <c r="T29" s="14">
        <f t="shared" si="13"/>
        <v>4685314.3287995802</v>
      </c>
      <c r="U29" s="21" t="str">
        <f t="shared" si="2"/>
        <v>Reached</v>
      </c>
      <c r="V29" s="21">
        <f t="shared" si="14"/>
        <v>1475205.891508257</v>
      </c>
    </row>
    <row r="30" spans="1:22" ht="15" thickTop="1" thickBot="1" x14ac:dyDescent="0.6">
      <c r="A30" s="9">
        <f>'VTSMX-MCSummary'!D27</f>
        <v>2049</v>
      </c>
      <c r="C30" s="13">
        <f>'VTSMX-MCSummary'!I27</f>
        <v>-8.9909134385461279E-3</v>
      </c>
      <c r="D30" s="12">
        <f t="shared" si="7"/>
        <v>1595642.1837616765</v>
      </c>
      <c r="E30" s="12">
        <f t="shared" si="3"/>
        <v>162520.58915082584</v>
      </c>
      <c r="F30" s="14">
        <f t="shared" si="4"/>
        <v>1742355.2836103719</v>
      </c>
      <c r="G30" s="21" t="str">
        <f t="shared" si="0"/>
        <v/>
      </c>
      <c r="H30" s="21">
        <f t="shared" si="8"/>
        <v>1637726.4806590828</v>
      </c>
      <c r="I30" s="5"/>
      <c r="J30" s="13">
        <f>'VTSMX-MCSummary'!I27</f>
        <v>-8.9909134385461279E-3</v>
      </c>
      <c r="K30" s="12">
        <f t="shared" si="9"/>
        <v>1595642.1837616765</v>
      </c>
      <c r="L30" s="12">
        <f t="shared" si="5"/>
        <v>162520.58915082584</v>
      </c>
      <c r="M30" s="14">
        <f t="shared" si="10"/>
        <v>1742355.2836103719</v>
      </c>
      <c r="N30" s="21" t="str">
        <f t="shared" si="1"/>
        <v/>
      </c>
      <c r="O30" s="21">
        <f t="shared" si="11"/>
        <v>1637726.4806590828</v>
      </c>
      <c r="P30" s="5"/>
      <c r="Q30" s="13">
        <f>'VTSMX-MCSummary'!K27</f>
        <v>0.11239144068967719</v>
      </c>
      <c r="R30" s="12">
        <f t="shared" si="12"/>
        <v>4685314.3287995802</v>
      </c>
      <c r="S30" s="12">
        <f t="shared" si="6"/>
        <v>162520.58915082584</v>
      </c>
      <c r="T30" s="14">
        <f t="shared" si="13"/>
        <v>5392690.0686045745</v>
      </c>
      <c r="U30" s="21" t="str">
        <f t="shared" si="2"/>
        <v>Reached</v>
      </c>
      <c r="V30" s="21">
        <f t="shared" si="14"/>
        <v>1637726.4806590828</v>
      </c>
    </row>
    <row r="31" spans="1:22" ht="15" thickTop="1" thickBot="1" x14ac:dyDescent="0.6">
      <c r="A31" s="9">
        <f>'VTSMX-MCSummary'!D28</f>
        <v>2050</v>
      </c>
      <c r="C31" s="13">
        <f>'VTSMX-MCSummary'!I28</f>
        <v>2.3353573096683792E-2</v>
      </c>
      <c r="D31" s="12">
        <f t="shared" si="7"/>
        <v>1742355.2836103719</v>
      </c>
      <c r="E31" s="12">
        <f t="shared" si="3"/>
        <v>178772.64806590843</v>
      </c>
      <c r="F31" s="14">
        <f t="shared" si="4"/>
        <v>1965993.1332567632</v>
      </c>
      <c r="G31" s="21" t="str">
        <f t="shared" si="0"/>
        <v/>
      </c>
      <c r="H31" s="21">
        <f t="shared" si="8"/>
        <v>1816499.1287249911</v>
      </c>
      <c r="I31" s="5"/>
      <c r="J31" s="13">
        <f>'VTSMX-MCSummary'!I28</f>
        <v>2.3353573096683792E-2</v>
      </c>
      <c r="K31" s="12">
        <f t="shared" si="9"/>
        <v>1742355.2836103719</v>
      </c>
      <c r="L31" s="12">
        <f t="shared" si="5"/>
        <v>178772.64806590843</v>
      </c>
      <c r="M31" s="14">
        <f t="shared" si="10"/>
        <v>1965993.1332567632</v>
      </c>
      <c r="N31" s="21" t="str">
        <f t="shared" si="1"/>
        <v/>
      </c>
      <c r="O31" s="21">
        <f t="shared" si="11"/>
        <v>1816499.1287249911</v>
      </c>
      <c r="P31" s="5"/>
      <c r="Q31" s="13">
        <f>'VTSMX-MCSummary'!K28</f>
        <v>0.10966026140532967</v>
      </c>
      <c r="R31" s="12">
        <f t="shared" si="12"/>
        <v>5392690.0686045745</v>
      </c>
      <c r="S31" s="12">
        <f t="shared" si="6"/>
        <v>178772.64806590843</v>
      </c>
      <c r="T31" s="14">
        <f t="shared" si="13"/>
        <v>6182430.774590617</v>
      </c>
      <c r="U31" s="21" t="str">
        <f t="shared" si="2"/>
        <v>Reached</v>
      </c>
      <c r="V31" s="21">
        <f t="shared" si="14"/>
        <v>1816499.1287249911</v>
      </c>
    </row>
    <row r="32" spans="1:22" ht="15" thickTop="1" thickBot="1" x14ac:dyDescent="0.6">
      <c r="A32" s="9">
        <f>'VTSMX-MCSummary'!D29</f>
        <v>2051</v>
      </c>
      <c r="C32" s="13">
        <f>'VTSMX-MCSummary'!I29</f>
        <v>-2.4346848955893894E-3</v>
      </c>
      <c r="D32" s="12">
        <f t="shared" si="7"/>
        <v>1965993.1332567632</v>
      </c>
      <c r="E32" s="12">
        <f t="shared" si="3"/>
        <v>196649.91287249929</v>
      </c>
      <c r="F32" s="14">
        <f t="shared" si="4"/>
        <v>2157377.6917703003</v>
      </c>
      <c r="G32" s="21" t="str">
        <f t="shared" si="0"/>
        <v>Reached</v>
      </c>
      <c r="H32" s="21">
        <f t="shared" si="8"/>
        <v>2013149.0415974904</v>
      </c>
      <c r="I32" s="5"/>
      <c r="J32" s="13">
        <f>'VTSMX-MCSummary'!I29</f>
        <v>-2.4346848955893894E-3</v>
      </c>
      <c r="K32" s="12">
        <f t="shared" si="9"/>
        <v>1965993.1332567632</v>
      </c>
      <c r="L32" s="12">
        <f t="shared" si="5"/>
        <v>196649.91287249929</v>
      </c>
      <c r="M32" s="14">
        <f t="shared" si="10"/>
        <v>2157377.6917703003</v>
      </c>
      <c r="N32" s="21" t="str">
        <f t="shared" si="1"/>
        <v>Reached</v>
      </c>
      <c r="O32" s="21">
        <f t="shared" si="11"/>
        <v>2013149.0415974904</v>
      </c>
      <c r="P32" s="5"/>
      <c r="Q32" s="13">
        <f>'VTSMX-MCSummary'!K29</f>
        <v>6.0112319571121897E-2</v>
      </c>
      <c r="R32" s="12">
        <f t="shared" si="12"/>
        <v>6182430.774590617</v>
      </c>
      <c r="S32" s="12">
        <f t="shared" si="6"/>
        <v>196649.91287249929</v>
      </c>
      <c r="T32" s="14">
        <f t="shared" si="13"/>
        <v>6762542.0243178708</v>
      </c>
      <c r="U32" s="21" t="str">
        <f t="shared" si="2"/>
        <v>Reached</v>
      </c>
      <c r="V32" s="21">
        <f t="shared" si="14"/>
        <v>2013149.0415974904</v>
      </c>
    </row>
    <row r="33" spans="1:22" ht="15" thickTop="1" thickBot="1" x14ac:dyDescent="0.6">
      <c r="A33" s="9">
        <f>'VTSMX-MCSummary'!D30</f>
        <v>2052</v>
      </c>
      <c r="C33" s="13">
        <f>'VTSMX-MCSummary'!I30</f>
        <v>1.5488153406471767E-2</v>
      </c>
      <c r="D33" s="12">
        <f t="shared" si="7"/>
        <v>2157377.6917703003</v>
      </c>
      <c r="E33" s="12">
        <f t="shared" si="3"/>
        <v>216314.90415974925</v>
      </c>
      <c r="F33" s="14">
        <f t="shared" si="4"/>
        <v>2410456.7109956201</v>
      </c>
      <c r="G33" s="21" t="str">
        <f t="shared" si="0"/>
        <v>Reached</v>
      </c>
      <c r="H33" s="21">
        <f t="shared" si="8"/>
        <v>2229463.9457572396</v>
      </c>
      <c r="I33" s="5"/>
      <c r="J33" s="13">
        <f>'VTSMX-MCSummary'!I30</f>
        <v>1.5488153406471767E-2</v>
      </c>
      <c r="K33" s="12">
        <f t="shared" si="9"/>
        <v>2157377.6917703003</v>
      </c>
      <c r="L33" s="12">
        <f t="shared" si="5"/>
        <v>216314.90415974925</v>
      </c>
      <c r="M33" s="14">
        <f t="shared" si="10"/>
        <v>2410456.7109956201</v>
      </c>
      <c r="N33" s="21" t="str">
        <f t="shared" si="1"/>
        <v>Reached</v>
      </c>
      <c r="O33" s="21">
        <f t="shared" si="11"/>
        <v>2229463.9457572396</v>
      </c>
      <c r="P33" s="5"/>
      <c r="Q33" s="13">
        <f>'VTSMX-MCSummary'!K30</f>
        <v>0.10657461812748692</v>
      </c>
      <c r="R33" s="12">
        <f t="shared" si="12"/>
        <v>6762542.0243178708</v>
      </c>
      <c r="S33" s="12">
        <f t="shared" si="6"/>
        <v>216314.90415974925</v>
      </c>
      <c r="T33" s="14">
        <f t="shared" si="13"/>
        <v>7722625.9405964883</v>
      </c>
      <c r="U33" s="21" t="str">
        <f t="shared" si="2"/>
        <v>Reached</v>
      </c>
      <c r="V33" s="21">
        <f t="shared" si="14"/>
        <v>2229463.9457572396</v>
      </c>
    </row>
    <row r="34" spans="1:22" ht="15" thickTop="1" thickBot="1" x14ac:dyDescent="0.6">
      <c r="A34" s="9">
        <f>'VTSMX-MCSummary'!D31</f>
        <v>2053</v>
      </c>
      <c r="C34" s="13">
        <f>'VTSMX-MCSummary'!I31</f>
        <v>-2.8661242603550507E-3</v>
      </c>
      <c r="D34" s="12">
        <f t="shared" si="7"/>
        <v>2410456.7109956201</v>
      </c>
      <c r="E34" s="12">
        <f t="shared" si="3"/>
        <v>237946.3945757242</v>
      </c>
      <c r="F34" s="14">
        <f t="shared" si="4"/>
        <v>2640812.4531792668</v>
      </c>
      <c r="G34" s="21" t="str">
        <f t="shared" si="0"/>
        <v>Reached</v>
      </c>
      <c r="H34" s="21">
        <f t="shared" si="8"/>
        <v>2467410.340332964</v>
      </c>
      <c r="I34" s="5"/>
      <c r="J34" s="13">
        <f>'VTSMX-MCSummary'!I31</f>
        <v>-2.8661242603550507E-3</v>
      </c>
      <c r="K34" s="12">
        <f t="shared" si="9"/>
        <v>2410456.7109956201</v>
      </c>
      <c r="L34" s="12">
        <f t="shared" si="5"/>
        <v>237946.3945757242</v>
      </c>
      <c r="M34" s="14">
        <f t="shared" si="10"/>
        <v>2640812.4531792668</v>
      </c>
      <c r="N34" s="21" t="str">
        <f t="shared" si="1"/>
        <v>Reached</v>
      </c>
      <c r="O34" s="21">
        <f t="shared" si="11"/>
        <v>2467410.340332964</v>
      </c>
      <c r="P34" s="5"/>
      <c r="Q34" s="13">
        <f>'VTSMX-MCSummary'!K31</f>
        <v>9.9992608858402388E-2</v>
      </c>
      <c r="R34" s="12">
        <f t="shared" si="12"/>
        <v>7722625.9405964883</v>
      </c>
      <c r="S34" s="12">
        <f t="shared" si="6"/>
        <v>237946.3945757242</v>
      </c>
      <c r="T34" s="14">
        <f t="shared" si="13"/>
        <v>8756570.7309721075</v>
      </c>
      <c r="U34" s="21" t="str">
        <f t="shared" si="2"/>
        <v>Reached</v>
      </c>
      <c r="V34" s="21">
        <f t="shared" si="14"/>
        <v>2467410.340332964</v>
      </c>
    </row>
    <row r="35" spans="1:22" ht="15" thickTop="1" thickBot="1" x14ac:dyDescent="0.6">
      <c r="A35" s="9">
        <f>'VTSMX-MCSummary'!D32</f>
        <v>2054</v>
      </c>
      <c r="C35" s="13">
        <f>'VTSMX-MCSummary'!I32</f>
        <v>6.065061569564387E-3</v>
      </c>
      <c r="D35" s="12">
        <f t="shared" si="7"/>
        <v>2640812.4531792668</v>
      </c>
      <c r="E35" s="12">
        <f t="shared" si="3"/>
        <v>261741.03403329666</v>
      </c>
      <c r="F35" s="14">
        <f t="shared" si="4"/>
        <v>2920157.6528214612</v>
      </c>
      <c r="G35" s="21" t="str">
        <f t="shared" si="0"/>
        <v>Reached</v>
      </c>
      <c r="H35" s="21">
        <f t="shared" si="8"/>
        <v>2729151.3743662606</v>
      </c>
      <c r="I35" s="5"/>
      <c r="J35" s="13">
        <f>'VTSMX-MCSummary'!I32</f>
        <v>6.065061569564387E-3</v>
      </c>
      <c r="K35" s="12">
        <f t="shared" si="9"/>
        <v>2640812.4531792668</v>
      </c>
      <c r="L35" s="12">
        <f t="shared" si="5"/>
        <v>261741.03403329666</v>
      </c>
      <c r="M35" s="14">
        <f t="shared" si="10"/>
        <v>2920157.6528214612</v>
      </c>
      <c r="N35" s="21" t="str">
        <f t="shared" si="1"/>
        <v>Reached</v>
      </c>
      <c r="O35" s="21">
        <f t="shared" si="11"/>
        <v>2729151.3743662606</v>
      </c>
      <c r="P35" s="5"/>
      <c r="Q35" s="13">
        <f>'VTSMX-MCSummary'!K32</f>
        <v>8.0269546034655956E-2</v>
      </c>
      <c r="R35" s="12">
        <f t="shared" si="12"/>
        <v>8756570.7309721075</v>
      </c>
      <c r="S35" s="12">
        <f t="shared" si="6"/>
        <v>261741.03403329666</v>
      </c>
      <c r="T35" s="14">
        <f t="shared" si="13"/>
        <v>9742207.5563813839</v>
      </c>
      <c r="U35" s="21" t="str">
        <f t="shared" si="2"/>
        <v>Reached</v>
      </c>
      <c r="V35" s="21">
        <f t="shared" si="14"/>
        <v>2729151.3743662606</v>
      </c>
    </row>
    <row r="36" spans="1:22" ht="15" thickTop="1" thickBot="1" x14ac:dyDescent="0.6">
      <c r="A36" s="9">
        <f>'VTSMX-MCSummary'!D33</f>
        <v>2055</v>
      </c>
      <c r="C36" s="13">
        <f>'VTSMX-MCSummary'!I33</f>
        <v>1.5827077869223119E-2</v>
      </c>
      <c r="D36" s="12">
        <f t="shared" si="7"/>
        <v>2920157.6528214612</v>
      </c>
      <c r="E36" s="12">
        <f t="shared" si="3"/>
        <v>287915.13743662636</v>
      </c>
      <c r="F36" s="14">
        <f t="shared" si="4"/>
        <v>3258847.2081196383</v>
      </c>
      <c r="G36" s="21" t="str">
        <f t="shared" si="0"/>
        <v>Reached</v>
      </c>
      <c r="H36" s="21">
        <f t="shared" si="8"/>
        <v>3017066.5118028871</v>
      </c>
      <c r="I36" s="5"/>
      <c r="J36" s="13">
        <f>'VTSMX-MCSummary'!I33</f>
        <v>1.5827077869223119E-2</v>
      </c>
      <c r="K36" s="12">
        <f t="shared" si="9"/>
        <v>2920157.6528214612</v>
      </c>
      <c r="L36" s="12">
        <f t="shared" si="5"/>
        <v>287915.13743662636</v>
      </c>
      <c r="M36" s="14">
        <f t="shared" si="10"/>
        <v>3258847.2081196383</v>
      </c>
      <c r="N36" s="21" t="str">
        <f t="shared" si="1"/>
        <v>Reached</v>
      </c>
      <c r="O36" s="21">
        <f t="shared" si="11"/>
        <v>3017066.5118028871</v>
      </c>
      <c r="P36" s="5"/>
      <c r="Q36" s="13">
        <f>'VTSMX-MCSummary'!K33</f>
        <v>0.11800463794800781</v>
      </c>
      <c r="R36" s="12">
        <f t="shared" si="12"/>
        <v>9742207.5563813839</v>
      </c>
      <c r="S36" s="12">
        <f t="shared" si="6"/>
        <v>287915.13743662636</v>
      </c>
      <c r="T36" s="14">
        <f t="shared" si="13"/>
        <v>11213723.6908761</v>
      </c>
      <c r="U36" s="21" t="str">
        <f t="shared" si="2"/>
        <v>Reached</v>
      </c>
      <c r="V36" s="21">
        <f t="shared" si="14"/>
        <v>3017066.5118028871</v>
      </c>
    </row>
    <row r="37" spans="1:22" ht="15" thickTop="1" thickBot="1" x14ac:dyDescent="0.6">
      <c r="A37" s="9">
        <f>'VTSMX-MCSummary'!D34</f>
        <v>2056</v>
      </c>
      <c r="C37" s="13">
        <f>'VTSMX-MCSummary'!I34</f>
        <v>6.4695839698087256E-3</v>
      </c>
      <c r="D37" s="12">
        <f t="shared" si="7"/>
        <v>3258847.2081196383</v>
      </c>
      <c r="E37" s="12">
        <f t="shared" si="3"/>
        <v>316706.65118028905</v>
      </c>
      <c r="F37" s="14">
        <f t="shared" si="4"/>
        <v>3598686.2052312423</v>
      </c>
      <c r="G37" s="21" t="str">
        <f t="shared" si="0"/>
        <v>Reached</v>
      </c>
      <c r="H37" s="21">
        <f t="shared" si="8"/>
        <v>3333773.1629831763</v>
      </c>
      <c r="I37" s="5"/>
      <c r="J37" s="13">
        <f>'VTSMX-MCSummary'!I34</f>
        <v>6.4695839698087256E-3</v>
      </c>
      <c r="K37" s="12">
        <f t="shared" si="9"/>
        <v>3258847.2081196383</v>
      </c>
      <c r="L37" s="12">
        <f t="shared" si="5"/>
        <v>316706.65118028905</v>
      </c>
      <c r="M37" s="14">
        <f t="shared" si="10"/>
        <v>3598686.2052312423</v>
      </c>
      <c r="N37" s="21" t="str">
        <f t="shared" si="1"/>
        <v>Reached</v>
      </c>
      <c r="O37" s="21">
        <f t="shared" si="11"/>
        <v>3333773.1629831763</v>
      </c>
      <c r="P37" s="5"/>
      <c r="Q37" s="13">
        <f>'VTSMX-MCSummary'!K34</f>
        <v>6.2278509479884843E-2</v>
      </c>
      <c r="R37" s="12">
        <f t="shared" si="12"/>
        <v>11213723.6908761</v>
      </c>
      <c r="S37" s="12">
        <f t="shared" si="6"/>
        <v>316706.65118028905</v>
      </c>
      <c r="T37" s="14">
        <f t="shared" si="13"/>
        <v>12248528.357421299</v>
      </c>
      <c r="U37" s="21" t="str">
        <f t="shared" si="2"/>
        <v>Reached</v>
      </c>
      <c r="V37" s="21">
        <f t="shared" si="14"/>
        <v>3333773.1629831763</v>
      </c>
    </row>
    <row r="38" spans="1:22" ht="15" thickTop="1" thickBot="1" x14ac:dyDescent="0.6">
      <c r="A38" s="9">
        <f>'VTSMX-MCSummary'!D35</f>
        <v>2057</v>
      </c>
      <c r="C38" s="13">
        <f>'VTSMX-MCSummary'!I35</f>
        <v>7.225691347011491E-3</v>
      </c>
      <c r="D38" s="12">
        <f t="shared" si="7"/>
        <v>3598686.2052312423</v>
      </c>
      <c r="E38" s="12">
        <f t="shared" si="3"/>
        <v>348377.31629831798</v>
      </c>
      <c r="F38" s="14">
        <f t="shared" si="4"/>
        <v>3975583.784263181</v>
      </c>
      <c r="G38" s="21" t="str">
        <f t="shared" si="0"/>
        <v>Reached</v>
      </c>
      <c r="H38" s="21">
        <f t="shared" si="8"/>
        <v>3682150.4792814944</v>
      </c>
      <c r="I38" s="5"/>
      <c r="J38" s="13">
        <f>'VTSMX-MCSummary'!I35</f>
        <v>7.225691347011491E-3</v>
      </c>
      <c r="K38" s="12">
        <f t="shared" si="9"/>
        <v>3598686.2052312423</v>
      </c>
      <c r="L38" s="12">
        <f t="shared" si="5"/>
        <v>348377.31629831798</v>
      </c>
      <c r="M38" s="14">
        <f t="shared" si="10"/>
        <v>3975583.784263181</v>
      </c>
      <c r="N38" s="21" t="str">
        <f t="shared" si="1"/>
        <v>Reached</v>
      </c>
      <c r="O38" s="21">
        <f t="shared" si="11"/>
        <v>3682150.4792814944</v>
      </c>
      <c r="P38" s="5"/>
      <c r="Q38" s="13">
        <f>'VTSMX-MCSummary'!K35</f>
        <v>9.7155451342040136E-2</v>
      </c>
      <c r="R38" s="12">
        <f t="shared" si="12"/>
        <v>12248528.357421299</v>
      </c>
      <c r="S38" s="12">
        <f t="shared" si="6"/>
        <v>348377.31629831798</v>
      </c>
      <c r="T38" s="14">
        <f t="shared" si="13"/>
        <v>13820763.729962951</v>
      </c>
      <c r="U38" s="21" t="str">
        <f t="shared" si="2"/>
        <v>Reached</v>
      </c>
      <c r="V38" s="21">
        <f t="shared" si="14"/>
        <v>3682150.4792814944</v>
      </c>
    </row>
    <row r="39" spans="1:22" ht="15" thickTop="1" thickBot="1" x14ac:dyDescent="0.6">
      <c r="A39" s="9">
        <f>'VTSMX-MCSummary'!D36</f>
        <v>2058</v>
      </c>
      <c r="C39" s="13">
        <f>'VTSMX-MCSummary'!I36</f>
        <v>5.2356020942408684E-3</v>
      </c>
      <c r="D39" s="12">
        <f t="shared" si="7"/>
        <v>3975583.784263181</v>
      </c>
      <c r="E39" s="12">
        <f t="shared" si="3"/>
        <v>383215.04792814981</v>
      </c>
      <c r="F39" s="14">
        <f t="shared" si="4"/>
        <v>4381619.7684855266</v>
      </c>
      <c r="G39" s="21" t="str">
        <f t="shared" si="0"/>
        <v>Reached</v>
      </c>
      <c r="H39" s="21">
        <f t="shared" si="8"/>
        <v>4065365.5272096442</v>
      </c>
      <c r="I39" s="5"/>
      <c r="J39" s="13">
        <f>'VTSMX-MCSummary'!I36</f>
        <v>5.2356020942408684E-3</v>
      </c>
      <c r="K39" s="12">
        <f t="shared" si="9"/>
        <v>3975583.784263181</v>
      </c>
      <c r="L39" s="12">
        <f t="shared" si="5"/>
        <v>383215.04792814981</v>
      </c>
      <c r="M39" s="14">
        <f t="shared" si="10"/>
        <v>4381619.7684855266</v>
      </c>
      <c r="N39" s="21" t="str">
        <f t="shared" si="1"/>
        <v>Reached</v>
      </c>
      <c r="O39" s="21">
        <f t="shared" si="11"/>
        <v>4065365.5272096442</v>
      </c>
      <c r="P39" s="5"/>
      <c r="Q39" s="13">
        <f>'VTSMX-MCSummary'!K36</f>
        <v>9.1786232659956668E-2</v>
      </c>
      <c r="R39" s="12">
        <f t="shared" si="12"/>
        <v>13820763.729962951</v>
      </c>
      <c r="S39" s="12">
        <f t="shared" si="6"/>
        <v>383215.04792814981</v>
      </c>
      <c r="T39" s="14">
        <f t="shared" si="13"/>
        <v>15507708.478695698</v>
      </c>
      <c r="U39" s="21" t="str">
        <f t="shared" si="2"/>
        <v>Reached</v>
      </c>
      <c r="V39" s="21">
        <f t="shared" si="14"/>
        <v>4065365.5272096442</v>
      </c>
    </row>
    <row r="40" spans="1:22" ht="15" thickTop="1" thickBot="1" x14ac:dyDescent="0.6">
      <c r="A40" s="9">
        <f>'VTSMX-MCSummary'!D37</f>
        <v>2059</v>
      </c>
      <c r="C40" s="13">
        <f>'VTSMX-MCSummary'!I37</f>
        <v>7.2240331248348815E-3</v>
      </c>
      <c r="D40" s="12">
        <f t="shared" si="7"/>
        <v>4381619.7684855266</v>
      </c>
      <c r="E40" s="12">
        <f t="shared" si="3"/>
        <v>421536.55272096483</v>
      </c>
      <c r="F40" s="14">
        <f t="shared" si="4"/>
        <v>4837854.4815746462</v>
      </c>
      <c r="G40" s="21" t="str">
        <f t="shared" si="0"/>
        <v>Reached</v>
      </c>
      <c r="H40" s="21">
        <f t="shared" si="8"/>
        <v>4486902.0799306091</v>
      </c>
      <c r="I40" s="5"/>
      <c r="J40" s="13">
        <f>'VTSMX-MCSummary'!I37</f>
        <v>7.2240331248348815E-3</v>
      </c>
      <c r="K40" s="12">
        <f t="shared" si="9"/>
        <v>4381619.7684855266</v>
      </c>
      <c r="L40" s="12">
        <f t="shared" si="5"/>
        <v>421536.55272096483</v>
      </c>
      <c r="M40" s="14">
        <f t="shared" si="10"/>
        <v>4837854.4815746462</v>
      </c>
      <c r="N40" s="21" t="str">
        <f t="shared" si="1"/>
        <v>Reached</v>
      </c>
      <c r="O40" s="21">
        <f t="shared" si="11"/>
        <v>4486902.0799306091</v>
      </c>
      <c r="P40" s="5"/>
      <c r="Q40" s="13">
        <f>'VTSMX-MCSummary'!K37</f>
        <v>9.4727347383867705E-2</v>
      </c>
      <c r="R40" s="12">
        <f t="shared" si="12"/>
        <v>15507708.478695698</v>
      </c>
      <c r="S40" s="12">
        <f t="shared" si="6"/>
        <v>421536.55272096483</v>
      </c>
      <c r="T40" s="14">
        <f t="shared" si="13"/>
        <v>17438180.159070417</v>
      </c>
      <c r="U40" s="21" t="str">
        <f t="shared" si="2"/>
        <v>Reached</v>
      </c>
      <c r="V40" s="21">
        <f t="shared" si="14"/>
        <v>4486902.0799306091</v>
      </c>
    </row>
    <row r="41" spans="1:22" ht="15" thickTop="1" thickBot="1" x14ac:dyDescent="0.6">
      <c r="A41" s="9">
        <f>'VTSMX-MCSummary'!D38</f>
        <v>2060</v>
      </c>
      <c r="C41" s="13">
        <f>'VTSMX-MCSummary'!I38</f>
        <v>1.6710642040457145E-3</v>
      </c>
      <c r="D41" s="12">
        <f t="shared" si="7"/>
        <v>4837854.4815746462</v>
      </c>
      <c r="E41" s="12">
        <f t="shared" si="3"/>
        <v>463690.20799306134</v>
      </c>
      <c r="F41" s="14">
        <f t="shared" si="4"/>
        <v>5310403.9111245926</v>
      </c>
      <c r="G41" s="21" t="str">
        <f t="shared" si="0"/>
        <v>Reached</v>
      </c>
      <c r="H41" s="21">
        <f t="shared" si="8"/>
        <v>4950592.2879236704</v>
      </c>
      <c r="I41" s="5"/>
      <c r="J41" s="13">
        <f>'VTSMX-MCSummary'!I38</f>
        <v>1.6710642040457145E-3</v>
      </c>
      <c r="K41" s="12">
        <f t="shared" si="9"/>
        <v>4837854.4815746462</v>
      </c>
      <c r="L41" s="12">
        <f t="shared" si="5"/>
        <v>463690.20799306134</v>
      </c>
      <c r="M41" s="14">
        <f t="shared" si="10"/>
        <v>5310403.9111245926</v>
      </c>
      <c r="N41" s="21" t="str">
        <f t="shared" si="1"/>
        <v>Reached</v>
      </c>
      <c r="O41" s="21">
        <f t="shared" si="11"/>
        <v>4950592.2879236704</v>
      </c>
      <c r="P41" s="5"/>
      <c r="Q41" s="13">
        <f>'VTSMX-MCSummary'!K38</f>
        <v>7.3253167778737097E-2</v>
      </c>
      <c r="R41" s="12">
        <f t="shared" si="12"/>
        <v>17438180.159070417</v>
      </c>
      <c r="S41" s="12">
        <f t="shared" si="6"/>
        <v>463690.20799306134</v>
      </c>
      <c r="T41" s="14">
        <f t="shared" si="13"/>
        <v>19213239.080615181</v>
      </c>
      <c r="U41" s="21" t="str">
        <f t="shared" si="2"/>
        <v>Reached</v>
      </c>
      <c r="V41" s="21">
        <f t="shared" si="14"/>
        <v>4950592.2879236704</v>
      </c>
    </row>
    <row r="42" spans="1:22" ht="15" thickTop="1" thickBot="1" x14ac:dyDescent="0.6">
      <c r="A42" s="9">
        <f>'VTSMX-MCSummary'!D39</f>
        <v>2061</v>
      </c>
      <c r="C42" s="13">
        <f>'VTSMX-MCSummary'!I39</f>
        <v>1.1734028683181177E-2</v>
      </c>
      <c r="D42" s="12">
        <f t="shared" si="7"/>
        <v>5310403.9111245926</v>
      </c>
      <c r="E42" s="12">
        <f t="shared" si="3"/>
        <v>510059.2287923675</v>
      </c>
      <c r="F42" s="14">
        <f t="shared" si="4"/>
        <v>5888760.621350144</v>
      </c>
      <c r="G42" s="21" t="str">
        <f t="shared" si="0"/>
        <v>Reached</v>
      </c>
      <c r="H42" s="21">
        <f t="shared" si="8"/>
        <v>5460651.5167160379</v>
      </c>
      <c r="I42" s="5"/>
      <c r="J42" s="13">
        <f>'VTSMX-MCSummary'!I39</f>
        <v>1.1734028683181177E-2</v>
      </c>
      <c r="K42" s="12">
        <f t="shared" si="9"/>
        <v>5310403.9111245926</v>
      </c>
      <c r="L42" s="12">
        <f t="shared" si="5"/>
        <v>510059.2287923675</v>
      </c>
      <c r="M42" s="14">
        <f t="shared" si="10"/>
        <v>5888760.621350144</v>
      </c>
      <c r="N42" s="21" t="str">
        <f t="shared" si="1"/>
        <v>Reached</v>
      </c>
      <c r="O42" s="21">
        <f t="shared" si="11"/>
        <v>5460651.5167160379</v>
      </c>
      <c r="P42" s="5"/>
      <c r="Q42" s="13">
        <f>'VTSMX-MCSummary'!K39</f>
        <v>8.5578293225817184E-2</v>
      </c>
      <c r="R42" s="12">
        <f t="shared" si="12"/>
        <v>19213239.080615181</v>
      </c>
      <c r="S42" s="12">
        <f t="shared" si="6"/>
        <v>510059.2287923675</v>
      </c>
      <c r="T42" s="14">
        <f t="shared" si="13"/>
        <v>21411184.515510291</v>
      </c>
      <c r="U42" s="21" t="str">
        <f t="shared" si="2"/>
        <v>Reached</v>
      </c>
      <c r="V42" s="21">
        <f t="shared" si="14"/>
        <v>5460651.5167160379</v>
      </c>
    </row>
    <row r="43" spans="1:22" ht="15" thickTop="1" thickBot="1" x14ac:dyDescent="0.6">
      <c r="A43" s="9">
        <f>'VTSMX-MCSummary'!D40</f>
        <v>2062</v>
      </c>
      <c r="C43" s="13">
        <f>'VTSMX-MCSummary'!I40</f>
        <v>1.2446351931330497E-2</v>
      </c>
      <c r="D43" s="12">
        <f t="shared" si="7"/>
        <v>5888760.621350144</v>
      </c>
      <c r="E43" s="12">
        <f t="shared" si="3"/>
        <v>561065.15167160425</v>
      </c>
      <c r="F43" s="14">
        <f t="shared" si="4"/>
        <v>6530102.574488543</v>
      </c>
      <c r="G43" s="21" t="str">
        <f t="shared" si="0"/>
        <v>Reached</v>
      </c>
      <c r="H43" s="21">
        <f t="shared" si="8"/>
        <v>6021716.6683876421</v>
      </c>
      <c r="I43" s="5"/>
      <c r="J43" s="13">
        <f>'VTSMX-MCSummary'!I40</f>
        <v>1.2446351931330497E-2</v>
      </c>
      <c r="K43" s="12">
        <f t="shared" si="9"/>
        <v>5888760.621350144</v>
      </c>
      <c r="L43" s="12">
        <f t="shared" si="5"/>
        <v>561065.15167160425</v>
      </c>
      <c r="M43" s="14">
        <f t="shared" si="10"/>
        <v>6530102.574488543</v>
      </c>
      <c r="N43" s="21" t="str">
        <f t="shared" si="1"/>
        <v>Reached</v>
      </c>
      <c r="O43" s="21">
        <f t="shared" si="11"/>
        <v>6021716.6683876421</v>
      </c>
      <c r="P43" s="5"/>
      <c r="Q43" s="13">
        <f>'VTSMX-MCSummary'!K40</f>
        <v>0.1439274370924831</v>
      </c>
      <c r="R43" s="12">
        <f t="shared" si="12"/>
        <v>21411184.515510291</v>
      </c>
      <c r="S43" s="12">
        <f t="shared" si="6"/>
        <v>561065.15167160425</v>
      </c>
      <c r="T43" s="14">
        <f t="shared" si="13"/>
        <v>25134659.248935547</v>
      </c>
      <c r="U43" s="21" t="str">
        <f t="shared" si="2"/>
        <v>Reached</v>
      </c>
      <c r="V43" s="21">
        <f t="shared" si="14"/>
        <v>6021716.6683876421</v>
      </c>
    </row>
    <row r="44" spans="1:22" ht="15" thickTop="1" thickBot="1" x14ac:dyDescent="0.6">
      <c r="A44" s="9">
        <f>'VTSMX-MCSummary'!D41</f>
        <v>2063</v>
      </c>
      <c r="C44" s="13">
        <f>'VTSMX-MCSummary'!I41</f>
        <v>3.592199794731455E-3</v>
      </c>
      <c r="D44" s="15">
        <f t="shared" si="7"/>
        <v>6530102.574488543</v>
      </c>
      <c r="E44" s="15">
        <f t="shared" si="3"/>
        <v>617171.66683876468</v>
      </c>
      <c r="F44" s="16">
        <f t="shared" si="4"/>
        <v>7172948.6783898938</v>
      </c>
      <c r="G44" s="21" t="str">
        <f t="shared" si="0"/>
        <v>Reached</v>
      </c>
      <c r="H44" s="21">
        <f t="shared" si="8"/>
        <v>6638888.3352264073</v>
      </c>
      <c r="I44" s="5"/>
      <c r="J44" s="13">
        <f>'VTSMX-MCSummary'!I41</f>
        <v>3.592199794731455E-3</v>
      </c>
      <c r="K44" s="15">
        <f t="shared" si="9"/>
        <v>6530102.574488543</v>
      </c>
      <c r="L44" s="15">
        <f t="shared" si="5"/>
        <v>617171.66683876468</v>
      </c>
      <c r="M44" s="16">
        <f t="shared" si="10"/>
        <v>7172948.6783898938</v>
      </c>
      <c r="N44" s="21" t="str">
        <f t="shared" si="1"/>
        <v>Reached</v>
      </c>
      <c r="O44" s="21">
        <f t="shared" si="11"/>
        <v>6638888.3352264073</v>
      </c>
      <c r="P44" s="5"/>
      <c r="Q44" s="13">
        <f>'VTSMX-MCSummary'!K41</f>
        <v>3.707855658274635E-2</v>
      </c>
      <c r="R44" s="15">
        <f t="shared" si="12"/>
        <v>25134659.248935547</v>
      </c>
      <c r="S44" s="15">
        <f t="shared" si="6"/>
        <v>617171.66683876468</v>
      </c>
      <c r="T44" s="16">
        <f t="shared" si="13"/>
        <v>26706671.635494165</v>
      </c>
      <c r="U44" s="21" t="str">
        <f t="shared" si="2"/>
        <v>Reached</v>
      </c>
      <c r="V44" s="21">
        <f t="shared" si="14"/>
        <v>6638888.3352264073</v>
      </c>
    </row>
    <row r="45" spans="1:22" ht="14.7" thickTop="1" x14ac:dyDescent="0.55000000000000004"/>
    <row r="46" spans="1:22" x14ac:dyDescent="0.55000000000000004">
      <c r="E46" t="s">
        <v>36</v>
      </c>
    </row>
    <row r="47" spans="1:22" x14ac:dyDescent="0.55000000000000004">
      <c r="E47" s="12">
        <f>SUM(E5:E44)</f>
        <v>6638888.3352264073</v>
      </c>
    </row>
  </sheetData>
  <mergeCells count="4">
    <mergeCell ref="A1:L1"/>
    <mergeCell ref="C3:F3"/>
    <mergeCell ref="J3:M3"/>
    <mergeCell ref="Q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3A27-88F2-4BAF-B057-07FA34595E7A}">
  <dimension ref="A1:K43"/>
  <sheetViews>
    <sheetView workbookViewId="0">
      <selection activeCell="K6" sqref="K6"/>
    </sheetView>
  </sheetViews>
  <sheetFormatPr defaultRowHeight="14.4" x14ac:dyDescent="0.55000000000000004"/>
  <sheetData>
    <row r="1" spans="1:11" x14ac:dyDescent="0.55000000000000004">
      <c r="A1" s="45" t="s">
        <v>85</v>
      </c>
      <c r="B1" s="45" t="s">
        <v>86</v>
      </c>
      <c r="C1" s="45" t="s">
        <v>87</v>
      </c>
      <c r="D1" s="45" t="s">
        <v>88</v>
      </c>
      <c r="E1" s="45" t="s">
        <v>89</v>
      </c>
      <c r="F1" s="45" t="s">
        <v>90</v>
      </c>
      <c r="G1" s="45" t="s">
        <v>91</v>
      </c>
      <c r="I1" s="46" t="s">
        <v>4</v>
      </c>
      <c r="J1" s="46" t="s">
        <v>2</v>
      </c>
      <c r="K1" s="46" t="s">
        <v>3</v>
      </c>
    </row>
    <row r="2" spans="1:11" x14ac:dyDescent="0.55000000000000004">
      <c r="A2">
        <v>189</v>
      </c>
      <c r="B2">
        <v>10000</v>
      </c>
      <c r="C2">
        <v>0</v>
      </c>
      <c r="D2">
        <v>2024</v>
      </c>
      <c r="E2">
        <v>111.16</v>
      </c>
      <c r="F2">
        <v>134.33000000000001</v>
      </c>
      <c r="G2">
        <v>162.43</v>
      </c>
      <c r="I2" s="7">
        <f>(E2-VTSMX_LastPrice)/E2</f>
        <v>-0.17155451601295424</v>
      </c>
      <c r="J2" s="7">
        <f>(F2-VTSMX_LastPrice)/F2</f>
        <v>3.0521849177399109E-2</v>
      </c>
      <c r="K2" s="7">
        <f>(G2-VTSMX_LastPrice)/G2</f>
        <v>0.19823924151942385</v>
      </c>
    </row>
    <row r="3" spans="1:11" x14ac:dyDescent="0.55000000000000004">
      <c r="A3">
        <v>554</v>
      </c>
      <c r="B3">
        <v>10000</v>
      </c>
      <c r="C3">
        <v>0</v>
      </c>
      <c r="D3">
        <v>2025</v>
      </c>
      <c r="E3">
        <v>102.77</v>
      </c>
      <c r="F3">
        <v>142.75</v>
      </c>
      <c r="G3">
        <v>198.81</v>
      </c>
      <c r="I3" s="7">
        <f>(E3-E2)/E3</f>
        <v>-8.1638610489442459E-2</v>
      </c>
      <c r="J3" s="7">
        <f t="shared" ref="J3:K18" si="0">(F3-F2)/F3</f>
        <v>5.8984238178633887E-2</v>
      </c>
      <c r="K3" s="7">
        <f t="shared" si="0"/>
        <v>0.18298878326039936</v>
      </c>
    </row>
    <row r="4" spans="1:11" x14ac:dyDescent="0.55000000000000004">
      <c r="A4">
        <v>919</v>
      </c>
      <c r="B4">
        <v>10000</v>
      </c>
      <c r="C4">
        <v>0</v>
      </c>
      <c r="D4">
        <v>2026</v>
      </c>
      <c r="E4">
        <v>98.53</v>
      </c>
      <c r="F4">
        <v>150.88999999999999</v>
      </c>
      <c r="G4">
        <v>231.36</v>
      </c>
      <c r="I4" s="7">
        <f t="shared" ref="I4:K41" si="1">(E4-E3)/E4</f>
        <v>-4.3032578909976603E-2</v>
      </c>
      <c r="J4" s="7">
        <f t="shared" si="0"/>
        <v>5.3946583603949813E-2</v>
      </c>
      <c r="K4" s="7">
        <f t="shared" si="0"/>
        <v>0.14068983402489629</v>
      </c>
    </row>
    <row r="5" spans="1:11" x14ac:dyDescent="0.55000000000000004">
      <c r="A5">
        <v>1284</v>
      </c>
      <c r="B5">
        <v>10000</v>
      </c>
      <c r="C5">
        <v>0</v>
      </c>
      <c r="D5">
        <v>2027</v>
      </c>
      <c r="E5">
        <v>96.17</v>
      </c>
      <c r="F5">
        <v>160.63</v>
      </c>
      <c r="G5">
        <v>266.89999999999998</v>
      </c>
      <c r="I5" s="7">
        <f t="shared" si="1"/>
        <v>-2.4539877300613491E-2</v>
      </c>
      <c r="J5" s="7">
        <f t="shared" si="0"/>
        <v>6.0636244786154578E-2</v>
      </c>
      <c r="K5" s="7">
        <f t="shared" si="0"/>
        <v>0.13315848632446597</v>
      </c>
    </row>
    <row r="6" spans="1:11" x14ac:dyDescent="0.55000000000000004">
      <c r="A6">
        <v>1649</v>
      </c>
      <c r="B6">
        <v>10000</v>
      </c>
      <c r="C6">
        <v>0</v>
      </c>
      <c r="D6">
        <v>2028</v>
      </c>
      <c r="E6">
        <v>96.12</v>
      </c>
      <c r="F6">
        <v>172.56</v>
      </c>
      <c r="G6">
        <v>308.18</v>
      </c>
      <c r="I6" s="7">
        <f t="shared" si="1"/>
        <v>-5.2018310445273782E-4</v>
      </c>
      <c r="J6" s="7">
        <f t="shared" si="0"/>
        <v>6.9135373203523448E-2</v>
      </c>
      <c r="K6" s="7">
        <f t="shared" si="0"/>
        <v>0.13394769290674291</v>
      </c>
    </row>
    <row r="7" spans="1:11" x14ac:dyDescent="0.55000000000000004">
      <c r="A7">
        <v>2014</v>
      </c>
      <c r="B7">
        <v>10000</v>
      </c>
      <c r="C7">
        <v>0</v>
      </c>
      <c r="D7">
        <v>2029</v>
      </c>
      <c r="E7">
        <v>94.83</v>
      </c>
      <c r="F7">
        <v>182.07</v>
      </c>
      <c r="G7">
        <v>344.22</v>
      </c>
      <c r="I7" s="7">
        <f t="shared" si="1"/>
        <v>-1.3603290098070297E-2</v>
      </c>
      <c r="J7" s="7">
        <f t="shared" si="0"/>
        <v>5.2232657768989901E-2</v>
      </c>
      <c r="K7" s="7">
        <f t="shared" si="0"/>
        <v>0.10470048224972406</v>
      </c>
    </row>
    <row r="8" spans="1:11" x14ac:dyDescent="0.55000000000000004">
      <c r="A8">
        <v>2379</v>
      </c>
      <c r="B8">
        <v>10000</v>
      </c>
      <c r="C8">
        <v>0</v>
      </c>
      <c r="D8">
        <v>2030</v>
      </c>
      <c r="E8">
        <v>94.39</v>
      </c>
      <c r="F8">
        <v>194.36</v>
      </c>
      <c r="G8">
        <v>390.35</v>
      </c>
      <c r="I8" s="7">
        <f t="shared" si="1"/>
        <v>-4.6615107532577364E-3</v>
      </c>
      <c r="J8" s="7">
        <f t="shared" si="0"/>
        <v>6.3233175550524906E-2</v>
      </c>
      <c r="K8" s="7">
        <f t="shared" si="0"/>
        <v>0.11817599590111437</v>
      </c>
    </row>
    <row r="9" spans="1:11" x14ac:dyDescent="0.55000000000000004">
      <c r="A9">
        <v>2744</v>
      </c>
      <c r="B9">
        <v>10000</v>
      </c>
      <c r="C9">
        <v>0</v>
      </c>
      <c r="D9">
        <v>2031</v>
      </c>
      <c r="E9">
        <v>94.16</v>
      </c>
      <c r="F9">
        <v>207.33</v>
      </c>
      <c r="G9">
        <v>438.65</v>
      </c>
      <c r="I9" s="7">
        <f t="shared" si="1"/>
        <v>-2.4426508071368307E-3</v>
      </c>
      <c r="J9" s="7">
        <f t="shared" si="0"/>
        <v>6.2557275840447582E-2</v>
      </c>
      <c r="K9" s="7">
        <f t="shared" si="0"/>
        <v>0.11011056651088558</v>
      </c>
    </row>
    <row r="10" spans="1:11" x14ac:dyDescent="0.55000000000000004">
      <c r="A10">
        <v>3109</v>
      </c>
      <c r="B10">
        <v>10000</v>
      </c>
      <c r="C10">
        <v>0</v>
      </c>
      <c r="D10">
        <v>2032</v>
      </c>
      <c r="E10">
        <v>93.79</v>
      </c>
      <c r="F10">
        <v>223.29</v>
      </c>
      <c r="G10">
        <v>497.64</v>
      </c>
      <c r="I10" s="7">
        <f t="shared" si="1"/>
        <v>-3.9449834737177768E-3</v>
      </c>
      <c r="J10" s="7">
        <f t="shared" si="0"/>
        <v>7.1476555152492183E-2</v>
      </c>
      <c r="K10" s="7">
        <f t="shared" si="0"/>
        <v>0.11853950647054097</v>
      </c>
    </row>
    <row r="11" spans="1:11" x14ac:dyDescent="0.55000000000000004">
      <c r="A11">
        <v>3474</v>
      </c>
      <c r="B11">
        <v>10000</v>
      </c>
      <c r="C11">
        <v>0</v>
      </c>
      <c r="D11">
        <v>2033</v>
      </c>
      <c r="E11">
        <v>94.02</v>
      </c>
      <c r="F11">
        <v>236.91</v>
      </c>
      <c r="G11">
        <v>554.17999999999995</v>
      </c>
      <c r="I11" s="7">
        <f t="shared" si="1"/>
        <v>2.4462880238246094E-3</v>
      </c>
      <c r="J11" s="7">
        <f t="shared" si="0"/>
        <v>5.7490186146637985E-2</v>
      </c>
      <c r="K11" s="7">
        <f t="shared" si="0"/>
        <v>0.10202461294164346</v>
      </c>
    </row>
    <row r="12" spans="1:11" x14ac:dyDescent="0.55000000000000004">
      <c r="A12">
        <v>3839</v>
      </c>
      <c r="B12">
        <v>10000</v>
      </c>
      <c r="C12">
        <v>0</v>
      </c>
      <c r="D12">
        <v>2034</v>
      </c>
      <c r="E12">
        <v>94.25</v>
      </c>
      <c r="F12">
        <v>254.67</v>
      </c>
      <c r="G12">
        <v>619.42999999999995</v>
      </c>
      <c r="I12" s="7">
        <f t="shared" si="1"/>
        <v>2.44031830238731E-3</v>
      </c>
      <c r="J12" s="7">
        <f t="shared" si="0"/>
        <v>6.9737307103310137E-2</v>
      </c>
      <c r="K12" s="7">
        <f t="shared" si="0"/>
        <v>0.10533877920023248</v>
      </c>
    </row>
    <row r="13" spans="1:11" x14ac:dyDescent="0.55000000000000004">
      <c r="A13">
        <v>4204</v>
      </c>
      <c r="B13">
        <v>10000</v>
      </c>
      <c r="C13">
        <v>0</v>
      </c>
      <c r="D13">
        <v>2035</v>
      </c>
      <c r="E13">
        <v>95.13</v>
      </c>
      <c r="F13">
        <v>272.29000000000002</v>
      </c>
      <c r="G13">
        <v>683.34</v>
      </c>
      <c r="I13" s="7">
        <f t="shared" si="1"/>
        <v>9.2504993167244354E-3</v>
      </c>
      <c r="J13" s="7">
        <f t="shared" si="0"/>
        <v>6.4710419038525216E-2</v>
      </c>
      <c r="K13" s="7">
        <f t="shared" si="0"/>
        <v>9.3525916820323823E-2</v>
      </c>
    </row>
    <row r="14" spans="1:11" x14ac:dyDescent="0.55000000000000004">
      <c r="A14">
        <v>4569</v>
      </c>
      <c r="B14">
        <v>10000</v>
      </c>
      <c r="C14">
        <v>0</v>
      </c>
      <c r="D14">
        <v>2036</v>
      </c>
      <c r="E14">
        <v>96.82</v>
      </c>
      <c r="F14">
        <v>296.14999999999998</v>
      </c>
      <c r="G14">
        <v>772.86</v>
      </c>
      <c r="I14" s="7">
        <f t="shared" si="1"/>
        <v>1.7455071266267278E-2</v>
      </c>
      <c r="J14" s="7">
        <f t="shared" si="0"/>
        <v>8.0567280094546542E-2</v>
      </c>
      <c r="K14" s="7">
        <f t="shared" si="0"/>
        <v>0.11582951634189889</v>
      </c>
    </row>
    <row r="15" spans="1:11" x14ac:dyDescent="0.55000000000000004">
      <c r="A15">
        <v>4934</v>
      </c>
      <c r="B15">
        <v>10000</v>
      </c>
      <c r="C15">
        <v>0</v>
      </c>
      <c r="D15">
        <v>2037</v>
      </c>
      <c r="E15">
        <v>97.39</v>
      </c>
      <c r="F15">
        <v>314.44</v>
      </c>
      <c r="G15">
        <v>852.32</v>
      </c>
      <c r="I15" s="7">
        <f t="shared" si="1"/>
        <v>5.8527569565664586E-3</v>
      </c>
      <c r="J15" s="7">
        <f t="shared" si="0"/>
        <v>5.8166899885510812E-2</v>
      </c>
      <c r="K15" s="7">
        <f t="shared" si="0"/>
        <v>9.3227895626055976E-2</v>
      </c>
    </row>
    <row r="16" spans="1:11" x14ac:dyDescent="0.55000000000000004">
      <c r="A16">
        <v>5299</v>
      </c>
      <c r="B16">
        <v>10000</v>
      </c>
      <c r="C16">
        <v>0</v>
      </c>
      <c r="D16">
        <v>2038</v>
      </c>
      <c r="E16">
        <v>97.38</v>
      </c>
      <c r="F16">
        <v>339.31</v>
      </c>
      <c r="G16">
        <v>950.92</v>
      </c>
      <c r="I16" s="7">
        <f t="shared" si="1"/>
        <v>-1.0269049086059885E-4</v>
      </c>
      <c r="J16" s="7">
        <f t="shared" si="0"/>
        <v>7.3295806194925012E-2</v>
      </c>
      <c r="K16" s="7">
        <f t="shared" si="0"/>
        <v>0.10368905901653126</v>
      </c>
    </row>
    <row r="17" spans="1:11" x14ac:dyDescent="0.55000000000000004">
      <c r="A17">
        <v>5664</v>
      </c>
      <c r="B17">
        <v>10000</v>
      </c>
      <c r="C17">
        <v>0</v>
      </c>
      <c r="D17">
        <v>2039</v>
      </c>
      <c r="E17">
        <v>97.37</v>
      </c>
      <c r="F17">
        <v>369.95</v>
      </c>
      <c r="G17">
        <v>1070</v>
      </c>
      <c r="I17" s="7">
        <f t="shared" si="1"/>
        <v>-1.0270103728038312E-4</v>
      </c>
      <c r="J17" s="7">
        <f t="shared" si="0"/>
        <v>8.2822002973374748E-2</v>
      </c>
      <c r="K17" s="7">
        <f t="shared" si="0"/>
        <v>0.11128971962616827</v>
      </c>
    </row>
    <row r="18" spans="1:11" x14ac:dyDescent="0.55000000000000004">
      <c r="A18">
        <v>6029</v>
      </c>
      <c r="B18">
        <v>10000</v>
      </c>
      <c r="C18">
        <v>0</v>
      </c>
      <c r="D18">
        <v>2040</v>
      </c>
      <c r="E18">
        <v>98.71</v>
      </c>
      <c r="F18">
        <v>394.3</v>
      </c>
      <c r="G18">
        <v>1168.17</v>
      </c>
      <c r="I18" s="7">
        <f t="shared" si="1"/>
        <v>1.35751190355586E-2</v>
      </c>
      <c r="J18" s="7">
        <f t="shared" si="0"/>
        <v>6.175500887649004E-2</v>
      </c>
      <c r="K18" s="7">
        <f t="shared" si="0"/>
        <v>8.4037426059563311E-2</v>
      </c>
    </row>
    <row r="19" spans="1:11" x14ac:dyDescent="0.55000000000000004">
      <c r="A19">
        <v>6394</v>
      </c>
      <c r="B19">
        <v>10000</v>
      </c>
      <c r="C19">
        <v>0</v>
      </c>
      <c r="D19">
        <v>2041</v>
      </c>
      <c r="E19">
        <v>99.8</v>
      </c>
      <c r="F19">
        <v>421.49</v>
      </c>
      <c r="G19">
        <v>1285.47</v>
      </c>
      <c r="I19" s="7">
        <f t="shared" si="1"/>
        <v>1.0921843687374784E-2</v>
      </c>
      <c r="J19" s="7">
        <f t="shared" si="1"/>
        <v>6.4509241025884359E-2</v>
      </c>
      <c r="K19" s="7">
        <f t="shared" si="1"/>
        <v>9.1250670960815849E-2</v>
      </c>
    </row>
    <row r="20" spans="1:11" x14ac:dyDescent="0.55000000000000004">
      <c r="A20">
        <v>6759</v>
      </c>
      <c r="B20">
        <v>10000</v>
      </c>
      <c r="C20">
        <v>0</v>
      </c>
      <c r="D20">
        <v>2042</v>
      </c>
      <c r="E20">
        <v>100.65</v>
      </c>
      <c r="F20">
        <v>465.79</v>
      </c>
      <c r="G20">
        <v>1457.24</v>
      </c>
      <c r="I20" s="7">
        <f t="shared" si="1"/>
        <v>8.4451068057626276E-3</v>
      </c>
      <c r="J20" s="7">
        <f t="shared" si="1"/>
        <v>9.5107237166963676E-2</v>
      </c>
      <c r="K20" s="7">
        <f t="shared" si="1"/>
        <v>0.11787351431473195</v>
      </c>
    </row>
    <row r="21" spans="1:11" x14ac:dyDescent="0.55000000000000004">
      <c r="A21">
        <v>7124</v>
      </c>
      <c r="B21">
        <v>10000</v>
      </c>
      <c r="C21">
        <v>0</v>
      </c>
      <c r="D21">
        <v>2043</v>
      </c>
      <c r="E21">
        <v>101.08</v>
      </c>
      <c r="F21">
        <v>488.59</v>
      </c>
      <c r="G21">
        <v>1530.63</v>
      </c>
      <c r="I21" s="7">
        <f t="shared" si="1"/>
        <v>4.2540561931142919E-3</v>
      </c>
      <c r="J21" s="7">
        <f t="shared" si="1"/>
        <v>4.6664892854949867E-2</v>
      </c>
      <c r="K21" s="7">
        <f t="shared" si="1"/>
        <v>4.7947577141438553E-2</v>
      </c>
    </row>
    <row r="22" spans="1:11" x14ac:dyDescent="0.55000000000000004">
      <c r="A22">
        <v>7489</v>
      </c>
      <c r="B22">
        <v>10000</v>
      </c>
      <c r="C22">
        <v>0</v>
      </c>
      <c r="D22">
        <v>2044</v>
      </c>
      <c r="E22">
        <v>102.52</v>
      </c>
      <c r="F22">
        <v>533.52</v>
      </c>
      <c r="G22">
        <v>1717.24</v>
      </c>
      <c r="I22" s="7">
        <f t="shared" si="1"/>
        <v>1.4046039797112737E-2</v>
      </c>
      <c r="J22" s="7">
        <f t="shared" si="1"/>
        <v>8.4214275003748701E-2</v>
      </c>
      <c r="K22" s="7">
        <f t="shared" si="1"/>
        <v>0.10866856117956715</v>
      </c>
    </row>
    <row r="23" spans="1:11" x14ac:dyDescent="0.55000000000000004">
      <c r="A23">
        <v>7854</v>
      </c>
      <c r="B23">
        <v>10000</v>
      </c>
      <c r="C23">
        <v>0</v>
      </c>
      <c r="D23">
        <v>2045</v>
      </c>
      <c r="E23">
        <v>101.92</v>
      </c>
      <c r="F23">
        <v>577.57000000000005</v>
      </c>
      <c r="G23">
        <v>1905.81</v>
      </c>
      <c r="I23" s="7">
        <f t="shared" si="1"/>
        <v>-5.8869701726844024E-3</v>
      </c>
      <c r="J23" s="7">
        <f t="shared" si="1"/>
        <v>7.626781169382077E-2</v>
      </c>
      <c r="K23" s="7">
        <f t="shared" si="1"/>
        <v>9.8944805620707177E-2</v>
      </c>
    </row>
    <row r="24" spans="1:11" x14ac:dyDescent="0.55000000000000004">
      <c r="A24">
        <v>8219</v>
      </c>
      <c r="B24">
        <v>10000</v>
      </c>
      <c r="C24">
        <v>0</v>
      </c>
      <c r="D24">
        <v>2046</v>
      </c>
      <c r="E24">
        <v>103.57</v>
      </c>
      <c r="F24">
        <v>625.02</v>
      </c>
      <c r="G24">
        <v>2093.5700000000002</v>
      </c>
      <c r="I24" s="7">
        <f t="shared" si="1"/>
        <v>1.5931254224196115E-2</v>
      </c>
      <c r="J24" s="7">
        <f t="shared" si="1"/>
        <v>7.591757063773949E-2</v>
      </c>
      <c r="K24" s="7">
        <f t="shared" si="1"/>
        <v>8.9684128068323585E-2</v>
      </c>
    </row>
    <row r="25" spans="1:11" x14ac:dyDescent="0.55000000000000004">
      <c r="A25">
        <v>8584</v>
      </c>
      <c r="B25">
        <v>10000</v>
      </c>
      <c r="C25">
        <v>0</v>
      </c>
      <c r="D25">
        <v>2047</v>
      </c>
      <c r="E25">
        <v>103.98</v>
      </c>
      <c r="F25">
        <v>673.17</v>
      </c>
      <c r="G25">
        <v>2310.9299999999998</v>
      </c>
      <c r="I25" s="7">
        <f t="shared" si="1"/>
        <v>3.943065974225916E-3</v>
      </c>
      <c r="J25" s="7">
        <f t="shared" si="1"/>
        <v>7.1527251660056121E-2</v>
      </c>
      <c r="K25" s="7">
        <f t="shared" si="1"/>
        <v>9.4057370842041813E-2</v>
      </c>
    </row>
    <row r="26" spans="1:11" x14ac:dyDescent="0.55000000000000004">
      <c r="A26">
        <v>8949</v>
      </c>
      <c r="B26">
        <v>10000</v>
      </c>
      <c r="C26">
        <v>0</v>
      </c>
      <c r="D26">
        <v>2048</v>
      </c>
      <c r="E26">
        <v>105.49</v>
      </c>
      <c r="F26">
        <v>719.64</v>
      </c>
      <c r="G26">
        <v>2505</v>
      </c>
      <c r="I26" s="7">
        <f t="shared" si="1"/>
        <v>1.4314153000284302E-2</v>
      </c>
      <c r="J26" s="7">
        <f t="shared" si="1"/>
        <v>6.4573953643488446E-2</v>
      </c>
      <c r="K26" s="7">
        <f t="shared" si="1"/>
        <v>7.7473053892215635E-2</v>
      </c>
    </row>
    <row r="27" spans="1:11" x14ac:dyDescent="0.55000000000000004">
      <c r="A27">
        <v>9314</v>
      </c>
      <c r="B27">
        <v>10000</v>
      </c>
      <c r="C27">
        <v>0</v>
      </c>
      <c r="D27">
        <v>2049</v>
      </c>
      <c r="E27">
        <v>104.55</v>
      </c>
      <c r="F27">
        <v>797.45</v>
      </c>
      <c r="G27">
        <v>2822.19</v>
      </c>
      <c r="I27" s="7">
        <f t="shared" si="1"/>
        <v>-8.9909134385461279E-3</v>
      </c>
      <c r="J27" s="7">
        <f t="shared" si="1"/>
        <v>9.7573515580914233E-2</v>
      </c>
      <c r="K27" s="7">
        <f t="shared" si="1"/>
        <v>0.11239144068967719</v>
      </c>
    </row>
    <row r="28" spans="1:11" x14ac:dyDescent="0.55000000000000004">
      <c r="A28">
        <v>9679</v>
      </c>
      <c r="B28">
        <v>10000</v>
      </c>
      <c r="C28">
        <v>0</v>
      </c>
      <c r="D28">
        <v>2050</v>
      </c>
      <c r="E28">
        <v>107.05</v>
      </c>
      <c r="F28">
        <v>876.37</v>
      </c>
      <c r="G28">
        <v>3169.79</v>
      </c>
      <c r="I28" s="7">
        <f t="shared" si="1"/>
        <v>2.3353573096683792E-2</v>
      </c>
      <c r="J28" s="7">
        <f t="shared" si="1"/>
        <v>9.0053287994796671E-2</v>
      </c>
      <c r="K28" s="7">
        <f t="shared" si="1"/>
        <v>0.10966026140532967</v>
      </c>
    </row>
    <row r="29" spans="1:11" x14ac:dyDescent="0.55000000000000004">
      <c r="A29">
        <v>10044</v>
      </c>
      <c r="B29">
        <v>10000</v>
      </c>
      <c r="C29">
        <v>0</v>
      </c>
      <c r="D29">
        <v>2051</v>
      </c>
      <c r="E29">
        <v>106.79</v>
      </c>
      <c r="F29">
        <v>923.66</v>
      </c>
      <c r="G29">
        <v>3372.52</v>
      </c>
      <c r="I29" s="7">
        <f t="shared" si="1"/>
        <v>-2.4346848955893894E-3</v>
      </c>
      <c r="J29" s="7">
        <f t="shared" si="1"/>
        <v>5.1198492951951981E-2</v>
      </c>
      <c r="K29" s="7">
        <f t="shared" si="1"/>
        <v>6.0112319571121897E-2</v>
      </c>
    </row>
    <row r="30" spans="1:11" x14ac:dyDescent="0.55000000000000004">
      <c r="A30">
        <v>10409</v>
      </c>
      <c r="B30">
        <v>10000</v>
      </c>
      <c r="C30">
        <v>0</v>
      </c>
      <c r="D30">
        <v>2052</v>
      </c>
      <c r="E30">
        <v>108.47</v>
      </c>
      <c r="F30">
        <v>1015.4</v>
      </c>
      <c r="G30">
        <v>3774.82</v>
      </c>
      <c r="I30" s="7">
        <f t="shared" si="1"/>
        <v>1.5488153406471767E-2</v>
      </c>
      <c r="J30" s="7">
        <f t="shared" si="1"/>
        <v>9.0348631081347261E-2</v>
      </c>
      <c r="K30" s="7">
        <f t="shared" si="1"/>
        <v>0.10657461812748692</v>
      </c>
    </row>
    <row r="31" spans="1:11" x14ac:dyDescent="0.55000000000000004">
      <c r="A31">
        <v>10774</v>
      </c>
      <c r="B31">
        <v>10000</v>
      </c>
      <c r="C31">
        <v>0</v>
      </c>
      <c r="D31">
        <v>2053</v>
      </c>
      <c r="E31">
        <v>108.16</v>
      </c>
      <c r="F31">
        <v>1113.6500000000001</v>
      </c>
      <c r="G31">
        <v>4194.21</v>
      </c>
      <c r="I31" s="7">
        <f t="shared" si="1"/>
        <v>-2.8661242603550507E-3</v>
      </c>
      <c r="J31" s="7">
        <f t="shared" si="1"/>
        <v>8.8223409509271405E-2</v>
      </c>
      <c r="K31" s="7">
        <f t="shared" si="1"/>
        <v>9.9992608858402388E-2</v>
      </c>
    </row>
    <row r="32" spans="1:11" x14ac:dyDescent="0.55000000000000004">
      <c r="A32">
        <v>11139</v>
      </c>
      <c r="B32">
        <v>10000</v>
      </c>
      <c r="C32">
        <v>0</v>
      </c>
      <c r="D32">
        <v>2054</v>
      </c>
      <c r="E32">
        <v>108.82</v>
      </c>
      <c r="F32">
        <v>1210.72</v>
      </c>
      <c r="G32">
        <v>4560.26</v>
      </c>
      <c r="I32" s="7">
        <f t="shared" si="1"/>
        <v>6.065061569564387E-3</v>
      </c>
      <c r="J32" s="7">
        <f t="shared" si="1"/>
        <v>8.0175432800317109E-2</v>
      </c>
      <c r="K32" s="7">
        <f t="shared" si="1"/>
        <v>8.0269546034655956E-2</v>
      </c>
    </row>
    <row r="33" spans="1:11" x14ac:dyDescent="0.55000000000000004">
      <c r="A33">
        <v>11504</v>
      </c>
      <c r="B33">
        <v>10000</v>
      </c>
      <c r="C33">
        <v>0</v>
      </c>
      <c r="D33">
        <v>2055</v>
      </c>
      <c r="E33">
        <v>110.57</v>
      </c>
      <c r="F33">
        <v>1349.58</v>
      </c>
      <c r="G33">
        <v>5170.3900000000003</v>
      </c>
      <c r="I33" s="7">
        <f t="shared" si="1"/>
        <v>1.5827077869223119E-2</v>
      </c>
      <c r="J33" s="7">
        <f t="shared" si="1"/>
        <v>0.10289126987655411</v>
      </c>
      <c r="K33" s="7">
        <f t="shared" si="1"/>
        <v>0.11800463794800781</v>
      </c>
    </row>
    <row r="34" spans="1:11" x14ac:dyDescent="0.55000000000000004">
      <c r="A34">
        <v>11869</v>
      </c>
      <c r="B34">
        <v>10000</v>
      </c>
      <c r="C34">
        <v>0</v>
      </c>
      <c r="D34">
        <v>2056</v>
      </c>
      <c r="E34">
        <v>111.29</v>
      </c>
      <c r="F34">
        <v>1440.57</v>
      </c>
      <c r="G34">
        <v>5513.78</v>
      </c>
      <c r="I34" s="7">
        <f t="shared" si="1"/>
        <v>6.4695839698087256E-3</v>
      </c>
      <c r="J34" s="7">
        <f t="shared" si="1"/>
        <v>6.316249817780463E-2</v>
      </c>
      <c r="K34" s="7">
        <f t="shared" si="1"/>
        <v>6.2278509479884843E-2</v>
      </c>
    </row>
    <row r="35" spans="1:11" x14ac:dyDescent="0.55000000000000004">
      <c r="A35">
        <v>12234</v>
      </c>
      <c r="B35">
        <v>10000</v>
      </c>
      <c r="C35">
        <v>0</v>
      </c>
      <c r="D35">
        <v>2057</v>
      </c>
      <c r="E35">
        <v>112.1</v>
      </c>
      <c r="F35">
        <v>1579.89</v>
      </c>
      <c r="G35">
        <v>6107.12</v>
      </c>
      <c r="I35" s="7">
        <f t="shared" si="1"/>
        <v>7.225691347011491E-3</v>
      </c>
      <c r="J35" s="7">
        <f t="shared" si="1"/>
        <v>8.8183354537341302E-2</v>
      </c>
      <c r="K35" s="7">
        <f t="shared" si="1"/>
        <v>9.7155451342040136E-2</v>
      </c>
    </row>
    <row r="36" spans="1:11" x14ac:dyDescent="0.55000000000000004">
      <c r="A36">
        <v>12599</v>
      </c>
      <c r="B36">
        <v>10000</v>
      </c>
      <c r="C36">
        <v>0</v>
      </c>
      <c r="D36">
        <v>2058</v>
      </c>
      <c r="E36">
        <v>112.69</v>
      </c>
      <c r="F36">
        <v>1715.44</v>
      </c>
      <c r="G36">
        <v>6724.32</v>
      </c>
      <c r="I36" s="7">
        <f t="shared" si="1"/>
        <v>5.2356020942408684E-3</v>
      </c>
      <c r="J36" s="7">
        <f t="shared" si="1"/>
        <v>7.9017628130392176E-2</v>
      </c>
      <c r="K36" s="7">
        <f t="shared" si="1"/>
        <v>9.1786232659956668E-2</v>
      </c>
    </row>
    <row r="37" spans="1:11" x14ac:dyDescent="0.55000000000000004">
      <c r="A37">
        <v>12964</v>
      </c>
      <c r="B37">
        <v>10000</v>
      </c>
      <c r="C37">
        <v>0</v>
      </c>
      <c r="D37">
        <v>2059</v>
      </c>
      <c r="E37">
        <v>113.51</v>
      </c>
      <c r="F37">
        <v>1909.08</v>
      </c>
      <c r="G37">
        <v>7427.95</v>
      </c>
      <c r="I37" s="7">
        <f t="shared" si="1"/>
        <v>7.2240331248348815E-3</v>
      </c>
      <c r="J37" s="7">
        <f t="shared" si="1"/>
        <v>0.10143105579650925</v>
      </c>
      <c r="K37" s="7">
        <f t="shared" si="1"/>
        <v>9.4727347383867705E-2</v>
      </c>
    </row>
    <row r="38" spans="1:11" x14ac:dyDescent="0.55000000000000004">
      <c r="A38">
        <v>13329</v>
      </c>
      <c r="B38">
        <v>10000</v>
      </c>
      <c r="C38">
        <v>0</v>
      </c>
      <c r="D38">
        <v>2060</v>
      </c>
      <c r="E38">
        <v>113.7</v>
      </c>
      <c r="F38">
        <v>2033.3</v>
      </c>
      <c r="G38">
        <v>8015.08</v>
      </c>
      <c r="I38" s="7">
        <f t="shared" si="1"/>
        <v>1.6710642040457145E-3</v>
      </c>
      <c r="J38" s="7">
        <f t="shared" si="1"/>
        <v>6.1092804800078705E-2</v>
      </c>
      <c r="K38" s="7">
        <f t="shared" si="1"/>
        <v>7.3253167778737097E-2</v>
      </c>
    </row>
    <row r="39" spans="1:11" x14ac:dyDescent="0.55000000000000004">
      <c r="A39">
        <v>13694</v>
      </c>
      <c r="B39">
        <v>10000</v>
      </c>
      <c r="C39">
        <v>0</v>
      </c>
      <c r="D39">
        <v>2061</v>
      </c>
      <c r="E39">
        <v>115.05</v>
      </c>
      <c r="F39">
        <v>2234.6999999999998</v>
      </c>
      <c r="G39">
        <v>8765.19</v>
      </c>
      <c r="I39" s="7">
        <f t="shared" si="1"/>
        <v>1.1734028683181177E-2</v>
      </c>
      <c r="J39" s="7">
        <f t="shared" si="1"/>
        <v>9.0123953998299491E-2</v>
      </c>
      <c r="K39" s="7">
        <f t="shared" si="1"/>
        <v>8.5578293225817184E-2</v>
      </c>
    </row>
    <row r="40" spans="1:11" x14ac:dyDescent="0.55000000000000004">
      <c r="A40">
        <v>14059</v>
      </c>
      <c r="B40">
        <v>10000</v>
      </c>
      <c r="C40">
        <v>0</v>
      </c>
      <c r="D40">
        <v>2062</v>
      </c>
      <c r="E40">
        <v>116.5</v>
      </c>
      <c r="F40">
        <v>2582.15</v>
      </c>
      <c r="G40">
        <v>10238.84</v>
      </c>
      <c r="I40" s="7">
        <f t="shared" si="1"/>
        <v>1.2446351931330497E-2</v>
      </c>
      <c r="J40" s="7">
        <f t="shared" si="1"/>
        <v>0.13455841062680335</v>
      </c>
      <c r="K40" s="7">
        <f t="shared" si="1"/>
        <v>0.1439274370924831</v>
      </c>
    </row>
    <row r="41" spans="1:11" x14ac:dyDescent="0.55000000000000004">
      <c r="A41">
        <v>14424</v>
      </c>
      <c r="B41">
        <v>10000</v>
      </c>
      <c r="C41">
        <v>0</v>
      </c>
      <c r="D41">
        <v>2063</v>
      </c>
      <c r="E41">
        <v>116.92</v>
      </c>
      <c r="F41">
        <v>2760.61</v>
      </c>
      <c r="G41">
        <v>10633.1</v>
      </c>
      <c r="I41" s="7">
        <f t="shared" si="1"/>
        <v>3.592199794731455E-3</v>
      </c>
      <c r="J41" s="7">
        <f t="shared" si="1"/>
        <v>6.464513277862502E-2</v>
      </c>
      <c r="K41" s="7">
        <f t="shared" si="1"/>
        <v>3.707855658274635E-2</v>
      </c>
    </row>
    <row r="42" spans="1:11" x14ac:dyDescent="0.55000000000000004">
      <c r="I42" s="7"/>
      <c r="J42" s="7"/>
      <c r="K42" s="7"/>
    </row>
    <row r="43" spans="1:11" x14ac:dyDescent="0.55000000000000004">
      <c r="I43" s="7">
        <f>AVERAGE(I3:I41)</f>
        <v>1.1394929344241912E-3</v>
      </c>
      <c r="J43" s="7">
        <f t="shared" ref="J43:K43" si="2">AVERAGE(J3:J41)</f>
        <v>7.4415592992966517E-2</v>
      </c>
      <c r="K43" s="7">
        <f t="shared" si="2"/>
        <v>0.1012811380379806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68F8-5B81-4D54-9A2B-20555EB2CA54}">
  <dimension ref="A1:X47"/>
  <sheetViews>
    <sheetView workbookViewId="0">
      <selection activeCell="A13" sqref="A13"/>
    </sheetView>
  </sheetViews>
  <sheetFormatPr defaultRowHeight="14.4" x14ac:dyDescent="0.55000000000000004"/>
  <cols>
    <col min="2" max="2" width="3.20703125" customWidth="1"/>
    <col min="4" max="4" width="11.5234375" bestFit="1" customWidth="1"/>
    <col min="5" max="5" width="11.5234375" customWidth="1"/>
    <col min="6" max="6" width="11.5234375" bestFit="1" customWidth="1"/>
    <col min="7" max="7" width="7.62890625" bestFit="1" customWidth="1"/>
    <col min="8" max="8" width="10.15625" bestFit="1" customWidth="1"/>
    <col min="9" max="9" width="4.3671875" customWidth="1"/>
    <col min="11" max="11" width="11.15625" bestFit="1" customWidth="1"/>
    <col min="12" max="12" width="9.734375" bestFit="1" customWidth="1"/>
    <col min="13" max="13" width="12.15625" bestFit="1" customWidth="1"/>
    <col min="14" max="14" width="7.62890625" bestFit="1" customWidth="1"/>
    <col min="15" max="15" width="10.15625" bestFit="1" customWidth="1"/>
    <col min="16" max="16" width="6.05078125" customWidth="1"/>
    <col min="18" max="18" width="11.15625" bestFit="1" customWidth="1"/>
    <col min="19" max="19" width="9.734375" bestFit="1" customWidth="1"/>
    <col min="20" max="20" width="11.15625" bestFit="1" customWidth="1"/>
    <col min="21" max="21" width="7.62890625" bestFit="1" customWidth="1"/>
    <col min="22" max="22" width="10.15625" bestFit="1" customWidth="1"/>
  </cols>
  <sheetData>
    <row r="1" spans="1:24" x14ac:dyDescent="0.55000000000000004">
      <c r="A1" s="49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X1" s="6"/>
    </row>
    <row r="2" spans="1:24" ht="14.7" thickBot="1" x14ac:dyDescent="0.6">
      <c r="X2" s="6"/>
    </row>
    <row r="3" spans="1:24" x14ac:dyDescent="0.55000000000000004">
      <c r="C3" s="51" t="s">
        <v>31</v>
      </c>
      <c r="D3" s="52"/>
      <c r="E3" s="52"/>
      <c r="F3" s="53"/>
      <c r="G3" s="20" t="s">
        <v>37</v>
      </c>
      <c r="H3" s="20" t="s">
        <v>40</v>
      </c>
      <c r="J3" s="51" t="s">
        <v>32</v>
      </c>
      <c r="K3" s="52"/>
      <c r="L3" s="52"/>
      <c r="M3" s="53"/>
      <c r="N3" s="20" t="s">
        <v>37</v>
      </c>
      <c r="O3" s="20" t="s">
        <v>41</v>
      </c>
      <c r="Q3" s="51" t="s">
        <v>33</v>
      </c>
      <c r="R3" s="52"/>
      <c r="S3" s="52"/>
      <c r="T3" s="53"/>
      <c r="U3" s="20" t="s">
        <v>37</v>
      </c>
      <c r="V3" s="20" t="s">
        <v>41</v>
      </c>
      <c r="X3" s="6"/>
    </row>
    <row r="4" spans="1:24" s="10" customFormat="1" x14ac:dyDescent="0.55000000000000004">
      <c r="A4" s="10" t="str">
        <f>[1]MCSummary!$D$1</f>
        <v>Year</v>
      </c>
      <c r="B4"/>
      <c r="C4" s="17" t="str">
        <f>[1]MCSummary!$I$1</f>
        <v>5Per</v>
      </c>
      <c r="D4" s="18" t="s">
        <v>35</v>
      </c>
      <c r="E4" s="18" t="s">
        <v>30</v>
      </c>
      <c r="F4" s="19" t="s">
        <v>6</v>
      </c>
      <c r="G4" s="18"/>
      <c r="H4" s="18"/>
      <c r="J4" s="17" t="str">
        <f>[1]MCSummary!$J$1</f>
        <v>Mean</v>
      </c>
      <c r="K4" s="18" t="s">
        <v>35</v>
      </c>
      <c r="L4" s="18" t="s">
        <v>30</v>
      </c>
      <c r="M4" s="19" t="s">
        <v>6</v>
      </c>
      <c r="N4" s="18"/>
      <c r="O4" s="18"/>
      <c r="Q4" s="17" t="str">
        <f>[1]MCSummary!$K$1</f>
        <v>95Per</v>
      </c>
      <c r="R4" s="18" t="s">
        <v>35</v>
      </c>
      <c r="S4" s="18" t="s">
        <v>30</v>
      </c>
      <c r="T4" s="19" t="s">
        <v>6</v>
      </c>
      <c r="U4" s="18"/>
      <c r="V4" s="18"/>
    </row>
    <row r="5" spans="1:24" ht="14.7" thickBot="1" x14ac:dyDescent="0.6">
      <c r="A5" s="9">
        <f>COKE_MCSummary!D2</f>
        <v>2024</v>
      </c>
      <c r="C5" s="13">
        <f>COKE_MCSummary!I2</f>
        <v>-0.43619203939269591</v>
      </c>
      <c r="D5" s="12">
        <f>StartingPortfolio*COKE_AAP</f>
        <v>50000</v>
      </c>
      <c r="E5" s="12">
        <f>FirstJob_AnnualIncome*FirstJob_TargetSavingsPercent*COKE_AAP</f>
        <v>15000</v>
      </c>
      <c r="F5" s="14">
        <f>(D5+E5)*(1+C5)</f>
        <v>36647.517439474766</v>
      </c>
      <c r="G5" s="21" t="str">
        <f t="shared" ref="G5:G44" si="0">IF((F5-FinancialGoal)&gt;0,"Reached","")</f>
        <v/>
      </c>
      <c r="H5" s="21">
        <f>E5</f>
        <v>15000</v>
      </c>
      <c r="I5" s="7"/>
      <c r="J5" s="13">
        <f>COKE_MCSummary!J2</f>
        <v>3.1421693831426034E-3</v>
      </c>
      <c r="K5" s="12">
        <f>StartingPortfolio*COKE_AAP</f>
        <v>50000</v>
      </c>
      <c r="L5" s="12">
        <f>FirstJob_AnnualIncome*FirstJob_TargetSavingsPercent*COKE_AAP</f>
        <v>15000</v>
      </c>
      <c r="M5" s="14">
        <f>(K5+L5)*(1+J5)</f>
        <v>65204.241009904268</v>
      </c>
      <c r="N5" s="21" t="str">
        <f t="shared" ref="N5:N44" si="1">IF((M5-FinancialGoal)&gt;0,"Reached","")</f>
        <v/>
      </c>
      <c r="O5" s="21">
        <f>L5</f>
        <v>15000</v>
      </c>
      <c r="P5" s="7"/>
      <c r="Q5" s="13">
        <f>COKE_MCSummary!K2</f>
        <v>0.28050397877984085</v>
      </c>
      <c r="R5" s="12">
        <f>StartingPortfolio*COKE_AAP</f>
        <v>50000</v>
      </c>
      <c r="S5" s="12">
        <f>FirstJob_AnnualIncome*FirstJob_TargetSavingsPercent*COKE_AAP</f>
        <v>15000</v>
      </c>
      <c r="T5" s="14">
        <f>(R5+S5)*(1+Q5)</f>
        <v>83232.758620689652</v>
      </c>
      <c r="U5" s="21" t="str">
        <f t="shared" ref="U5:U44" si="2">IF((T5-FinancialGoal)&gt;0,"Reached","")</f>
        <v/>
      </c>
      <c r="V5" s="21">
        <f>S5</f>
        <v>15000</v>
      </c>
    </row>
    <row r="6" spans="1:24" ht="15" thickTop="1" thickBot="1" x14ac:dyDescent="0.6">
      <c r="A6" s="9">
        <f>COKE_MCSummary!D3</f>
        <v>2025</v>
      </c>
      <c r="C6" s="13">
        <f>COKE_MCSummary!I3</f>
        <v>-0.23287693588132585</v>
      </c>
      <c r="D6" s="12">
        <f>F5</f>
        <v>36647.517439474766</v>
      </c>
      <c r="E6" s="12">
        <f t="shared" ref="E6:E44" si="3">E5*(1+FirstJob_IncomeYrlyIncrease)</f>
        <v>16500</v>
      </c>
      <c r="F6" s="14">
        <f t="shared" ref="F6:F44" si="4">(D6+E6)*(1+C6)</f>
        <v>40770.686428470552</v>
      </c>
      <c r="G6" s="21" t="str">
        <f t="shared" si="0"/>
        <v/>
      </c>
      <c r="H6" s="21">
        <f>H5+E6</f>
        <v>31500</v>
      </c>
      <c r="I6" s="5"/>
      <c r="J6" s="13">
        <f>COKE_MCSummary!J3</f>
        <v>6.0889222512704975E-2</v>
      </c>
      <c r="K6" s="12">
        <f>M5</f>
        <v>65204.241009904268</v>
      </c>
      <c r="L6" s="12">
        <f t="shared" ref="L6:L44" si="5">L5*(1+FirstJob_IncomeYrlyIncrease)</f>
        <v>16500</v>
      </c>
      <c r="M6" s="14">
        <f>(K6+L6)*(1+J6)</f>
        <v>86679.148720988</v>
      </c>
      <c r="N6" s="21" t="str">
        <f t="shared" si="1"/>
        <v/>
      </c>
      <c r="O6" s="21">
        <f>L6+O5</f>
        <v>31500</v>
      </c>
      <c r="P6" s="5"/>
      <c r="Q6" s="13">
        <f>COKE_MCSummary!K3</f>
        <v>0.23895654280364775</v>
      </c>
      <c r="R6" s="12">
        <f>T5</f>
        <v>83232.758620689652</v>
      </c>
      <c r="S6" s="12">
        <f t="shared" ref="S6:S44" si="6">S5*(1+FirstJob_IncomeYrlyIncrease)</f>
        <v>16500</v>
      </c>
      <c r="T6" s="14">
        <f>(R6+S6)*(1+Q6)</f>
        <v>123564.55382496034</v>
      </c>
      <c r="U6" s="21" t="str">
        <f t="shared" si="2"/>
        <v/>
      </c>
      <c r="V6" s="21">
        <f>S6+V5</f>
        <v>31500</v>
      </c>
    </row>
    <row r="7" spans="1:24" ht="15" thickTop="1" thickBot="1" x14ac:dyDescent="0.6">
      <c r="A7" s="9">
        <f>COKE_MCSummary!D4</f>
        <v>2026</v>
      </c>
      <c r="C7" s="13">
        <f>COKE_MCSummary!I4</f>
        <v>-0.14455153349023123</v>
      </c>
      <c r="D7" s="12">
        <f t="shared" ref="D7:D44" si="7">F6</f>
        <v>40770.686428470552</v>
      </c>
      <c r="E7" s="12">
        <f t="shared" si="3"/>
        <v>18150</v>
      </c>
      <c r="F7" s="14">
        <f t="shared" si="4"/>
        <v>50403.610850938079</v>
      </c>
      <c r="G7" s="21" t="str">
        <f t="shared" si="0"/>
        <v/>
      </c>
      <c r="H7" s="21">
        <f t="shared" ref="H7:H44" si="8">H6+E7</f>
        <v>49650</v>
      </c>
      <c r="I7" s="5"/>
      <c r="J7" s="13">
        <f>COKE_MCSummary!J4</f>
        <v>5.8382418653775768E-2</v>
      </c>
      <c r="K7" s="12">
        <f t="shared" ref="K7:K44" si="9">M6</f>
        <v>86679.148720988</v>
      </c>
      <c r="L7" s="12">
        <f t="shared" si="5"/>
        <v>18150</v>
      </c>
      <c r="M7" s="14">
        <f t="shared" ref="M7:M44" si="10">(K7+L7)*(1+J7)</f>
        <v>110949.32796873564</v>
      </c>
      <c r="N7" s="21" t="str">
        <f t="shared" si="1"/>
        <v/>
      </c>
      <c r="O7" s="21">
        <f t="shared" ref="O7:O44" si="11">L7+O6</f>
        <v>49650</v>
      </c>
      <c r="P7" s="5"/>
      <c r="Q7" s="13">
        <f>COKE_MCSummary!K4</f>
        <v>0.17561231324809976</v>
      </c>
      <c r="R7" s="12">
        <f t="shared" ref="R7:R44" si="12">T6</f>
        <v>123564.55382496034</v>
      </c>
      <c r="S7" s="12">
        <f t="shared" si="6"/>
        <v>18150</v>
      </c>
      <c r="T7" s="14">
        <f t="shared" ref="T7:T44" si="13">(R7+S7)*(1+Q7)</f>
        <v>166601.37444308397</v>
      </c>
      <c r="U7" s="21" t="str">
        <f t="shared" si="2"/>
        <v/>
      </c>
      <c r="V7" s="21">
        <f t="shared" ref="V7:V44" si="14">S7+V6</f>
        <v>49650</v>
      </c>
    </row>
    <row r="8" spans="1:24" ht="15" thickTop="1" thickBot="1" x14ac:dyDescent="0.6">
      <c r="A8" s="9">
        <f>COKE_MCSummary!D5</f>
        <v>2027</v>
      </c>
      <c r="C8" s="13">
        <f>COKE_MCSummary!I5</f>
        <v>-0.11889485673681788</v>
      </c>
      <c r="D8" s="12">
        <f t="shared" si="7"/>
        <v>50403.610850938079</v>
      </c>
      <c r="E8" s="12">
        <f t="shared" si="3"/>
        <v>19965</v>
      </c>
      <c r="F8" s="14">
        <f t="shared" si="4"/>
        <v>62002.144945046901</v>
      </c>
      <c r="G8" s="21" t="str">
        <f t="shared" si="0"/>
        <v/>
      </c>
      <c r="H8" s="21">
        <f t="shared" si="8"/>
        <v>69615</v>
      </c>
      <c r="I8" s="5"/>
      <c r="J8" s="13">
        <f>COKE_MCSummary!J5</f>
        <v>6.7975647801790065E-2</v>
      </c>
      <c r="K8" s="12">
        <f t="shared" si="9"/>
        <v>110949.32796873564</v>
      </c>
      <c r="L8" s="12">
        <f t="shared" si="5"/>
        <v>19965</v>
      </c>
      <c r="M8" s="14">
        <f t="shared" si="10"/>
        <v>139813.31421894644</v>
      </c>
      <c r="N8" s="21" t="str">
        <f t="shared" si="1"/>
        <v/>
      </c>
      <c r="O8" s="21">
        <f t="shared" si="11"/>
        <v>69615</v>
      </c>
      <c r="P8" s="5"/>
      <c r="Q8" s="13">
        <f>COKE_MCSummary!K5</f>
        <v>0.15854828320170275</v>
      </c>
      <c r="R8" s="12">
        <f t="shared" si="12"/>
        <v>166601.37444308397</v>
      </c>
      <c r="S8" s="12">
        <f t="shared" si="6"/>
        <v>19965</v>
      </c>
      <c r="T8" s="14">
        <f t="shared" si="13"/>
        <v>216146.15281420096</v>
      </c>
      <c r="U8" s="21" t="str">
        <f t="shared" si="2"/>
        <v/>
      </c>
      <c r="V8" s="21">
        <f t="shared" si="14"/>
        <v>69615</v>
      </c>
    </row>
    <row r="9" spans="1:24" ht="15" thickTop="1" thickBot="1" x14ac:dyDescent="0.6">
      <c r="A9" s="9">
        <f>COKE_MCSummary!D6</f>
        <v>2028</v>
      </c>
      <c r="C9" s="13">
        <f>COKE_MCSummary!I6</f>
        <v>-7.9528020936738567E-2</v>
      </c>
      <c r="D9" s="12">
        <f t="shared" si="7"/>
        <v>62002.144945046901</v>
      </c>
      <c r="E9" s="12">
        <f t="shared" si="3"/>
        <v>21961.5</v>
      </c>
      <c r="F9" s="14">
        <f t="shared" si="4"/>
        <v>77286.18243193232</v>
      </c>
      <c r="G9" s="21" t="str">
        <f t="shared" si="0"/>
        <v/>
      </c>
      <c r="H9" s="21">
        <f t="shared" si="8"/>
        <v>91576.5</v>
      </c>
      <c r="I9" s="5"/>
      <c r="J9" s="13">
        <f>COKE_MCSummary!J6</f>
        <v>6.7200655478329735E-2</v>
      </c>
      <c r="K9" s="12">
        <f t="shared" si="9"/>
        <v>139813.31421894644</v>
      </c>
      <c r="L9" s="12">
        <f t="shared" si="5"/>
        <v>21961.5</v>
      </c>
      <c r="M9" s="14">
        <f t="shared" si="10"/>
        <v>172646.18777434467</v>
      </c>
      <c r="N9" s="21" t="str">
        <f t="shared" si="1"/>
        <v/>
      </c>
      <c r="O9" s="21">
        <f t="shared" si="11"/>
        <v>91576.5</v>
      </c>
      <c r="P9" s="5"/>
      <c r="Q9" s="13">
        <f>COKE_MCSummary!K6</f>
        <v>0.13028069310095997</v>
      </c>
      <c r="R9" s="12">
        <f t="shared" si="12"/>
        <v>216146.15281420096</v>
      </c>
      <c r="S9" s="12">
        <f t="shared" si="6"/>
        <v>21961.5</v>
      </c>
      <c r="T9" s="14">
        <f t="shared" si="13"/>
        <v>269128.48285547778</v>
      </c>
      <c r="U9" s="21" t="str">
        <f t="shared" si="2"/>
        <v/>
      </c>
      <c r="V9" s="21">
        <f t="shared" si="14"/>
        <v>91576.5</v>
      </c>
    </row>
    <row r="10" spans="1:24" ht="15" thickTop="1" thickBot="1" x14ac:dyDescent="0.6">
      <c r="A10" s="9">
        <f>COKE_MCSummary!D7</f>
        <v>2029</v>
      </c>
      <c r="C10" s="13">
        <f>COKE_MCSummary!I7</f>
        <v>-0.11104426730836721</v>
      </c>
      <c r="D10" s="12">
        <f t="shared" si="7"/>
        <v>77286.18243193232</v>
      </c>
      <c r="E10" s="12">
        <f t="shared" si="3"/>
        <v>24157.65</v>
      </c>
      <c r="F10" s="14">
        <f t="shared" si="4"/>
        <v>90179.076386575616</v>
      </c>
      <c r="G10" s="21" t="str">
        <f t="shared" si="0"/>
        <v/>
      </c>
      <c r="H10" s="21">
        <f t="shared" si="8"/>
        <v>115734.15</v>
      </c>
      <c r="I10" s="5"/>
      <c r="J10" s="13">
        <f>COKE_MCSummary!J7</f>
        <v>6.4300584911271913E-2</v>
      </c>
      <c r="K10" s="12">
        <f t="shared" si="9"/>
        <v>172646.18777434467</v>
      </c>
      <c r="L10" s="12">
        <f t="shared" si="5"/>
        <v>24157.65</v>
      </c>
      <c r="M10" s="14">
        <f t="shared" si="10"/>
        <v>209458.43965601808</v>
      </c>
      <c r="N10" s="21" t="str">
        <f t="shared" si="1"/>
        <v/>
      </c>
      <c r="O10" s="21">
        <f t="shared" si="11"/>
        <v>115734.15</v>
      </c>
      <c r="P10" s="5"/>
      <c r="Q10" s="13">
        <f>COKE_MCSummary!K7</f>
        <v>0.12766432139982956</v>
      </c>
      <c r="R10" s="12">
        <f t="shared" si="12"/>
        <v>269128.48285547778</v>
      </c>
      <c r="S10" s="12">
        <f t="shared" si="6"/>
        <v>24157.65</v>
      </c>
      <c r="T10" s="14">
        <f t="shared" si="13"/>
        <v>330728.30798245268</v>
      </c>
      <c r="U10" s="21" t="str">
        <f t="shared" si="2"/>
        <v/>
      </c>
      <c r="V10" s="21">
        <f t="shared" si="14"/>
        <v>115734.15</v>
      </c>
    </row>
    <row r="11" spans="1:24" ht="15" thickTop="1" thickBot="1" x14ac:dyDescent="0.6">
      <c r="A11" s="9">
        <f>COKE_MCSummary!D8</f>
        <v>2030</v>
      </c>
      <c r="C11" s="13">
        <f>COKE_MCSummary!I8</f>
        <v>-8.2781456953642391E-2</v>
      </c>
      <c r="D11" s="12">
        <f t="shared" si="7"/>
        <v>90179.076386575616</v>
      </c>
      <c r="E11" s="12">
        <f t="shared" si="3"/>
        <v>26573.415000000005</v>
      </c>
      <c r="F11" s="14">
        <f t="shared" si="4"/>
        <v>107087.55004662731</v>
      </c>
      <c r="G11" s="21" t="str">
        <f t="shared" si="0"/>
        <v/>
      </c>
      <c r="H11" s="21">
        <f t="shared" si="8"/>
        <v>142307.565</v>
      </c>
      <c r="I11" s="5"/>
      <c r="J11" s="13">
        <f>COKE_MCSummary!J8</f>
        <v>4.8856842912551803E-2</v>
      </c>
      <c r="K11" s="12">
        <f t="shared" si="9"/>
        <v>209458.43965601808</v>
      </c>
      <c r="L11" s="12">
        <f t="shared" si="5"/>
        <v>26573.415000000005</v>
      </c>
      <c r="M11" s="14">
        <f t="shared" si="10"/>
        <v>247563.62590130541</v>
      </c>
      <c r="N11" s="21" t="str">
        <f t="shared" si="1"/>
        <v/>
      </c>
      <c r="O11" s="21">
        <f t="shared" si="11"/>
        <v>142307.565</v>
      </c>
      <c r="P11" s="5"/>
      <c r="Q11" s="13">
        <f>COKE_MCSummary!K8</f>
        <v>0.10937244966752538</v>
      </c>
      <c r="R11" s="12">
        <f t="shared" si="12"/>
        <v>330728.30798245268</v>
      </c>
      <c r="S11" s="12">
        <f t="shared" si="6"/>
        <v>26573.415000000005</v>
      </c>
      <c r="T11" s="14">
        <f t="shared" si="13"/>
        <v>396380.6876954711</v>
      </c>
      <c r="U11" s="21" t="str">
        <f t="shared" si="2"/>
        <v/>
      </c>
      <c r="V11" s="21">
        <f t="shared" si="14"/>
        <v>142307.565</v>
      </c>
    </row>
    <row r="12" spans="1:24" ht="15" thickTop="1" thickBot="1" x14ac:dyDescent="0.6">
      <c r="A12" s="9">
        <f>COKE_MCSummary!D9</f>
        <v>2031</v>
      </c>
      <c r="C12" s="13">
        <f>COKE_MCSummary!I9</f>
        <v>-1.7930653405166485E-2</v>
      </c>
      <c r="D12" s="12">
        <f t="shared" si="7"/>
        <v>107087.55004662731</v>
      </c>
      <c r="E12" s="12">
        <f t="shared" si="3"/>
        <v>29230.756500000007</v>
      </c>
      <c r="F12" s="14">
        <f t="shared" si="4"/>
        <v>133874.03023916049</v>
      </c>
      <c r="G12" s="21" t="str">
        <f t="shared" si="0"/>
        <v/>
      </c>
      <c r="H12" s="21">
        <f t="shared" si="8"/>
        <v>171538.32150000002</v>
      </c>
      <c r="I12" s="5"/>
      <c r="J12" s="13">
        <f>COKE_MCSummary!J9</f>
        <v>9.7957494102703685E-2</v>
      </c>
      <c r="K12" s="12">
        <f t="shared" si="9"/>
        <v>247563.62590130541</v>
      </c>
      <c r="L12" s="12">
        <f t="shared" si="5"/>
        <v>29230.756500000007</v>
      </c>
      <c r="M12" s="14">
        <f t="shared" si="10"/>
        <v>303908.46648304281</v>
      </c>
      <c r="N12" s="21" t="str">
        <f t="shared" si="1"/>
        <v/>
      </c>
      <c r="O12" s="21">
        <f t="shared" si="11"/>
        <v>171538.32150000002</v>
      </c>
      <c r="P12" s="5"/>
      <c r="Q12" s="13">
        <f>COKE_MCSummary!K9</f>
        <v>0.14364457337095779</v>
      </c>
      <c r="R12" s="12">
        <f t="shared" si="12"/>
        <v>396380.6876954711</v>
      </c>
      <c r="S12" s="12">
        <f t="shared" si="6"/>
        <v>29230.756500000007</v>
      </c>
      <c r="T12" s="14">
        <f t="shared" si="13"/>
        <v>486748.21851872676</v>
      </c>
      <c r="U12" s="21" t="str">
        <f t="shared" si="2"/>
        <v/>
      </c>
      <c r="V12" s="21">
        <f t="shared" si="14"/>
        <v>171538.32150000002</v>
      </c>
    </row>
    <row r="13" spans="1:24" ht="15" thickTop="1" thickBot="1" x14ac:dyDescent="0.6">
      <c r="A13" s="9">
        <f>COKE_MCSummary!D10</f>
        <v>2032</v>
      </c>
      <c r="C13" s="13">
        <f>COKE_MCSummary!I10</f>
        <v>-9.8382544836585498E-2</v>
      </c>
      <c r="D13" s="12">
        <f t="shared" si="7"/>
        <v>133874.03023916049</v>
      </c>
      <c r="E13" s="12">
        <f t="shared" si="3"/>
        <v>32153.832150000009</v>
      </c>
      <c r="F13" s="14">
        <f t="shared" si="4"/>
        <v>149693.61877353647</v>
      </c>
      <c r="G13" s="21" t="str">
        <f t="shared" si="0"/>
        <v/>
      </c>
      <c r="H13" s="21">
        <f t="shared" si="8"/>
        <v>203692.15365000002</v>
      </c>
      <c r="I13" s="5"/>
      <c r="J13" s="13">
        <f>COKE_MCSummary!J10</f>
        <v>5.8019165233369356E-2</v>
      </c>
      <c r="K13" s="12">
        <f t="shared" si="9"/>
        <v>303908.46648304281</v>
      </c>
      <c r="L13" s="12">
        <f t="shared" si="5"/>
        <v>32153.832150000009</v>
      </c>
      <c r="M13" s="14">
        <f t="shared" si="10"/>
        <v>355560.35266613925</v>
      </c>
      <c r="N13" s="21" t="str">
        <f t="shared" si="1"/>
        <v/>
      </c>
      <c r="O13" s="21">
        <f t="shared" si="11"/>
        <v>203692.15365000002</v>
      </c>
      <c r="P13" s="5"/>
      <c r="Q13" s="13">
        <f>COKE_MCSummary!K10</f>
        <v>9.6789125952110422E-2</v>
      </c>
      <c r="R13" s="12">
        <f t="shared" si="12"/>
        <v>486748.21851872676</v>
      </c>
      <c r="S13" s="12">
        <f t="shared" si="6"/>
        <v>32153.832150000009</v>
      </c>
      <c r="T13" s="14">
        <f t="shared" si="13"/>
        <v>569126.1266077105</v>
      </c>
      <c r="U13" s="21" t="str">
        <f t="shared" si="2"/>
        <v/>
      </c>
      <c r="V13" s="21">
        <f t="shared" si="14"/>
        <v>203692.15365000002</v>
      </c>
    </row>
    <row r="14" spans="1:24" ht="15" thickTop="1" thickBot="1" x14ac:dyDescent="0.6">
      <c r="A14" s="9">
        <f>COKE_MCSummary!D11</f>
        <v>2033</v>
      </c>
      <c r="C14" s="13">
        <f>COKE_MCSummary!I11</f>
        <v>-7.3282741100218221E-2</v>
      </c>
      <c r="D14" s="12">
        <f t="shared" si="7"/>
        <v>149693.61877353647</v>
      </c>
      <c r="E14" s="12">
        <f t="shared" si="3"/>
        <v>35369.215365000011</v>
      </c>
      <c r="F14" s="14">
        <f t="shared" si="4"/>
        <v>171500.92237708948</v>
      </c>
      <c r="G14" s="21" t="str">
        <f t="shared" si="0"/>
        <v/>
      </c>
      <c r="H14" s="21">
        <f t="shared" si="8"/>
        <v>239061.36901500003</v>
      </c>
      <c r="I14" s="5"/>
      <c r="J14" s="13">
        <f>COKE_MCSummary!J11</f>
        <v>6.9152056960451833E-2</v>
      </c>
      <c r="K14" s="12">
        <f t="shared" si="9"/>
        <v>355560.35266613925</v>
      </c>
      <c r="L14" s="12">
        <f t="shared" si="5"/>
        <v>35369.215365000011</v>
      </c>
      <c r="M14" s="14">
        <f t="shared" si="10"/>
        <v>417963.15178715345</v>
      </c>
      <c r="N14" s="21" t="str">
        <f t="shared" si="1"/>
        <v/>
      </c>
      <c r="O14" s="21">
        <f t="shared" si="11"/>
        <v>239061.36901500003</v>
      </c>
      <c r="P14" s="5"/>
      <c r="Q14" s="13">
        <f>COKE_MCSummary!K11</f>
        <v>0.1002805095264591</v>
      </c>
      <c r="R14" s="12">
        <f t="shared" si="12"/>
        <v>569126.1266077105</v>
      </c>
      <c r="S14" s="12">
        <f t="shared" si="6"/>
        <v>35369.215365000011</v>
      </c>
      <c r="T14" s="14">
        <f t="shared" si="13"/>
        <v>665114.44287210517</v>
      </c>
      <c r="U14" s="21" t="str">
        <f t="shared" si="2"/>
        <v/>
      </c>
      <c r="V14" s="21">
        <f t="shared" si="14"/>
        <v>239061.36901500003</v>
      </c>
    </row>
    <row r="15" spans="1:24" ht="15" thickTop="1" thickBot="1" x14ac:dyDescent="0.6">
      <c r="A15" s="9">
        <f>COKE_MCSummary!D12</f>
        <v>2034</v>
      </c>
      <c r="C15" s="13">
        <f>COKE_MCSummary!I12</f>
        <v>-2.8472850299802368E-2</v>
      </c>
      <c r="D15" s="12">
        <f t="shared" si="7"/>
        <v>171500.92237708948</v>
      </c>
      <c r="E15" s="12">
        <f t="shared" si="3"/>
        <v>38906.136901500016</v>
      </c>
      <c r="F15" s="14">
        <f t="shared" si="4"/>
        <v>204416.17057772857</v>
      </c>
      <c r="G15" s="21" t="str">
        <f t="shared" si="0"/>
        <v/>
      </c>
      <c r="H15" s="21">
        <f t="shared" si="8"/>
        <v>277967.50591650006</v>
      </c>
      <c r="I15" s="5"/>
      <c r="J15" s="13">
        <f>COKE_MCSummary!J12</f>
        <v>8.6705779779852429E-2</v>
      </c>
      <c r="K15" s="12">
        <f t="shared" si="9"/>
        <v>417963.15178715345</v>
      </c>
      <c r="L15" s="12">
        <f t="shared" si="5"/>
        <v>38906.136901500016</v>
      </c>
      <c r="M15" s="14">
        <f t="shared" si="10"/>
        <v>496482.49662186968</v>
      </c>
      <c r="N15" s="21" t="str">
        <f t="shared" si="1"/>
        <v/>
      </c>
      <c r="O15" s="21">
        <f t="shared" si="11"/>
        <v>277967.50591650006</v>
      </c>
      <c r="P15" s="5"/>
      <c r="Q15" s="13">
        <f>COKE_MCSummary!K12</f>
        <v>0.10904832235042544</v>
      </c>
      <c r="R15" s="12">
        <f t="shared" si="12"/>
        <v>665114.44287210517</v>
      </c>
      <c r="S15" s="12">
        <f t="shared" si="6"/>
        <v>38906.136901500016</v>
      </c>
      <c r="T15" s="14">
        <f t="shared" si="13"/>
        <v>780792.84289809072</v>
      </c>
      <c r="U15" s="21" t="str">
        <f t="shared" si="2"/>
        <v/>
      </c>
      <c r="V15" s="21">
        <f t="shared" si="14"/>
        <v>277967.50591650006</v>
      </c>
    </row>
    <row r="16" spans="1:24" ht="15" thickTop="1" thickBot="1" x14ac:dyDescent="0.6">
      <c r="A16" s="9">
        <f>COKE_MCSummary!D13</f>
        <v>2035</v>
      </c>
      <c r="C16" s="13">
        <f>COKE_MCSummary!I13</f>
        <v>-6.7589314451239058E-2</v>
      </c>
      <c r="D16" s="12">
        <f t="shared" si="7"/>
        <v>204416.17057772857</v>
      </c>
      <c r="E16" s="12">
        <f t="shared" si="3"/>
        <v>42796.750591650023</v>
      </c>
      <c r="F16" s="14">
        <f t="shared" si="4"/>
        <v>230503.96930405209</v>
      </c>
      <c r="G16" s="21" t="str">
        <f t="shared" si="0"/>
        <v/>
      </c>
      <c r="H16" s="21">
        <f t="shared" si="8"/>
        <v>320764.25650815008</v>
      </c>
      <c r="I16" s="5"/>
      <c r="J16" s="13">
        <f>COKE_MCSummary!J13</f>
        <v>4.2060160515040156E-2</v>
      </c>
      <c r="K16" s="12">
        <f t="shared" si="9"/>
        <v>496482.49662186968</v>
      </c>
      <c r="L16" s="12">
        <f t="shared" si="5"/>
        <v>42796.750591650023</v>
      </c>
      <c r="M16" s="14">
        <f t="shared" si="10"/>
        <v>561961.41891375033</v>
      </c>
      <c r="N16" s="21" t="str">
        <f t="shared" si="1"/>
        <v/>
      </c>
      <c r="O16" s="21">
        <f t="shared" si="11"/>
        <v>320764.25650815008</v>
      </c>
      <c r="P16" s="5"/>
      <c r="Q16" s="13">
        <f>COKE_MCSummary!K13</f>
        <v>6.7054631633968353E-2</v>
      </c>
      <c r="R16" s="12">
        <f t="shared" si="12"/>
        <v>780792.84289809072</v>
      </c>
      <c r="S16" s="12">
        <f t="shared" si="6"/>
        <v>42796.750591650023</v>
      </c>
      <c r="T16" s="14">
        <f t="shared" si="13"/>
        <v>878815.09029876511</v>
      </c>
      <c r="U16" s="21" t="str">
        <f t="shared" si="2"/>
        <v/>
      </c>
      <c r="V16" s="21">
        <f t="shared" si="14"/>
        <v>320764.25650815008</v>
      </c>
    </row>
    <row r="17" spans="1:22" ht="15" thickTop="1" thickBot="1" x14ac:dyDescent="0.6">
      <c r="A17" s="9">
        <f>COKE_MCSummary!D14</f>
        <v>2036</v>
      </c>
      <c r="C17" s="13">
        <f>COKE_MCSummary!I14</f>
        <v>-2.7786966589480658E-2</v>
      </c>
      <c r="D17" s="12">
        <f t="shared" si="7"/>
        <v>230503.96930405209</v>
      </c>
      <c r="E17" s="12">
        <f t="shared" si="3"/>
        <v>47076.425650815028</v>
      </c>
      <c r="F17" s="14">
        <f t="shared" si="4"/>
        <v>269867.27779436141</v>
      </c>
      <c r="G17" s="21" t="str">
        <f t="shared" si="0"/>
        <v/>
      </c>
      <c r="H17" s="21">
        <f t="shared" si="8"/>
        <v>367840.68215896509</v>
      </c>
      <c r="I17" s="5"/>
      <c r="J17" s="13">
        <f>COKE_MCSummary!J14</f>
        <v>0.10490678586446971</v>
      </c>
      <c r="K17" s="12">
        <f t="shared" si="9"/>
        <v>561961.41891375033</v>
      </c>
      <c r="L17" s="12">
        <f t="shared" si="5"/>
        <v>47076.425650815028</v>
      </c>
      <c r="M17" s="14">
        <f t="shared" si="10"/>
        <v>672930.04730765836</v>
      </c>
      <c r="N17" s="21" t="str">
        <f t="shared" si="1"/>
        <v/>
      </c>
      <c r="O17" s="21">
        <f t="shared" si="11"/>
        <v>367840.68215896509</v>
      </c>
      <c r="P17" s="5"/>
      <c r="Q17" s="13">
        <f>COKE_MCSummary!K14</f>
        <v>0.12580473065596168</v>
      </c>
      <c r="R17" s="12">
        <f t="shared" si="12"/>
        <v>878815.09029876511</v>
      </c>
      <c r="S17" s="12">
        <f t="shared" si="6"/>
        <v>47076.425650815028</v>
      </c>
      <c r="T17" s="14">
        <f t="shared" si="13"/>
        <v>1042373.0487302572</v>
      </c>
      <c r="U17" s="21" t="str">
        <f t="shared" si="2"/>
        <v/>
      </c>
      <c r="V17" s="21">
        <f t="shared" si="14"/>
        <v>367840.68215896509</v>
      </c>
    </row>
    <row r="18" spans="1:22" ht="15" thickTop="1" thickBot="1" x14ac:dyDescent="0.6">
      <c r="A18" s="9">
        <f>COKE_MCSummary!D15</f>
        <v>2037</v>
      </c>
      <c r="C18" s="13">
        <f>COKE_MCSummary!I15</f>
        <v>-5.0057892705518983E-2</v>
      </c>
      <c r="D18" s="12">
        <f t="shared" si="7"/>
        <v>269867.27779436141</v>
      </c>
      <c r="E18" s="12">
        <f t="shared" si="3"/>
        <v>51784.068215896536</v>
      </c>
      <c r="F18" s="14">
        <f t="shared" si="4"/>
        <v>305550.15744309069</v>
      </c>
      <c r="G18" s="21" t="str">
        <f t="shared" si="0"/>
        <v/>
      </c>
      <c r="H18" s="21">
        <f t="shared" si="8"/>
        <v>419624.75037486164</v>
      </c>
      <c r="I18" s="5"/>
      <c r="J18" s="13">
        <f>COKE_MCSummary!J15</f>
        <v>6.7057045712126895E-2</v>
      </c>
      <c r="K18" s="12">
        <f t="shared" si="9"/>
        <v>672930.04730765836</v>
      </c>
      <c r="L18" s="12">
        <f t="shared" si="5"/>
        <v>51784.068215896536</v>
      </c>
      <c r="M18" s="14">
        <f t="shared" si="10"/>
        <v>773311.30309644144</v>
      </c>
      <c r="N18" s="21" t="str">
        <f t="shared" si="1"/>
        <v/>
      </c>
      <c r="O18" s="21">
        <f t="shared" si="11"/>
        <v>419624.75037486164</v>
      </c>
      <c r="P18" s="5"/>
      <c r="Q18" s="13">
        <f>COKE_MCSummary!K15</f>
        <v>8.9027497183156903E-2</v>
      </c>
      <c r="R18" s="12">
        <f t="shared" si="12"/>
        <v>1042373.0487302572</v>
      </c>
      <c r="S18" s="12">
        <f t="shared" si="6"/>
        <v>51784.068215896536</v>
      </c>
      <c r="T18" s="14">
        <f t="shared" si="13"/>
        <v>1191567.1865930085</v>
      </c>
      <c r="U18" s="21" t="str">
        <f t="shared" si="2"/>
        <v/>
      </c>
      <c r="V18" s="21">
        <f t="shared" si="14"/>
        <v>419624.75037486164</v>
      </c>
    </row>
    <row r="19" spans="1:22" ht="15" thickTop="1" thickBot="1" x14ac:dyDescent="0.6">
      <c r="A19" s="9">
        <f>COKE_MCSummary!D16</f>
        <v>2038</v>
      </c>
      <c r="C19" s="13">
        <f>COKE_MCSummary!I16</f>
        <v>-1.5003721549731706E-2</v>
      </c>
      <c r="D19" s="12">
        <f t="shared" si="7"/>
        <v>305550.15744309069</v>
      </c>
      <c r="E19" s="12">
        <f t="shared" si="3"/>
        <v>56962.475037486191</v>
      </c>
      <c r="F19" s="14">
        <f t="shared" si="4"/>
        <v>357073.59388457803</v>
      </c>
      <c r="G19" s="21" t="str">
        <f t="shared" si="0"/>
        <v/>
      </c>
      <c r="H19" s="21">
        <f t="shared" si="8"/>
        <v>476587.22541234782</v>
      </c>
      <c r="I19" s="5"/>
      <c r="J19" s="13">
        <f>COKE_MCSummary!J16</f>
        <v>4.7868072272488335E-2</v>
      </c>
      <c r="K19" s="12">
        <f t="shared" si="9"/>
        <v>773311.30309644144</v>
      </c>
      <c r="L19" s="12">
        <f t="shared" si="5"/>
        <v>56962.475037486191</v>
      </c>
      <c r="M19" s="14">
        <f t="shared" si="10"/>
        <v>870017.38335159433</v>
      </c>
      <c r="N19" s="21" t="str">
        <f t="shared" si="1"/>
        <v/>
      </c>
      <c r="O19" s="21">
        <f t="shared" si="11"/>
        <v>476587.22541234782</v>
      </c>
      <c r="P19" s="5"/>
      <c r="Q19" s="13">
        <f>COKE_MCSummary!K16</f>
        <v>6.6006886170562412E-2</v>
      </c>
      <c r="R19" s="12">
        <f t="shared" si="12"/>
        <v>1191567.1865930085</v>
      </c>
      <c r="S19" s="12">
        <f t="shared" si="6"/>
        <v>56962.475037486191</v>
      </c>
      <c r="T19" s="14">
        <f t="shared" si="13"/>
        <v>1330941.2168863097</v>
      </c>
      <c r="U19" s="21" t="str">
        <f t="shared" si="2"/>
        <v/>
      </c>
      <c r="V19" s="21">
        <f t="shared" si="14"/>
        <v>476587.22541234782</v>
      </c>
    </row>
    <row r="20" spans="1:22" ht="15" thickTop="1" thickBot="1" x14ac:dyDescent="0.6">
      <c r="A20" s="9">
        <f>COKE_MCSummary!D17</f>
        <v>2039</v>
      </c>
      <c r="C20" s="13">
        <f>COKE_MCSummary!I17</f>
        <v>-6.0972568578553682E-2</v>
      </c>
      <c r="D20" s="12">
        <f t="shared" si="7"/>
        <v>357073.59388457803</v>
      </c>
      <c r="E20" s="12">
        <f t="shared" si="3"/>
        <v>62658.722541234813</v>
      </c>
      <c r="F20" s="14">
        <f t="shared" si="4"/>
        <v>394140.15897790476</v>
      </c>
      <c r="G20" s="21" t="str">
        <f t="shared" si="0"/>
        <v/>
      </c>
      <c r="H20" s="21">
        <f t="shared" si="8"/>
        <v>539245.94795358262</v>
      </c>
      <c r="I20" s="5"/>
      <c r="J20" s="13">
        <f>COKE_MCSummary!J17</f>
        <v>0.10157077824215772</v>
      </c>
      <c r="K20" s="12">
        <f t="shared" si="9"/>
        <v>870017.38335159433</v>
      </c>
      <c r="L20" s="12">
        <f t="shared" si="5"/>
        <v>62658.722541234813</v>
      </c>
      <c r="M20" s="14">
        <f t="shared" si="10"/>
        <v>1027408.7438162289</v>
      </c>
      <c r="N20" s="21" t="str">
        <f t="shared" si="1"/>
        <v/>
      </c>
      <c r="O20" s="21">
        <f t="shared" si="11"/>
        <v>539245.94795358262</v>
      </c>
      <c r="P20" s="5"/>
      <c r="Q20" s="13">
        <f>COKE_MCSummary!K17</f>
        <v>0.10103003553613447</v>
      </c>
      <c r="R20" s="12">
        <f t="shared" si="12"/>
        <v>1330941.2168863097</v>
      </c>
      <c r="S20" s="12">
        <f t="shared" si="6"/>
        <v>62658.722541234813</v>
      </c>
      <c r="T20" s="14">
        <f t="shared" si="13"/>
        <v>1534395.3908310642</v>
      </c>
      <c r="U20" s="21" t="str">
        <f t="shared" si="2"/>
        <v/>
      </c>
      <c r="V20" s="21">
        <f t="shared" si="14"/>
        <v>539245.94795358262</v>
      </c>
    </row>
    <row r="21" spans="1:22" ht="15" thickTop="1" thickBot="1" x14ac:dyDescent="0.6">
      <c r="A21" s="9">
        <f>COKE_MCSummary!D18</f>
        <v>2040</v>
      </c>
      <c r="C21" s="13">
        <f>COKE_MCSummary!I18</f>
        <v>-7.7486910994764161E-3</v>
      </c>
      <c r="D21" s="12">
        <f t="shared" si="7"/>
        <v>394140.15897790476</v>
      </c>
      <c r="E21" s="12">
        <f t="shared" si="3"/>
        <v>68924.594795358295</v>
      </c>
      <c r="F21" s="14">
        <f t="shared" si="4"/>
        <v>459476.60803721898</v>
      </c>
      <c r="G21" s="21" t="str">
        <f t="shared" si="0"/>
        <v/>
      </c>
      <c r="H21" s="21">
        <f t="shared" si="8"/>
        <v>608170.54274894088</v>
      </c>
      <c r="I21" s="5"/>
      <c r="J21" s="13">
        <f>COKE_MCSummary!J18</f>
        <v>6.5705318960536663E-2</v>
      </c>
      <c r="K21" s="12">
        <f t="shared" si="9"/>
        <v>1027408.7438162289</v>
      </c>
      <c r="L21" s="12">
        <f t="shared" si="5"/>
        <v>68924.594795358295</v>
      </c>
      <c r="M21" s="14">
        <f t="shared" si="10"/>
        <v>1168368.2703121314</v>
      </c>
      <c r="N21" s="21" t="str">
        <f t="shared" si="1"/>
        <v/>
      </c>
      <c r="O21" s="21">
        <f t="shared" si="11"/>
        <v>608170.54274894088</v>
      </c>
      <c r="P21" s="5"/>
      <c r="Q21" s="13">
        <f>COKE_MCSummary!K18</f>
        <v>6.8425197655746686E-2</v>
      </c>
      <c r="R21" s="12">
        <f t="shared" si="12"/>
        <v>1534395.3908310642</v>
      </c>
      <c r="S21" s="12">
        <f t="shared" si="6"/>
        <v>68924.594795358295</v>
      </c>
      <c r="T21" s="14">
        <f t="shared" si="13"/>
        <v>1713027.4725483193</v>
      </c>
      <c r="U21" s="21" t="str">
        <f t="shared" si="2"/>
        <v/>
      </c>
      <c r="V21" s="21">
        <f t="shared" si="14"/>
        <v>608170.54274894088</v>
      </c>
    </row>
    <row r="22" spans="1:22" ht="15" thickTop="1" thickBot="1" x14ac:dyDescent="0.6">
      <c r="A22" s="9">
        <f>COKE_MCSummary!D19</f>
        <v>2041</v>
      </c>
      <c r="C22" s="13">
        <f>COKE_MCSummary!I19</f>
        <v>-3.4266158378097371E-2</v>
      </c>
      <c r="D22" s="12">
        <f t="shared" si="7"/>
        <v>459476.60803721898</v>
      </c>
      <c r="E22" s="12">
        <f t="shared" si="3"/>
        <v>75817.054274894137</v>
      </c>
      <c r="F22" s="14">
        <f t="shared" si="4"/>
        <v>516951.20490053447</v>
      </c>
      <c r="G22" s="21" t="str">
        <f t="shared" si="0"/>
        <v/>
      </c>
      <c r="H22" s="21">
        <f t="shared" si="8"/>
        <v>683987.59702383506</v>
      </c>
      <c r="I22" s="5"/>
      <c r="J22" s="13">
        <f>COKE_MCSummary!J19</f>
        <v>0.10788137788137793</v>
      </c>
      <c r="K22" s="12">
        <f t="shared" si="9"/>
        <v>1168368.2703121314</v>
      </c>
      <c r="L22" s="12">
        <f t="shared" si="5"/>
        <v>75817.054274894137</v>
      </c>
      <c r="M22" s="14">
        <f t="shared" si="10"/>
        <v>1378409.7517432631</v>
      </c>
      <c r="N22" s="21" t="str">
        <f t="shared" si="1"/>
        <v/>
      </c>
      <c r="O22" s="21">
        <f t="shared" si="11"/>
        <v>683987.59702383506</v>
      </c>
      <c r="P22" s="5"/>
      <c r="Q22" s="13">
        <f>COKE_MCSummary!K19</f>
        <v>0.117531182517482</v>
      </c>
      <c r="R22" s="12">
        <f t="shared" si="12"/>
        <v>1713027.4725483193</v>
      </c>
      <c r="S22" s="12">
        <f t="shared" si="6"/>
        <v>75817.054274894137</v>
      </c>
      <c r="T22" s="14">
        <f t="shared" si="13"/>
        <v>1999089.5394006711</v>
      </c>
      <c r="U22" s="21" t="str">
        <f t="shared" si="2"/>
        <v/>
      </c>
      <c r="V22" s="21">
        <f t="shared" si="14"/>
        <v>683987.59702383506</v>
      </c>
    </row>
    <row r="23" spans="1:22" ht="15" thickTop="1" thickBot="1" x14ac:dyDescent="0.6">
      <c r="A23" s="9">
        <f>COKE_MCSummary!D20</f>
        <v>2042</v>
      </c>
      <c r="C23" s="13">
        <f>COKE_MCSummary!I20</f>
        <v>-1.0860045542126422E-2</v>
      </c>
      <c r="D23" s="12">
        <f t="shared" si="7"/>
        <v>516951.20490053447</v>
      </c>
      <c r="E23" s="12">
        <f t="shared" si="3"/>
        <v>83398.759702383555</v>
      </c>
      <c r="F23" s="14">
        <f t="shared" si="4"/>
        <v>593830.13664611639</v>
      </c>
      <c r="G23" s="21" t="str">
        <f t="shared" si="0"/>
        <v/>
      </c>
      <c r="H23" s="21">
        <f t="shared" si="8"/>
        <v>767386.3567262186</v>
      </c>
      <c r="I23" s="5"/>
      <c r="J23" s="13">
        <f>COKE_MCSummary!J20</f>
        <v>4.8400692072223972E-2</v>
      </c>
      <c r="K23" s="12">
        <f t="shared" si="9"/>
        <v>1378409.7517432631</v>
      </c>
      <c r="L23" s="12">
        <f t="shared" si="5"/>
        <v>83398.759702383555</v>
      </c>
      <c r="M23" s="14">
        <f t="shared" si="10"/>
        <v>1532561.0550766834</v>
      </c>
      <c r="N23" s="21" t="str">
        <f t="shared" si="1"/>
        <v/>
      </c>
      <c r="O23" s="21">
        <f t="shared" si="11"/>
        <v>767386.3567262186</v>
      </c>
      <c r="P23" s="5"/>
      <c r="Q23" s="13">
        <f>COKE_MCSummary!K20</f>
        <v>5.4853583493522214E-2</v>
      </c>
      <c r="R23" s="12">
        <f t="shared" si="12"/>
        <v>1999089.5394006711</v>
      </c>
      <c r="S23" s="12">
        <f t="shared" si="6"/>
        <v>83398.759702383555</v>
      </c>
      <c r="T23" s="14">
        <f t="shared" si="13"/>
        <v>2196720.244892187</v>
      </c>
      <c r="U23" s="21" t="str">
        <f t="shared" si="2"/>
        <v>Reached</v>
      </c>
      <c r="V23" s="21">
        <f t="shared" si="14"/>
        <v>767386.3567262186</v>
      </c>
    </row>
    <row r="24" spans="1:22" ht="15" thickTop="1" thickBot="1" x14ac:dyDescent="0.6">
      <c r="A24" s="9">
        <f>COKE_MCSummary!D21</f>
        <v>2043</v>
      </c>
      <c r="C24" s="13">
        <f>COKE_MCSummary!I21</f>
        <v>-2.0010720028586823E-2</v>
      </c>
      <c r="D24" s="12">
        <f t="shared" si="7"/>
        <v>593830.13664611639</v>
      </c>
      <c r="E24" s="12">
        <f t="shared" si="3"/>
        <v>91738.635672621924</v>
      </c>
      <c r="F24" s="14">
        <f t="shared" si="4"/>
        <v>671850.04755552602</v>
      </c>
      <c r="G24" s="21" t="str">
        <f t="shared" si="0"/>
        <v/>
      </c>
      <c r="H24" s="21">
        <f t="shared" si="8"/>
        <v>859124.99239884049</v>
      </c>
      <c r="I24" s="5"/>
      <c r="J24" s="13">
        <f>COKE_MCSummary!J21</f>
        <v>9.2268110429996886E-2</v>
      </c>
      <c r="K24" s="12">
        <f t="shared" si="9"/>
        <v>1532561.0550766834</v>
      </c>
      <c r="L24" s="12">
        <f t="shared" si="5"/>
        <v>91738.635672621924</v>
      </c>
      <c r="M24" s="14">
        <f t="shared" si="10"/>
        <v>1774170.7539867721</v>
      </c>
      <c r="N24" s="21" t="str">
        <f t="shared" si="1"/>
        <v/>
      </c>
      <c r="O24" s="21">
        <f t="shared" si="11"/>
        <v>859124.99239884049</v>
      </c>
      <c r="P24" s="5"/>
      <c r="Q24" s="13">
        <f>COKE_MCSummary!K21</f>
        <v>7.4205849329547685E-2</v>
      </c>
      <c r="R24" s="12">
        <f t="shared" si="12"/>
        <v>2196720.244892187</v>
      </c>
      <c r="S24" s="12">
        <f t="shared" si="6"/>
        <v>91738.635672621924</v>
      </c>
      <c r="T24" s="14">
        <f t="shared" si="13"/>
        <v>2458275.9154528663</v>
      </c>
      <c r="U24" s="21" t="str">
        <f t="shared" si="2"/>
        <v>Reached</v>
      </c>
      <c r="V24" s="21">
        <f t="shared" si="14"/>
        <v>859124.99239884049</v>
      </c>
    </row>
    <row r="25" spans="1:22" ht="15" thickTop="1" thickBot="1" x14ac:dyDescent="0.6">
      <c r="A25" s="9">
        <f>COKE_MCSummary!D22</f>
        <v>2044</v>
      </c>
      <c r="C25" s="13">
        <f>COKE_MCSummary!I22</f>
        <v>-8.2644228444315515E-2</v>
      </c>
      <c r="D25" s="12">
        <f t="shared" si="7"/>
        <v>671850.04755552602</v>
      </c>
      <c r="E25" s="12">
        <f t="shared" si="3"/>
        <v>100912.49923988413</v>
      </c>
      <c r="F25" s="14">
        <f t="shared" si="4"/>
        <v>708898.18234483921</v>
      </c>
      <c r="G25" s="21" t="str">
        <f t="shared" si="0"/>
        <v/>
      </c>
      <c r="H25" s="21">
        <f t="shared" si="8"/>
        <v>960037.49163872458</v>
      </c>
      <c r="I25" s="5"/>
      <c r="J25" s="13">
        <f>COKE_MCSummary!J22</f>
        <v>8.3206337030070951E-2</v>
      </c>
      <c r="K25" s="12">
        <f t="shared" si="9"/>
        <v>1774170.7539867721</v>
      </c>
      <c r="L25" s="12">
        <f t="shared" si="5"/>
        <v>100912.49923988413</v>
      </c>
      <c r="M25" s="14">
        <f t="shared" si="10"/>
        <v>2031102.062354075</v>
      </c>
      <c r="N25" s="21" t="str">
        <f t="shared" si="1"/>
        <v>Reached</v>
      </c>
      <c r="O25" s="21">
        <f t="shared" si="11"/>
        <v>960037.49163872458</v>
      </c>
      <c r="P25" s="5"/>
      <c r="Q25" s="13">
        <f>COKE_MCSummary!K22</f>
        <v>9.6052948613073591E-2</v>
      </c>
      <c r="R25" s="12">
        <f t="shared" si="12"/>
        <v>2458275.9154528663</v>
      </c>
      <c r="S25" s="12">
        <f t="shared" si="6"/>
        <v>100912.49923988413</v>
      </c>
      <c r="T25" s="14">
        <f t="shared" si="13"/>
        <v>2805006.0079804067</v>
      </c>
      <c r="U25" s="21" t="str">
        <f t="shared" si="2"/>
        <v>Reached</v>
      </c>
      <c r="V25" s="21">
        <f t="shared" si="14"/>
        <v>960037.49163872458</v>
      </c>
    </row>
    <row r="26" spans="1:22" ht="15" thickTop="1" thickBot="1" x14ac:dyDescent="0.6">
      <c r="A26" s="9">
        <f>COKE_MCSummary!D23</f>
        <v>2045</v>
      </c>
      <c r="C26" s="13">
        <f>COKE_MCSummary!I23</f>
        <v>-1.1940298507462676E-2</v>
      </c>
      <c r="D26" s="12">
        <f t="shared" si="7"/>
        <v>708898.18234483921</v>
      </c>
      <c r="E26" s="12">
        <f t="shared" si="3"/>
        <v>111003.74916387255</v>
      </c>
      <c r="F26" s="14">
        <f t="shared" si="4"/>
        <v>810112.05769965251</v>
      </c>
      <c r="G26" s="21" t="str">
        <f t="shared" si="0"/>
        <v/>
      </c>
      <c r="H26" s="21">
        <f t="shared" si="8"/>
        <v>1071041.240802597</v>
      </c>
      <c r="I26" s="5"/>
      <c r="J26" s="13">
        <f>COKE_MCSummary!J23</f>
        <v>5.5655737863682789E-2</v>
      </c>
      <c r="K26" s="12">
        <f t="shared" si="9"/>
        <v>2031102.062354075</v>
      </c>
      <c r="L26" s="12">
        <f t="shared" si="5"/>
        <v>111003.74916387255</v>
      </c>
      <c r="M26" s="14">
        <f t="shared" si="10"/>
        <v>2261326.291040062</v>
      </c>
      <c r="N26" s="21" t="str">
        <f t="shared" si="1"/>
        <v>Reached</v>
      </c>
      <c r="O26" s="21">
        <f t="shared" si="11"/>
        <v>1071041.240802597</v>
      </c>
      <c r="P26" s="5"/>
      <c r="Q26" s="13">
        <f>COKE_MCSummary!K23</f>
        <v>4.7752988810690337E-2</v>
      </c>
      <c r="R26" s="12">
        <f t="shared" si="12"/>
        <v>2805006.0079804067</v>
      </c>
      <c r="S26" s="12">
        <f t="shared" si="6"/>
        <v>111003.74916387255</v>
      </c>
      <c r="T26" s="14">
        <f t="shared" si="13"/>
        <v>3055257.9384490536</v>
      </c>
      <c r="U26" s="21" t="str">
        <f t="shared" si="2"/>
        <v>Reached</v>
      </c>
      <c r="V26" s="21">
        <f t="shared" si="14"/>
        <v>1071041.240802597</v>
      </c>
    </row>
    <row r="27" spans="1:22" ht="15" thickTop="1" thickBot="1" x14ac:dyDescent="0.6">
      <c r="A27" s="9">
        <f>COKE_MCSummary!D24</f>
        <v>2046</v>
      </c>
      <c r="C27" s="13">
        <f>COKE_MCSummary!I24</f>
        <v>-2.441347503509126E-2</v>
      </c>
      <c r="D27" s="12">
        <f t="shared" si="7"/>
        <v>810112.05769965251</v>
      </c>
      <c r="E27" s="12">
        <f t="shared" si="3"/>
        <v>122104.12408025982</v>
      </c>
      <c r="F27" s="14">
        <f t="shared" si="4"/>
        <v>909457.54529872036</v>
      </c>
      <c r="G27" s="21" t="str">
        <f t="shared" si="0"/>
        <v/>
      </c>
      <c r="H27" s="21">
        <f t="shared" si="8"/>
        <v>1193145.3648828568</v>
      </c>
      <c r="I27" s="5"/>
      <c r="J27" s="13">
        <f>COKE_MCSummary!J24</f>
        <v>0.15018271003423747</v>
      </c>
      <c r="K27" s="12">
        <f t="shared" si="9"/>
        <v>2261326.291040062</v>
      </c>
      <c r="L27" s="12">
        <f t="shared" si="5"/>
        <v>122104.12408025982</v>
      </c>
      <c r="M27" s="14">
        <f t="shared" si="10"/>
        <v>2741380.4540411192</v>
      </c>
      <c r="N27" s="21" t="str">
        <f t="shared" si="1"/>
        <v>Reached</v>
      </c>
      <c r="O27" s="21">
        <f t="shared" si="11"/>
        <v>1193145.3648828568</v>
      </c>
      <c r="P27" s="5"/>
      <c r="Q27" s="13">
        <f>COKE_MCSummary!K24</f>
        <v>0.13656236609422667</v>
      </c>
      <c r="R27" s="12">
        <f t="shared" si="12"/>
        <v>3055257.9384490536</v>
      </c>
      <c r="S27" s="12">
        <f t="shared" si="6"/>
        <v>122104.12408025982</v>
      </c>
      <c r="T27" s="14">
        <f t="shared" si="13"/>
        <v>3611270.1437263484</v>
      </c>
      <c r="U27" s="21" t="str">
        <f t="shared" si="2"/>
        <v>Reached</v>
      </c>
      <c r="V27" s="21">
        <f t="shared" si="14"/>
        <v>1193145.3648828568</v>
      </c>
    </row>
    <row r="28" spans="1:22" ht="15" thickTop="1" thickBot="1" x14ac:dyDescent="0.6">
      <c r="A28" s="9">
        <f>COKE_MCSummary!D25</f>
        <v>2047</v>
      </c>
      <c r="C28" s="13">
        <f>COKE_MCSummary!I25</f>
        <v>6.7221032714237048E-3</v>
      </c>
      <c r="D28" s="12">
        <f t="shared" si="7"/>
        <v>909457.54529872036</v>
      </c>
      <c r="E28" s="12">
        <f t="shared" si="3"/>
        <v>134314.53648828581</v>
      </c>
      <c r="F28" s="14">
        <f t="shared" si="4"/>
        <v>1050788.4255126074</v>
      </c>
      <c r="G28" s="21" t="str">
        <f t="shared" si="0"/>
        <v/>
      </c>
      <c r="H28" s="21">
        <f t="shared" si="8"/>
        <v>1327459.9013711426</v>
      </c>
      <c r="I28" s="5"/>
      <c r="J28" s="13">
        <f>COKE_MCSummary!J25</f>
        <v>2.2023467444514801E-2</v>
      </c>
      <c r="K28" s="12">
        <f t="shared" si="9"/>
        <v>2741380.4540411192</v>
      </c>
      <c r="L28" s="12">
        <f t="shared" si="5"/>
        <v>134314.53648828581</v>
      </c>
      <c r="M28" s="14">
        <f t="shared" si="10"/>
        <v>2939027.7655336834</v>
      </c>
      <c r="N28" s="21" t="str">
        <f t="shared" si="1"/>
        <v>Reached</v>
      </c>
      <c r="O28" s="21">
        <f t="shared" si="11"/>
        <v>1327459.9013711426</v>
      </c>
      <c r="P28" s="5"/>
      <c r="Q28" s="13">
        <f>COKE_MCSummary!K25</f>
        <v>4.8766608271623019E-2</v>
      </c>
      <c r="R28" s="12">
        <f t="shared" si="12"/>
        <v>3611270.1437263484</v>
      </c>
      <c r="S28" s="12">
        <f t="shared" si="6"/>
        <v>134314.53648828581</v>
      </c>
      <c r="T28" s="14">
        <f t="shared" si="13"/>
        <v>3928244.1410628534</v>
      </c>
      <c r="U28" s="21" t="str">
        <f t="shared" si="2"/>
        <v>Reached</v>
      </c>
      <c r="V28" s="21">
        <f t="shared" si="14"/>
        <v>1327459.9013711426</v>
      </c>
    </row>
    <row r="29" spans="1:22" ht="15" thickTop="1" thickBot="1" x14ac:dyDescent="0.6">
      <c r="A29" s="9">
        <f>COKE_MCSummary!D26</f>
        <v>2048</v>
      </c>
      <c r="C29" s="13">
        <f>COKE_MCSummary!I26</f>
        <v>-2.9739014510588174E-2</v>
      </c>
      <c r="D29" s="12">
        <f t="shared" si="7"/>
        <v>1050788.4255126074</v>
      </c>
      <c r="E29" s="12">
        <f t="shared" si="3"/>
        <v>147745.99013711439</v>
      </c>
      <c r="F29" s="14">
        <f t="shared" si="4"/>
        <v>1162891.1832712756</v>
      </c>
      <c r="G29" s="21" t="str">
        <f t="shared" si="0"/>
        <v/>
      </c>
      <c r="H29" s="21">
        <f t="shared" si="8"/>
        <v>1475205.891508257</v>
      </c>
      <c r="I29" s="5"/>
      <c r="J29" s="13">
        <f>COKE_MCSummary!J26</f>
        <v>0.13519695398258416</v>
      </c>
      <c r="K29" s="12">
        <f t="shared" si="9"/>
        <v>2939027.7655336834</v>
      </c>
      <c r="L29" s="12">
        <f t="shared" si="5"/>
        <v>147745.99013711439</v>
      </c>
      <c r="M29" s="14">
        <f t="shared" si="10"/>
        <v>3504096.1650708709</v>
      </c>
      <c r="N29" s="21" t="str">
        <f t="shared" si="1"/>
        <v>Reached</v>
      </c>
      <c r="O29" s="21">
        <f t="shared" si="11"/>
        <v>1475205.891508257</v>
      </c>
      <c r="P29" s="5"/>
      <c r="Q29" s="13">
        <f>COKE_MCSummary!K26</f>
        <v>9.0379456671071223E-2</v>
      </c>
      <c r="R29" s="12">
        <f t="shared" si="12"/>
        <v>3928244.1410628534</v>
      </c>
      <c r="S29" s="12">
        <f t="shared" si="6"/>
        <v>147745.99013711439</v>
      </c>
      <c r="T29" s="14">
        <f t="shared" si="13"/>
        <v>4444375.9046544684</v>
      </c>
      <c r="U29" s="21" t="str">
        <f t="shared" si="2"/>
        <v>Reached</v>
      </c>
      <c r="V29" s="21">
        <f t="shared" si="14"/>
        <v>1475205.891508257</v>
      </c>
    </row>
    <row r="30" spans="1:22" ht="15" thickTop="1" thickBot="1" x14ac:dyDescent="0.6">
      <c r="A30" s="9">
        <f>COKE_MCSummary!D27</f>
        <v>2049</v>
      </c>
      <c r="C30" s="13">
        <f>COKE_MCSummary!I27</f>
        <v>-5.0298885238838943E-2</v>
      </c>
      <c r="D30" s="12">
        <f t="shared" si="7"/>
        <v>1162891.1832712756</v>
      </c>
      <c r="E30" s="12">
        <f t="shared" si="3"/>
        <v>162520.58915082584</v>
      </c>
      <c r="F30" s="14">
        <f t="shared" si="4"/>
        <v>1258745.037786836</v>
      </c>
      <c r="G30" s="21" t="str">
        <f t="shared" si="0"/>
        <v/>
      </c>
      <c r="H30" s="21">
        <f t="shared" si="8"/>
        <v>1637726.4806590828</v>
      </c>
      <c r="I30" s="5"/>
      <c r="J30" s="13">
        <f>COKE_MCSummary!J27</f>
        <v>6.6833731508870939E-2</v>
      </c>
      <c r="K30" s="12">
        <f t="shared" si="9"/>
        <v>3504096.1650708709</v>
      </c>
      <c r="L30" s="12">
        <f t="shared" si="5"/>
        <v>162520.58915082584</v>
      </c>
      <c r="M30" s="14">
        <f t="shared" si="10"/>
        <v>3911670.4339192775</v>
      </c>
      <c r="N30" s="21" t="str">
        <f t="shared" si="1"/>
        <v>Reached</v>
      </c>
      <c r="O30" s="21">
        <f t="shared" si="11"/>
        <v>1637726.4806590828</v>
      </c>
      <c r="P30" s="5"/>
      <c r="Q30" s="13">
        <f>COKE_MCSummary!K27</f>
        <v>5.8247539587225491E-2</v>
      </c>
      <c r="R30" s="12">
        <f t="shared" si="12"/>
        <v>4444375.9046544684</v>
      </c>
      <c r="S30" s="12">
        <f t="shared" si="6"/>
        <v>162520.58915082584</v>
      </c>
      <c r="T30" s="14">
        <f t="shared" si="13"/>
        <v>4875236.8797024684</v>
      </c>
      <c r="U30" s="21" t="str">
        <f t="shared" si="2"/>
        <v>Reached</v>
      </c>
      <c r="V30" s="21">
        <f t="shared" si="14"/>
        <v>1637726.4806590828</v>
      </c>
    </row>
    <row r="31" spans="1:22" ht="15" thickTop="1" thickBot="1" x14ac:dyDescent="0.6">
      <c r="A31" s="9">
        <f>COKE_MCSummary!D28</f>
        <v>2050</v>
      </c>
      <c r="C31" s="13">
        <f>COKE_MCSummary!I28</f>
        <v>-6.3516609392898077E-2</v>
      </c>
      <c r="D31" s="12">
        <f t="shared" si="7"/>
        <v>1258745.037786836</v>
      </c>
      <c r="E31" s="12">
        <f t="shared" si="3"/>
        <v>178772.64806590843</v>
      </c>
      <c r="F31" s="14">
        <f t="shared" si="4"/>
        <v>1346211.436505053</v>
      </c>
      <c r="G31" s="21" t="str">
        <f t="shared" si="0"/>
        <v/>
      </c>
      <c r="H31" s="21">
        <f t="shared" si="8"/>
        <v>1816499.1287249911</v>
      </c>
      <c r="I31" s="5"/>
      <c r="J31" s="13">
        <f>COKE_MCSummary!J28</f>
        <v>0.10671874836809507</v>
      </c>
      <c r="K31" s="12">
        <f t="shared" si="9"/>
        <v>3911670.4339192775</v>
      </c>
      <c r="L31" s="12">
        <f t="shared" si="5"/>
        <v>178772.64806590843</v>
      </c>
      <c r="M31" s="14">
        <f t="shared" si="10"/>
        <v>4526970.0479655787</v>
      </c>
      <c r="N31" s="21" t="str">
        <f t="shared" si="1"/>
        <v>Reached</v>
      </c>
      <c r="O31" s="21">
        <f t="shared" si="11"/>
        <v>1816499.1287249911</v>
      </c>
      <c r="P31" s="5"/>
      <c r="Q31" s="13">
        <f>COKE_MCSummary!K28</f>
        <v>7.3408536826332763E-2</v>
      </c>
      <c r="R31" s="12">
        <f t="shared" si="12"/>
        <v>4875236.8797024684</v>
      </c>
      <c r="S31" s="12">
        <f t="shared" si="6"/>
        <v>178772.64806590843</v>
      </c>
      <c r="T31" s="14">
        <f t="shared" si="13"/>
        <v>5425016.9723081989</v>
      </c>
      <c r="U31" s="21" t="str">
        <f t="shared" si="2"/>
        <v>Reached</v>
      </c>
      <c r="V31" s="21">
        <f t="shared" si="14"/>
        <v>1816499.1287249911</v>
      </c>
    </row>
    <row r="32" spans="1:22" ht="15" thickTop="1" thickBot="1" x14ac:dyDescent="0.6">
      <c r="A32" s="9">
        <f>COKE_MCSummary!D29</f>
        <v>2051</v>
      </c>
      <c r="C32" s="13">
        <f>COKE_MCSummary!I29</f>
        <v>3.1237862730954868E-2</v>
      </c>
      <c r="D32" s="12">
        <f t="shared" si="7"/>
        <v>1346211.436505053</v>
      </c>
      <c r="E32" s="12">
        <f t="shared" si="3"/>
        <v>196649.91287249929</v>
      </c>
      <c r="F32" s="14">
        <f t="shared" si="4"/>
        <v>1591057.0404223041</v>
      </c>
      <c r="G32" s="21" t="str">
        <f t="shared" si="0"/>
        <v/>
      </c>
      <c r="H32" s="21">
        <f t="shared" si="8"/>
        <v>2013149.0415974904</v>
      </c>
      <c r="I32" s="5"/>
      <c r="J32" s="13">
        <f>COKE_MCSummary!J29</f>
        <v>1.2788611571270592E-2</v>
      </c>
      <c r="K32" s="12">
        <f t="shared" si="9"/>
        <v>4526970.0479655787</v>
      </c>
      <c r="L32" s="12">
        <f t="shared" si="5"/>
        <v>196649.91287249929</v>
      </c>
      <c r="M32" s="14">
        <f t="shared" si="10"/>
        <v>4784028.5017275363</v>
      </c>
      <c r="N32" s="21" t="str">
        <f t="shared" si="1"/>
        <v>Reached</v>
      </c>
      <c r="O32" s="21">
        <f t="shared" si="11"/>
        <v>2013149.0415974904</v>
      </c>
      <c r="P32" s="5"/>
      <c r="Q32" s="13">
        <f>COKE_MCSummary!K29</f>
        <v>7.0335008565003992E-2</v>
      </c>
      <c r="R32" s="12">
        <f t="shared" si="12"/>
        <v>5425016.9723081989</v>
      </c>
      <c r="S32" s="12">
        <f t="shared" si="6"/>
        <v>196649.91287249929</v>
      </c>
      <c r="T32" s="14">
        <f t="shared" si="13"/>
        <v>6017066.8736994816</v>
      </c>
      <c r="U32" s="21" t="str">
        <f t="shared" si="2"/>
        <v>Reached</v>
      </c>
      <c r="V32" s="21">
        <f t="shared" si="14"/>
        <v>2013149.0415974904</v>
      </c>
    </row>
    <row r="33" spans="1:22" ht="15" thickTop="1" thickBot="1" x14ac:dyDescent="0.6">
      <c r="A33" s="9">
        <f>COKE_MCSummary!D30</f>
        <v>2052</v>
      </c>
      <c r="C33" s="13">
        <f>COKE_MCSummary!I30</f>
        <v>1.6748499727223247E-2</v>
      </c>
      <c r="D33" s="12">
        <f t="shared" si="7"/>
        <v>1591057.0404223041</v>
      </c>
      <c r="E33" s="12">
        <f t="shared" si="3"/>
        <v>216314.90415974925</v>
      </c>
      <c r="F33" s="14">
        <f t="shared" si="4"/>
        <v>1837642.7131028764</v>
      </c>
      <c r="G33" s="21" t="str">
        <f t="shared" si="0"/>
        <v/>
      </c>
      <c r="H33" s="21">
        <f t="shared" si="8"/>
        <v>2229463.9457572396</v>
      </c>
      <c r="I33" s="5"/>
      <c r="J33" s="13">
        <f>COKE_MCSummary!J30</f>
        <v>0.19681444266548878</v>
      </c>
      <c r="K33" s="12">
        <f t="shared" si="9"/>
        <v>4784028.5017275363</v>
      </c>
      <c r="L33" s="12">
        <f t="shared" si="5"/>
        <v>216314.90415974925</v>
      </c>
      <c r="M33" s="14">
        <f t="shared" si="10"/>
        <v>5984483.206453043</v>
      </c>
      <c r="N33" s="21" t="str">
        <f t="shared" si="1"/>
        <v>Reached</v>
      </c>
      <c r="O33" s="21">
        <f t="shared" si="11"/>
        <v>2229463.9457572396</v>
      </c>
      <c r="P33" s="5"/>
      <c r="Q33" s="13">
        <f>COKE_MCSummary!K30</f>
        <v>0.10156594873579319</v>
      </c>
      <c r="R33" s="12">
        <f t="shared" si="12"/>
        <v>6017066.8736994816</v>
      </c>
      <c r="S33" s="12">
        <f t="shared" si="6"/>
        <v>216314.90415974925</v>
      </c>
      <c r="T33" s="14">
        <f t="shared" si="13"/>
        <v>6866481.1119599082</v>
      </c>
      <c r="U33" s="21" t="str">
        <f t="shared" si="2"/>
        <v>Reached</v>
      </c>
      <c r="V33" s="21">
        <f t="shared" si="14"/>
        <v>2229463.9457572396</v>
      </c>
    </row>
    <row r="34" spans="1:22" ht="15" thickTop="1" thickBot="1" x14ac:dyDescent="0.6">
      <c r="A34" s="9">
        <f>COKE_MCSummary!D31</f>
        <v>2053</v>
      </c>
      <c r="C34" s="13">
        <f>COKE_MCSummary!I31</f>
        <v>-5.8008658008658072E-2</v>
      </c>
      <c r="D34" s="12">
        <f t="shared" si="7"/>
        <v>1837642.7131028764</v>
      </c>
      <c r="E34" s="12">
        <f t="shared" si="3"/>
        <v>237946.3945757242</v>
      </c>
      <c r="F34" s="14">
        <f t="shared" si="4"/>
        <v>1955186.968964777</v>
      </c>
      <c r="G34" s="21" t="str">
        <f t="shared" si="0"/>
        <v/>
      </c>
      <c r="H34" s="21">
        <f t="shared" si="8"/>
        <v>2467410.340332964</v>
      </c>
      <c r="I34" s="5"/>
      <c r="J34" s="13">
        <f>COKE_MCSummary!J31</f>
        <v>0.12255758019081583</v>
      </c>
      <c r="K34" s="12">
        <f t="shared" si="9"/>
        <v>5984483.206453043</v>
      </c>
      <c r="L34" s="12">
        <f t="shared" si="5"/>
        <v>237946.3945757242</v>
      </c>
      <c r="M34" s="14">
        <f t="shared" si="10"/>
        <v>6985035.5158385569</v>
      </c>
      <c r="N34" s="21" t="str">
        <f t="shared" si="1"/>
        <v>Reached</v>
      </c>
      <c r="O34" s="21">
        <f t="shared" si="11"/>
        <v>2467410.340332964</v>
      </c>
      <c r="P34" s="5"/>
      <c r="Q34" s="13">
        <f>COKE_MCSummary!K31</f>
        <v>7.8133024838287546E-2</v>
      </c>
      <c r="R34" s="12">
        <f t="shared" si="12"/>
        <v>6866481.1119599082</v>
      </c>
      <c r="S34" s="12">
        <f t="shared" si="6"/>
        <v>237946.3945757242</v>
      </c>
      <c r="T34" s="14">
        <f t="shared" si="13"/>
        <v>7659517.9173655948</v>
      </c>
      <c r="U34" s="21" t="str">
        <f t="shared" si="2"/>
        <v>Reached</v>
      </c>
      <c r="V34" s="21">
        <f t="shared" si="14"/>
        <v>2467410.340332964</v>
      </c>
    </row>
    <row r="35" spans="1:22" ht="15" thickTop="1" thickBot="1" x14ac:dyDescent="0.6">
      <c r="A35" s="9">
        <f>COKE_MCSummary!D32</f>
        <v>2054</v>
      </c>
      <c r="C35" s="13">
        <f>COKE_MCSummary!I32</f>
        <v>-3.1925665614390461E-2</v>
      </c>
      <c r="D35" s="12">
        <f t="shared" si="7"/>
        <v>1955186.968964777</v>
      </c>
      <c r="E35" s="12">
        <f t="shared" si="3"/>
        <v>261741.03403329666</v>
      </c>
      <c r="F35" s="14">
        <f t="shared" si="4"/>
        <v>2146151.1008831784</v>
      </c>
      <c r="G35" s="21" t="str">
        <f t="shared" si="0"/>
        <v>Reached</v>
      </c>
      <c r="H35" s="21">
        <f t="shared" si="8"/>
        <v>2729151.3743662606</v>
      </c>
      <c r="I35" s="5"/>
      <c r="J35" s="13">
        <f>COKE_MCSummary!J32</f>
        <v>-2.5394423227692933E-2</v>
      </c>
      <c r="K35" s="12">
        <f t="shared" si="9"/>
        <v>6985035.5158385569</v>
      </c>
      <c r="L35" s="12">
        <f t="shared" si="5"/>
        <v>261741.03403329666</v>
      </c>
      <c r="M35" s="14">
        <f t="shared" si="10"/>
        <v>7062748.839127887</v>
      </c>
      <c r="N35" s="21" t="str">
        <f t="shared" si="1"/>
        <v>Reached</v>
      </c>
      <c r="O35" s="21">
        <f t="shared" si="11"/>
        <v>2729151.3743662606</v>
      </c>
      <c r="P35" s="5"/>
      <c r="Q35" s="13">
        <f>COKE_MCSummary!K32</f>
        <v>1.4341057784402783E-2</v>
      </c>
      <c r="R35" s="12">
        <f t="shared" si="12"/>
        <v>7659517.9173655948</v>
      </c>
      <c r="S35" s="12">
        <f t="shared" si="6"/>
        <v>261741.03403329666</v>
      </c>
      <c r="T35" s="14">
        <f t="shared" si="13"/>
        <v>8034858.1837461209</v>
      </c>
      <c r="U35" s="21" t="str">
        <f t="shared" si="2"/>
        <v>Reached</v>
      </c>
      <c r="V35" s="21">
        <f t="shared" si="14"/>
        <v>2729151.3743662606</v>
      </c>
    </row>
    <row r="36" spans="1:22" ht="15" thickTop="1" thickBot="1" x14ac:dyDescent="0.6">
      <c r="A36" s="9">
        <f>COKE_MCSummary!D33</f>
        <v>2055</v>
      </c>
      <c r="C36" s="13">
        <f>COKE_MCSummary!I33</f>
        <v>-3.4697399235794381E-2</v>
      </c>
      <c r="D36" s="12">
        <f t="shared" si="7"/>
        <v>2146151.1008831784</v>
      </c>
      <c r="E36" s="12">
        <f t="shared" si="3"/>
        <v>287915.13743662636</v>
      </c>
      <c r="F36" s="14">
        <f t="shared" si="4"/>
        <v>2349610.4702824545</v>
      </c>
      <c r="G36" s="21" t="str">
        <f t="shared" si="0"/>
        <v>Reached</v>
      </c>
      <c r="H36" s="21">
        <f t="shared" si="8"/>
        <v>3017066.5118028871</v>
      </c>
      <c r="I36" s="5"/>
      <c r="J36" s="13">
        <f>COKE_MCSummary!J33</f>
        <v>7.0098494331610361E-2</v>
      </c>
      <c r="K36" s="12">
        <f t="shared" si="9"/>
        <v>7062748.839127887</v>
      </c>
      <c r="L36" s="12">
        <f t="shared" si="5"/>
        <v>287915.13743662636</v>
      </c>
      <c r="M36" s="14">
        <f t="shared" si="10"/>
        <v>7865934.4536592932</v>
      </c>
      <c r="N36" s="21" t="str">
        <f t="shared" si="1"/>
        <v>Reached</v>
      </c>
      <c r="O36" s="21">
        <f t="shared" si="11"/>
        <v>3017066.5118028871</v>
      </c>
      <c r="P36" s="5"/>
      <c r="Q36" s="13">
        <f>COKE_MCSummary!K33</f>
        <v>6.9959704907596648E-2</v>
      </c>
      <c r="R36" s="12">
        <f t="shared" si="12"/>
        <v>8034858.1837461209</v>
      </c>
      <c r="S36" s="12">
        <f t="shared" si="6"/>
        <v>287915.13743662636</v>
      </c>
      <c r="T36" s="14">
        <f t="shared" si="13"/>
        <v>8905032.0867455099</v>
      </c>
      <c r="U36" s="21" t="str">
        <f t="shared" si="2"/>
        <v>Reached</v>
      </c>
      <c r="V36" s="21">
        <f t="shared" si="14"/>
        <v>3017066.5118028871</v>
      </c>
    </row>
    <row r="37" spans="1:22" ht="15" thickTop="1" thickBot="1" x14ac:dyDescent="0.6">
      <c r="A37" s="9">
        <f>COKE_MCSummary!D34</f>
        <v>2056</v>
      </c>
      <c r="C37" s="13">
        <f>COKE_MCSummary!I34</f>
        <v>8.2513293808448296E-3</v>
      </c>
      <c r="D37" s="12">
        <f t="shared" si="7"/>
        <v>2349610.4702824545</v>
      </c>
      <c r="E37" s="12">
        <f t="shared" si="3"/>
        <v>316706.65118028905</v>
      </c>
      <c r="F37" s="14">
        <f t="shared" si="4"/>
        <v>2688317.782265719</v>
      </c>
      <c r="G37" s="21" t="str">
        <f t="shared" si="0"/>
        <v>Reached</v>
      </c>
      <c r="H37" s="21">
        <f t="shared" si="8"/>
        <v>3333773.1629831763</v>
      </c>
      <c r="I37" s="5"/>
      <c r="J37" s="13">
        <f>COKE_MCSummary!J34</f>
        <v>0.12720565755656718</v>
      </c>
      <c r="K37" s="12">
        <f t="shared" si="9"/>
        <v>7865934.4536592932</v>
      </c>
      <c r="L37" s="12">
        <f t="shared" si="5"/>
        <v>316706.65118028905</v>
      </c>
      <c r="M37" s="14">
        <f t="shared" si="10"/>
        <v>9223519.3471300974</v>
      </c>
      <c r="N37" s="21" t="str">
        <f t="shared" si="1"/>
        <v>Reached</v>
      </c>
      <c r="O37" s="21">
        <f t="shared" si="11"/>
        <v>3333773.1629831763</v>
      </c>
      <c r="P37" s="5"/>
      <c r="Q37" s="13">
        <f>COKE_MCSummary!K34</f>
        <v>0.13733252432861306</v>
      </c>
      <c r="R37" s="12">
        <f t="shared" si="12"/>
        <v>8905032.0867455099</v>
      </c>
      <c r="S37" s="12">
        <f t="shared" si="6"/>
        <v>316706.65118028905</v>
      </c>
      <c r="T37" s="14">
        <f t="shared" si="13"/>
        <v>10488183.397504108</v>
      </c>
      <c r="U37" s="21" t="str">
        <f t="shared" si="2"/>
        <v>Reached</v>
      </c>
      <c r="V37" s="21">
        <f t="shared" si="14"/>
        <v>3333773.1629831763</v>
      </c>
    </row>
    <row r="38" spans="1:22" ht="15" thickTop="1" thickBot="1" x14ac:dyDescent="0.6">
      <c r="A38" s="9">
        <f>COKE_MCSummary!D35</f>
        <v>2057</v>
      </c>
      <c r="C38" s="13">
        <f>COKE_MCSummary!I35</f>
        <v>7.6423849093224415E-3</v>
      </c>
      <c r="D38" s="12">
        <f t="shared" si="7"/>
        <v>2688317.782265719</v>
      </c>
      <c r="E38" s="12">
        <f t="shared" si="3"/>
        <v>348377.31629831798</v>
      </c>
      <c r="F38" s="14">
        <f t="shared" si="4"/>
        <v>3059902.6913595162</v>
      </c>
      <c r="G38" s="21" t="str">
        <f t="shared" si="0"/>
        <v>Reached</v>
      </c>
      <c r="H38" s="21">
        <f t="shared" si="8"/>
        <v>3682150.4792814944</v>
      </c>
      <c r="I38" s="5"/>
      <c r="J38" s="13">
        <f>COKE_MCSummary!J35</f>
        <v>1.6254130615322195E-3</v>
      </c>
      <c r="K38" s="12">
        <f t="shared" si="9"/>
        <v>9223519.3471300974</v>
      </c>
      <c r="L38" s="12">
        <f t="shared" si="5"/>
        <v>348377.31629831798</v>
      </c>
      <c r="M38" s="14">
        <f t="shared" si="10"/>
        <v>9587454.9492887892</v>
      </c>
      <c r="N38" s="21" t="str">
        <f t="shared" si="1"/>
        <v>Reached</v>
      </c>
      <c r="O38" s="21">
        <f t="shared" si="11"/>
        <v>3682150.4792814944</v>
      </c>
      <c r="P38" s="5"/>
      <c r="Q38" s="13">
        <f>COKE_MCSummary!K35</f>
        <v>4.4542311930264235E-2</v>
      </c>
      <c r="R38" s="12">
        <f t="shared" si="12"/>
        <v>10488183.397504108</v>
      </c>
      <c r="S38" s="12">
        <f t="shared" si="6"/>
        <v>348377.31629831798</v>
      </c>
      <c r="T38" s="14">
        <f t="shared" si="13"/>
        <v>11319246.181367859</v>
      </c>
      <c r="U38" s="21" t="str">
        <f t="shared" si="2"/>
        <v>Reached</v>
      </c>
      <c r="V38" s="21">
        <f t="shared" si="14"/>
        <v>3682150.4792814944</v>
      </c>
    </row>
    <row r="39" spans="1:22" ht="15" thickTop="1" thickBot="1" x14ac:dyDescent="0.6">
      <c r="A39" s="9">
        <f>COKE_MCSummary!D36</f>
        <v>2058</v>
      </c>
      <c r="C39" s="13">
        <f>COKE_MCSummary!I36</f>
        <v>-2.7355433698903385E-2</v>
      </c>
      <c r="D39" s="12">
        <f t="shared" si="7"/>
        <v>3059902.6913595162</v>
      </c>
      <c r="E39" s="12">
        <f t="shared" si="3"/>
        <v>383215.04792814981</v>
      </c>
      <c r="F39" s="14">
        <f t="shared" si="4"/>
        <v>3348929.7602530643</v>
      </c>
      <c r="G39" s="21" t="str">
        <f t="shared" si="0"/>
        <v>Reached</v>
      </c>
      <c r="H39" s="21">
        <f t="shared" si="8"/>
        <v>4065365.5272096442</v>
      </c>
      <c r="I39" s="5"/>
      <c r="J39" s="13">
        <f>COKE_MCSummary!J36</f>
        <v>0.16900722234981677</v>
      </c>
      <c r="K39" s="12">
        <f t="shared" si="9"/>
        <v>9587454.9492887892</v>
      </c>
      <c r="L39" s="12">
        <f t="shared" si="5"/>
        <v>383215.04792814981</v>
      </c>
      <c r="M39" s="14">
        <f t="shared" si="10"/>
        <v>11655785.23841323</v>
      </c>
      <c r="N39" s="21" t="str">
        <f t="shared" si="1"/>
        <v>Reached</v>
      </c>
      <c r="O39" s="21">
        <f t="shared" si="11"/>
        <v>4065365.5272096442</v>
      </c>
      <c r="P39" s="5"/>
      <c r="Q39" s="13">
        <f>COKE_MCSummary!K36</f>
        <v>4.1269651614205601E-2</v>
      </c>
      <c r="R39" s="12">
        <f t="shared" si="12"/>
        <v>11319246.181367859</v>
      </c>
      <c r="S39" s="12">
        <f t="shared" si="6"/>
        <v>383215.04792814981</v>
      </c>
      <c r="T39" s="14">
        <f t="shared" si="13"/>
        <v>12185417.727257805</v>
      </c>
      <c r="U39" s="21" t="str">
        <f t="shared" si="2"/>
        <v>Reached</v>
      </c>
      <c r="V39" s="21">
        <f t="shared" si="14"/>
        <v>4065365.5272096442</v>
      </c>
    </row>
    <row r="40" spans="1:22" ht="15" thickTop="1" thickBot="1" x14ac:dyDescent="0.6">
      <c r="A40" s="9">
        <f>COKE_MCSummary!D37</f>
        <v>2059</v>
      </c>
      <c r="C40" s="13">
        <f>COKE_MCSummary!I37</f>
        <v>-1.1471070213034118E-2</v>
      </c>
      <c r="D40" s="12">
        <f t="shared" si="7"/>
        <v>3348929.7602530643</v>
      </c>
      <c r="E40" s="12">
        <f t="shared" si="3"/>
        <v>421536.55272096483</v>
      </c>
      <c r="F40" s="14">
        <f t="shared" si="4"/>
        <v>3727215.0291620246</v>
      </c>
      <c r="G40" s="21" t="str">
        <f t="shared" si="0"/>
        <v>Reached</v>
      </c>
      <c r="H40" s="21">
        <f t="shared" si="8"/>
        <v>4486902.0799306091</v>
      </c>
      <c r="I40" s="5"/>
      <c r="J40" s="13">
        <f>COKE_MCSummary!J37</f>
        <v>5.0300494259056257E-2</v>
      </c>
      <c r="K40" s="12">
        <f t="shared" si="9"/>
        <v>11655785.23841323</v>
      </c>
      <c r="L40" s="12">
        <f t="shared" si="5"/>
        <v>421536.55272096483</v>
      </c>
      <c r="M40" s="14">
        <f t="shared" si="10"/>
        <v>12684817.046553915</v>
      </c>
      <c r="N40" s="21" t="str">
        <f t="shared" si="1"/>
        <v>Reached</v>
      </c>
      <c r="O40" s="21">
        <f t="shared" si="11"/>
        <v>4486902.0799306091</v>
      </c>
      <c r="P40" s="5"/>
      <c r="Q40" s="13">
        <f>COKE_MCSummary!K37</f>
        <v>0.12605663673732767</v>
      </c>
      <c r="R40" s="12">
        <f t="shared" si="12"/>
        <v>12185417.727257805</v>
      </c>
      <c r="S40" s="12">
        <f t="shared" si="6"/>
        <v>421536.55272096483</v>
      </c>
      <c r="T40" s="14">
        <f t="shared" si="13"/>
        <v>14196144.536014151</v>
      </c>
      <c r="U40" s="21" t="str">
        <f t="shared" si="2"/>
        <v>Reached</v>
      </c>
      <c r="V40" s="21">
        <f t="shared" si="14"/>
        <v>4486902.0799306091</v>
      </c>
    </row>
    <row r="41" spans="1:22" ht="15" thickTop="1" thickBot="1" x14ac:dyDescent="0.6">
      <c r="A41" s="9">
        <f>COKE_MCSummary!D38</f>
        <v>2060</v>
      </c>
      <c r="C41" s="13">
        <f>COKE_MCSummary!I38</f>
        <v>-2.6593335490132545E-2</v>
      </c>
      <c r="D41" s="12">
        <f t="shared" si="7"/>
        <v>3727215.0291620246</v>
      </c>
      <c r="E41" s="12">
        <f t="shared" si="3"/>
        <v>463690.20799306134</v>
      </c>
      <c r="F41" s="14">
        <f t="shared" si="4"/>
        <v>4079455.088176067</v>
      </c>
      <c r="G41" s="21" t="str">
        <f t="shared" si="0"/>
        <v>Reached</v>
      </c>
      <c r="H41" s="21">
        <f t="shared" si="8"/>
        <v>4950592.2879236704</v>
      </c>
      <c r="I41" s="5"/>
      <c r="J41" s="13">
        <f>COKE_MCSummary!J38</f>
        <v>6.8952837619493015E-2</v>
      </c>
      <c r="K41" s="12">
        <f t="shared" si="9"/>
        <v>12684817.046553915</v>
      </c>
      <c r="L41" s="12">
        <f t="shared" si="5"/>
        <v>463690.20799306134</v>
      </c>
      <c r="M41" s="14">
        <f t="shared" si="10"/>
        <v>14055134.140208481</v>
      </c>
      <c r="N41" s="21" t="str">
        <f t="shared" si="1"/>
        <v>Reached</v>
      </c>
      <c r="O41" s="21">
        <f t="shared" si="11"/>
        <v>4950592.2879236704</v>
      </c>
      <c r="P41" s="5"/>
      <c r="Q41" s="13">
        <f>COKE_MCSummary!K38</f>
        <v>2.5150086508378553E-2</v>
      </c>
      <c r="R41" s="12">
        <f t="shared" si="12"/>
        <v>14196144.536014151</v>
      </c>
      <c r="S41" s="12">
        <f t="shared" si="6"/>
        <v>463690.20799306134</v>
      </c>
      <c r="T41" s="14">
        <f t="shared" si="13"/>
        <v>15028530.856017526</v>
      </c>
      <c r="U41" s="21" t="str">
        <f t="shared" si="2"/>
        <v>Reached</v>
      </c>
      <c r="V41" s="21">
        <f t="shared" si="14"/>
        <v>4950592.2879236704</v>
      </c>
    </row>
    <row r="42" spans="1:22" ht="15" thickTop="1" thickBot="1" x14ac:dyDescent="0.6">
      <c r="A42" s="9">
        <f>COKE_MCSummary!D39</f>
        <v>2061</v>
      </c>
      <c r="C42" s="13">
        <f>COKE_MCSummary!I39</f>
        <v>-2.7046783625731138E-2</v>
      </c>
      <c r="D42" s="12">
        <f t="shared" si="7"/>
        <v>4079455.088176067</v>
      </c>
      <c r="E42" s="12">
        <f t="shared" si="3"/>
        <v>510059.2287923675</v>
      </c>
      <c r="F42" s="14">
        <f t="shared" si="4"/>
        <v>4465382.7162901945</v>
      </c>
      <c r="G42" s="21" t="str">
        <f t="shared" si="0"/>
        <v>Reached</v>
      </c>
      <c r="H42" s="21">
        <f t="shared" si="8"/>
        <v>5460651.5167160379</v>
      </c>
      <c r="I42" s="5"/>
      <c r="J42" s="13">
        <f>COKE_MCSummary!J39</f>
        <v>0.21252413825226441</v>
      </c>
      <c r="K42" s="12">
        <f t="shared" si="9"/>
        <v>14055134.140208481</v>
      </c>
      <c r="L42" s="12">
        <f t="shared" si="5"/>
        <v>510059.2287923675</v>
      </c>
      <c r="M42" s="14">
        <f t="shared" si="10"/>
        <v>17660648.538225349</v>
      </c>
      <c r="N42" s="21" t="str">
        <f t="shared" si="1"/>
        <v>Reached</v>
      </c>
      <c r="O42" s="21">
        <f t="shared" si="11"/>
        <v>5460651.5167160379</v>
      </c>
      <c r="P42" s="5"/>
      <c r="Q42" s="13">
        <f>COKE_MCSummary!K39</f>
        <v>8.560692636968853E-2</v>
      </c>
      <c r="R42" s="12">
        <f t="shared" si="12"/>
        <v>15028530.856017526</v>
      </c>
      <c r="S42" s="12">
        <f t="shared" si="6"/>
        <v>510059.2287923675</v>
      </c>
      <c r="T42" s="14">
        <f t="shared" si="13"/>
        <v>16868801.022088986</v>
      </c>
      <c r="U42" s="21" t="str">
        <f t="shared" si="2"/>
        <v>Reached</v>
      </c>
      <c r="V42" s="21">
        <f t="shared" si="14"/>
        <v>5460651.5167160379</v>
      </c>
    </row>
    <row r="43" spans="1:22" ht="15" thickTop="1" thickBot="1" x14ac:dyDescent="0.6">
      <c r="A43" s="9">
        <f>COKE_MCSummary!D40</f>
        <v>2062</v>
      </c>
      <c r="C43" s="13">
        <f>COKE_MCSummary!I40</f>
        <v>4.4085884893914358E-2</v>
      </c>
      <c r="D43" s="12">
        <f t="shared" si="7"/>
        <v>4465382.7162901945</v>
      </c>
      <c r="E43" s="12">
        <f t="shared" si="3"/>
        <v>561065.15167160425</v>
      </c>
      <c r="F43" s="14">
        <f t="shared" si="4"/>
        <v>5248043.270094024</v>
      </c>
      <c r="G43" s="21" t="str">
        <f t="shared" si="0"/>
        <v>Reached</v>
      </c>
      <c r="H43" s="21">
        <f t="shared" si="8"/>
        <v>6021716.6683876421</v>
      </c>
      <c r="I43" s="5"/>
      <c r="J43" s="13">
        <f>COKE_MCSummary!J40</f>
        <v>0.13238079393923882</v>
      </c>
      <c r="K43" s="12">
        <f t="shared" si="9"/>
        <v>17660648.538225349</v>
      </c>
      <c r="L43" s="12">
        <f t="shared" si="5"/>
        <v>561065.15167160425</v>
      </c>
      <c r="M43" s="14">
        <f t="shared" si="10"/>
        <v>20633918.615099005</v>
      </c>
      <c r="N43" s="21" t="str">
        <f t="shared" si="1"/>
        <v>Reached</v>
      </c>
      <c r="O43" s="21">
        <f t="shared" si="11"/>
        <v>6021716.6683876421</v>
      </c>
      <c r="P43" s="5"/>
      <c r="Q43" s="13">
        <f>COKE_MCSummary!K40</f>
        <v>-2.0705122390993762E-3</v>
      </c>
      <c r="R43" s="12">
        <f t="shared" si="12"/>
        <v>16868801.022088986</v>
      </c>
      <c r="S43" s="12">
        <f t="shared" si="6"/>
        <v>561065.15167160425</v>
      </c>
      <c r="T43" s="14">
        <f t="shared" si="13"/>
        <v>17393777.422521953</v>
      </c>
      <c r="U43" s="21" t="str">
        <f t="shared" si="2"/>
        <v>Reached</v>
      </c>
      <c r="V43" s="21">
        <f t="shared" si="14"/>
        <v>6021716.6683876421</v>
      </c>
    </row>
    <row r="44" spans="1:22" ht="15" thickTop="1" thickBot="1" x14ac:dyDescent="0.6">
      <c r="A44" s="9">
        <f>COKE_MCSummary!D41</f>
        <v>2063</v>
      </c>
      <c r="C44" s="13">
        <f>COKE_MCSummary!I41</f>
        <v>-2.74786241106976E-2</v>
      </c>
      <c r="D44" s="15">
        <f t="shared" si="7"/>
        <v>5248043.270094024</v>
      </c>
      <c r="E44" s="15">
        <f t="shared" si="3"/>
        <v>617171.66683876468</v>
      </c>
      <c r="F44" s="16">
        <f t="shared" si="4"/>
        <v>5704046.9003523644</v>
      </c>
      <c r="G44" s="21" t="str">
        <f t="shared" si="0"/>
        <v>Reached</v>
      </c>
      <c r="H44" s="21">
        <f t="shared" si="8"/>
        <v>6638888.3352264073</v>
      </c>
      <c r="I44" s="5"/>
      <c r="J44" s="13">
        <f>COKE_MCSummary!J41</f>
        <v>-4.3663166344892972E-2</v>
      </c>
      <c r="K44" s="15">
        <f t="shared" si="9"/>
        <v>20633918.615099005</v>
      </c>
      <c r="L44" s="15">
        <f t="shared" si="5"/>
        <v>617171.66683876468</v>
      </c>
      <c r="M44" s="16">
        <f t="shared" si="10"/>
        <v>20323200.391947184</v>
      </c>
      <c r="N44" s="21" t="str">
        <f t="shared" si="1"/>
        <v>Reached</v>
      </c>
      <c r="O44" s="21">
        <f t="shared" si="11"/>
        <v>6638888.3352264073</v>
      </c>
      <c r="P44" s="5"/>
      <c r="Q44" s="13">
        <f>COKE_MCSummary!K41</f>
        <v>0.11071531846260209</v>
      </c>
      <c r="R44" s="15">
        <f t="shared" si="12"/>
        <v>17393777.422521953</v>
      </c>
      <c r="S44" s="15">
        <f t="shared" si="6"/>
        <v>617171.66683876468</v>
      </c>
      <c r="T44" s="16">
        <f t="shared" si="13"/>
        <v>20005037.053603005</v>
      </c>
      <c r="U44" s="21" t="str">
        <f t="shared" si="2"/>
        <v>Reached</v>
      </c>
      <c r="V44" s="21">
        <f t="shared" si="14"/>
        <v>6638888.3352264073</v>
      </c>
    </row>
    <row r="45" spans="1:22" ht="14.7" thickTop="1" x14ac:dyDescent="0.55000000000000004"/>
    <row r="46" spans="1:22" x14ac:dyDescent="0.55000000000000004">
      <c r="E46" t="s">
        <v>36</v>
      </c>
    </row>
    <row r="47" spans="1:22" x14ac:dyDescent="0.55000000000000004">
      <c r="E47" s="12">
        <f>SUM(E5:E44)</f>
        <v>6638888.3352264073</v>
      </c>
    </row>
  </sheetData>
  <mergeCells count="4">
    <mergeCell ref="A1:L1"/>
    <mergeCell ref="C3:F3"/>
    <mergeCell ref="J3:M3"/>
    <mergeCell ref="Q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050B-A243-4B57-9C38-2B0D33DF4DD2}">
  <dimension ref="A1:K43"/>
  <sheetViews>
    <sheetView workbookViewId="0">
      <selection activeCell="K2" sqref="K2"/>
    </sheetView>
  </sheetViews>
  <sheetFormatPr defaultRowHeight="14.4" x14ac:dyDescent="0.55000000000000004"/>
  <sheetData>
    <row r="1" spans="1:11" x14ac:dyDescent="0.55000000000000004">
      <c r="A1" s="45" t="s">
        <v>85</v>
      </c>
      <c r="B1" s="45" t="s">
        <v>86</v>
      </c>
      <c r="C1" s="45" t="s">
        <v>87</v>
      </c>
      <c r="D1" s="45" t="s">
        <v>88</v>
      </c>
      <c r="E1" s="45" t="s">
        <v>89</v>
      </c>
      <c r="F1" s="45" t="s">
        <v>90</v>
      </c>
      <c r="G1" s="45" t="s">
        <v>91</v>
      </c>
      <c r="I1" s="46" t="s">
        <v>92</v>
      </c>
      <c r="J1" s="46" t="s">
        <v>2</v>
      </c>
      <c r="K1" s="46" t="s">
        <v>93</v>
      </c>
    </row>
    <row r="2" spans="1:11" x14ac:dyDescent="0.55000000000000004">
      <c r="A2">
        <v>188</v>
      </c>
      <c r="B2">
        <v>10000</v>
      </c>
      <c r="C2">
        <v>0</v>
      </c>
      <c r="D2">
        <v>2024</v>
      </c>
      <c r="E2">
        <v>755.47</v>
      </c>
      <c r="F2">
        <v>1088.42</v>
      </c>
      <c r="G2">
        <v>1508</v>
      </c>
      <c r="I2" s="7">
        <f>(E2-Coke_LastPrice)/E2</f>
        <v>-0.43619203939269591</v>
      </c>
      <c r="J2" s="7">
        <f>(F2-Coke_LastPrice)/F2</f>
        <v>3.1421693831426034E-3</v>
      </c>
      <c r="K2" s="7">
        <f>(G2-Coke_LastPrice)/G2</f>
        <v>0.28050397877984085</v>
      </c>
    </row>
    <row r="3" spans="1:11" x14ac:dyDescent="0.55000000000000004">
      <c r="A3">
        <v>553</v>
      </c>
      <c r="B3">
        <v>10000</v>
      </c>
      <c r="C3">
        <v>0</v>
      </c>
      <c r="D3">
        <v>2025</v>
      </c>
      <c r="E3">
        <v>612.77</v>
      </c>
      <c r="F3">
        <v>1158.99</v>
      </c>
      <c r="G3">
        <v>1981.49</v>
      </c>
      <c r="I3" s="7">
        <f>(E3-E2)/E3</f>
        <v>-0.23287693588132585</v>
      </c>
      <c r="J3" s="7">
        <f t="shared" ref="J3:K18" si="0">(F3-F2)/F3</f>
        <v>6.0889222512704975E-2</v>
      </c>
      <c r="K3" s="7">
        <f t="shared" si="0"/>
        <v>0.23895654280364775</v>
      </c>
    </row>
    <row r="4" spans="1:11" x14ac:dyDescent="0.55000000000000004">
      <c r="A4">
        <v>918</v>
      </c>
      <c r="B4">
        <v>10000</v>
      </c>
      <c r="C4">
        <v>0</v>
      </c>
      <c r="D4">
        <v>2026</v>
      </c>
      <c r="E4">
        <v>535.38</v>
      </c>
      <c r="F4">
        <v>1230.8499999999999</v>
      </c>
      <c r="G4">
        <v>2403.59</v>
      </c>
      <c r="I4" s="7">
        <f t="shared" ref="I4:K41" si="1">(E4-E3)/E4</f>
        <v>-0.14455153349023123</v>
      </c>
      <c r="J4" s="7">
        <f t="shared" si="0"/>
        <v>5.8382418653775768E-2</v>
      </c>
      <c r="K4" s="7">
        <f t="shared" si="0"/>
        <v>0.17561231324809976</v>
      </c>
    </row>
    <row r="5" spans="1:11" x14ac:dyDescent="0.55000000000000004">
      <c r="A5">
        <v>1283</v>
      </c>
      <c r="B5">
        <v>10000</v>
      </c>
      <c r="C5">
        <v>0</v>
      </c>
      <c r="D5">
        <v>2027</v>
      </c>
      <c r="E5">
        <v>478.49</v>
      </c>
      <c r="F5">
        <v>1320.62</v>
      </c>
      <c r="G5">
        <v>2856.48</v>
      </c>
      <c r="I5" s="7">
        <f t="shared" si="1"/>
        <v>-0.11889485673681788</v>
      </c>
      <c r="J5" s="7">
        <f t="shared" si="0"/>
        <v>6.7975647801790065E-2</v>
      </c>
      <c r="K5" s="7">
        <f t="shared" si="0"/>
        <v>0.15854828320170275</v>
      </c>
    </row>
    <row r="6" spans="1:11" x14ac:dyDescent="0.55000000000000004">
      <c r="A6">
        <v>1648</v>
      </c>
      <c r="B6">
        <v>10000</v>
      </c>
      <c r="C6">
        <v>0</v>
      </c>
      <c r="D6">
        <v>2028</v>
      </c>
      <c r="E6">
        <v>443.24</v>
      </c>
      <c r="F6">
        <v>1415.76</v>
      </c>
      <c r="G6">
        <v>3284.37</v>
      </c>
      <c r="I6" s="7">
        <f t="shared" si="1"/>
        <v>-7.9528020936738567E-2</v>
      </c>
      <c r="J6" s="7">
        <f t="shared" si="0"/>
        <v>6.7200655478329735E-2</v>
      </c>
      <c r="K6" s="7">
        <f t="shared" si="0"/>
        <v>0.13028069310095997</v>
      </c>
    </row>
    <row r="7" spans="1:11" x14ac:dyDescent="0.55000000000000004">
      <c r="A7">
        <v>2013</v>
      </c>
      <c r="B7">
        <v>10000</v>
      </c>
      <c r="C7">
        <v>0</v>
      </c>
      <c r="D7">
        <v>2029</v>
      </c>
      <c r="E7">
        <v>398.94</v>
      </c>
      <c r="F7">
        <v>1513.05</v>
      </c>
      <c r="G7">
        <v>3765.03</v>
      </c>
      <c r="I7" s="7">
        <f t="shared" si="1"/>
        <v>-0.11104426730836721</v>
      </c>
      <c r="J7" s="7">
        <f t="shared" si="0"/>
        <v>6.4300584911271913E-2</v>
      </c>
      <c r="K7" s="7">
        <f t="shared" si="0"/>
        <v>0.12766432139982956</v>
      </c>
    </row>
    <row r="8" spans="1:11" x14ac:dyDescent="0.55000000000000004">
      <c r="A8">
        <v>2378</v>
      </c>
      <c r="B8">
        <v>10000</v>
      </c>
      <c r="C8">
        <v>0</v>
      </c>
      <c r="D8">
        <v>2030</v>
      </c>
      <c r="E8">
        <v>368.44</v>
      </c>
      <c r="F8">
        <v>1590.77</v>
      </c>
      <c r="G8">
        <v>4227.3900000000003</v>
      </c>
      <c r="I8" s="7">
        <f t="shared" si="1"/>
        <v>-8.2781456953642391E-2</v>
      </c>
      <c r="J8" s="7">
        <f t="shared" si="0"/>
        <v>4.8856842912551803E-2</v>
      </c>
      <c r="K8" s="7">
        <f t="shared" si="0"/>
        <v>0.10937244966752538</v>
      </c>
    </row>
    <row r="9" spans="1:11" x14ac:dyDescent="0.55000000000000004">
      <c r="A9">
        <v>2743</v>
      </c>
      <c r="B9">
        <v>10000</v>
      </c>
      <c r="C9">
        <v>0</v>
      </c>
      <c r="D9">
        <v>2031</v>
      </c>
      <c r="E9">
        <v>361.95</v>
      </c>
      <c r="F9">
        <v>1763.52</v>
      </c>
      <c r="G9">
        <v>4936.49</v>
      </c>
      <c r="I9" s="7">
        <f t="shared" si="1"/>
        <v>-1.7930653405166485E-2</v>
      </c>
      <c r="J9" s="7">
        <f t="shared" si="0"/>
        <v>9.7957494102703685E-2</v>
      </c>
      <c r="K9" s="7">
        <f t="shared" si="0"/>
        <v>0.14364457337095779</v>
      </c>
    </row>
    <row r="10" spans="1:11" x14ac:dyDescent="0.55000000000000004">
      <c r="A10">
        <v>3108</v>
      </c>
      <c r="B10">
        <v>10000</v>
      </c>
      <c r="C10">
        <v>0</v>
      </c>
      <c r="D10">
        <v>2032</v>
      </c>
      <c r="E10">
        <v>329.53</v>
      </c>
      <c r="F10">
        <v>1872.14</v>
      </c>
      <c r="G10">
        <v>5465.49</v>
      </c>
      <c r="I10" s="7">
        <f t="shared" si="1"/>
        <v>-9.8382544836585498E-2</v>
      </c>
      <c r="J10" s="7">
        <f t="shared" si="0"/>
        <v>5.8019165233369356E-2</v>
      </c>
      <c r="K10" s="7">
        <f t="shared" si="0"/>
        <v>9.6789125952110422E-2</v>
      </c>
    </row>
    <row r="11" spans="1:11" x14ac:dyDescent="0.55000000000000004">
      <c r="A11">
        <v>3473</v>
      </c>
      <c r="B11">
        <v>10000</v>
      </c>
      <c r="C11">
        <v>0</v>
      </c>
      <c r="D11">
        <v>2033</v>
      </c>
      <c r="E11">
        <v>307.02999999999997</v>
      </c>
      <c r="F11">
        <v>2011.22</v>
      </c>
      <c r="G11">
        <v>6074.66</v>
      </c>
      <c r="I11" s="7">
        <f t="shared" si="1"/>
        <v>-7.3282741100218221E-2</v>
      </c>
      <c r="J11" s="7">
        <f t="shared" si="0"/>
        <v>6.9152056960451833E-2</v>
      </c>
      <c r="K11" s="7">
        <f t="shared" si="0"/>
        <v>0.1002805095264591</v>
      </c>
    </row>
    <row r="12" spans="1:11" x14ac:dyDescent="0.55000000000000004">
      <c r="A12">
        <v>3838</v>
      </c>
      <c r="B12">
        <v>10000</v>
      </c>
      <c r="C12">
        <v>0</v>
      </c>
      <c r="D12">
        <v>2034</v>
      </c>
      <c r="E12">
        <v>298.52999999999997</v>
      </c>
      <c r="F12">
        <v>2202.16</v>
      </c>
      <c r="G12">
        <v>6818.17</v>
      </c>
      <c r="I12" s="7">
        <f t="shared" si="1"/>
        <v>-2.8472850299802368E-2</v>
      </c>
      <c r="J12" s="7">
        <f t="shared" si="0"/>
        <v>8.6705779779852429E-2</v>
      </c>
      <c r="K12" s="7">
        <f t="shared" si="0"/>
        <v>0.10904832235042544</v>
      </c>
    </row>
    <row r="13" spans="1:11" x14ac:dyDescent="0.55000000000000004">
      <c r="A13">
        <v>4203</v>
      </c>
      <c r="B13">
        <v>10000</v>
      </c>
      <c r="C13">
        <v>0</v>
      </c>
      <c r="D13">
        <v>2035</v>
      </c>
      <c r="E13">
        <v>279.63</v>
      </c>
      <c r="F13">
        <v>2298.85</v>
      </c>
      <c r="G13">
        <v>7308.22</v>
      </c>
      <c r="I13" s="7">
        <f t="shared" si="1"/>
        <v>-6.7589314451239058E-2</v>
      </c>
      <c r="J13" s="7">
        <f t="shared" si="0"/>
        <v>4.2060160515040156E-2</v>
      </c>
      <c r="K13" s="7">
        <f t="shared" si="0"/>
        <v>6.7054631633968353E-2</v>
      </c>
    </row>
    <row r="14" spans="1:11" x14ac:dyDescent="0.55000000000000004">
      <c r="A14">
        <v>4568</v>
      </c>
      <c r="B14">
        <v>10000</v>
      </c>
      <c r="C14">
        <v>0</v>
      </c>
      <c r="D14">
        <v>2036</v>
      </c>
      <c r="E14">
        <v>272.07</v>
      </c>
      <c r="F14">
        <v>2568.2800000000002</v>
      </c>
      <c r="G14">
        <v>8359.94</v>
      </c>
      <c r="I14" s="7">
        <f t="shared" si="1"/>
        <v>-2.7786966589480658E-2</v>
      </c>
      <c r="J14" s="7">
        <f t="shared" si="0"/>
        <v>0.10490678586446971</v>
      </c>
      <c r="K14" s="7">
        <f t="shared" si="0"/>
        <v>0.12580473065596168</v>
      </c>
    </row>
    <row r="15" spans="1:11" x14ac:dyDescent="0.55000000000000004">
      <c r="A15">
        <v>4933</v>
      </c>
      <c r="B15">
        <v>10000</v>
      </c>
      <c r="C15">
        <v>0</v>
      </c>
      <c r="D15">
        <v>2037</v>
      </c>
      <c r="E15">
        <v>259.10000000000002</v>
      </c>
      <c r="F15">
        <v>2752.88</v>
      </c>
      <c r="G15">
        <v>9176.94</v>
      </c>
      <c r="I15" s="7">
        <f t="shared" si="1"/>
        <v>-5.0057892705518983E-2</v>
      </c>
      <c r="J15" s="7">
        <f t="shared" si="0"/>
        <v>6.7057045712126895E-2</v>
      </c>
      <c r="K15" s="7">
        <f t="shared" si="0"/>
        <v>8.9027497183156903E-2</v>
      </c>
    </row>
    <row r="16" spans="1:11" x14ac:dyDescent="0.55000000000000004">
      <c r="A16">
        <v>5298</v>
      </c>
      <c r="B16">
        <v>10000</v>
      </c>
      <c r="C16">
        <v>0</v>
      </c>
      <c r="D16">
        <v>2038</v>
      </c>
      <c r="E16">
        <v>255.27</v>
      </c>
      <c r="F16">
        <v>2891.28</v>
      </c>
      <c r="G16">
        <v>9825.49</v>
      </c>
      <c r="I16" s="7">
        <f t="shared" si="1"/>
        <v>-1.5003721549731706E-2</v>
      </c>
      <c r="J16" s="7">
        <f t="shared" si="0"/>
        <v>4.7868072272488335E-2</v>
      </c>
      <c r="K16" s="7">
        <f t="shared" si="0"/>
        <v>6.6006886170562412E-2</v>
      </c>
    </row>
    <row r="17" spans="1:11" x14ac:dyDescent="0.55000000000000004">
      <c r="A17">
        <v>5663</v>
      </c>
      <c r="B17">
        <v>10000</v>
      </c>
      <c r="C17">
        <v>0</v>
      </c>
      <c r="D17">
        <v>2039</v>
      </c>
      <c r="E17">
        <v>240.6</v>
      </c>
      <c r="F17">
        <v>3218.15</v>
      </c>
      <c r="G17">
        <v>10929.72</v>
      </c>
      <c r="I17" s="7">
        <f t="shared" si="1"/>
        <v>-6.0972568578553682E-2</v>
      </c>
      <c r="J17" s="7">
        <f t="shared" si="0"/>
        <v>0.10157077824215772</v>
      </c>
      <c r="K17" s="7">
        <f t="shared" si="0"/>
        <v>0.10103003553613447</v>
      </c>
    </row>
    <row r="18" spans="1:11" x14ac:dyDescent="0.55000000000000004">
      <c r="A18">
        <v>6028</v>
      </c>
      <c r="B18">
        <v>10000</v>
      </c>
      <c r="C18">
        <v>0</v>
      </c>
      <c r="D18">
        <v>2040</v>
      </c>
      <c r="E18">
        <v>238.75</v>
      </c>
      <c r="F18">
        <v>3444.47</v>
      </c>
      <c r="G18">
        <v>11732.52</v>
      </c>
      <c r="I18" s="7">
        <f t="shared" si="1"/>
        <v>-7.7486910994764161E-3</v>
      </c>
      <c r="J18" s="7">
        <f t="shared" si="0"/>
        <v>6.5705318960536663E-2</v>
      </c>
      <c r="K18" s="7">
        <f t="shared" si="0"/>
        <v>6.8425197655746686E-2</v>
      </c>
    </row>
    <row r="19" spans="1:11" x14ac:dyDescent="0.55000000000000004">
      <c r="A19">
        <v>6393</v>
      </c>
      <c r="B19">
        <v>10000</v>
      </c>
      <c r="C19">
        <v>0</v>
      </c>
      <c r="D19">
        <v>2041</v>
      </c>
      <c r="E19">
        <v>230.84</v>
      </c>
      <c r="F19">
        <v>3861</v>
      </c>
      <c r="G19">
        <v>13295.11</v>
      </c>
      <c r="I19" s="7">
        <f t="shared" si="1"/>
        <v>-3.4266158378097371E-2</v>
      </c>
      <c r="J19" s="7">
        <f t="shared" si="1"/>
        <v>0.10788137788137793</v>
      </c>
      <c r="K19" s="7">
        <f t="shared" si="1"/>
        <v>0.117531182517482</v>
      </c>
    </row>
    <row r="20" spans="1:11" x14ac:dyDescent="0.55000000000000004">
      <c r="A20">
        <v>6758</v>
      </c>
      <c r="B20">
        <v>10000</v>
      </c>
      <c r="C20">
        <v>0</v>
      </c>
      <c r="D20">
        <v>2042</v>
      </c>
      <c r="E20">
        <v>228.36</v>
      </c>
      <c r="F20">
        <v>4057.38</v>
      </c>
      <c r="G20">
        <v>14066.72</v>
      </c>
      <c r="I20" s="7">
        <f t="shared" si="1"/>
        <v>-1.0860045542126422E-2</v>
      </c>
      <c r="J20" s="7">
        <f t="shared" si="1"/>
        <v>4.8400692072223972E-2</v>
      </c>
      <c r="K20" s="7">
        <f t="shared" si="1"/>
        <v>5.4853583493522214E-2</v>
      </c>
    </row>
    <row r="21" spans="1:11" x14ac:dyDescent="0.55000000000000004">
      <c r="A21">
        <v>7123</v>
      </c>
      <c r="B21">
        <v>10000</v>
      </c>
      <c r="C21">
        <v>0</v>
      </c>
      <c r="D21">
        <v>2043</v>
      </c>
      <c r="E21">
        <v>223.88</v>
      </c>
      <c r="F21">
        <v>4469.8</v>
      </c>
      <c r="G21">
        <v>15194.22</v>
      </c>
      <c r="I21" s="7">
        <f t="shared" si="1"/>
        <v>-2.0010720028586823E-2</v>
      </c>
      <c r="J21" s="7">
        <f t="shared" si="1"/>
        <v>9.2268110429996886E-2</v>
      </c>
      <c r="K21" s="7">
        <f t="shared" si="1"/>
        <v>7.4205849329547685E-2</v>
      </c>
    </row>
    <row r="22" spans="1:11" x14ac:dyDescent="0.55000000000000004">
      <c r="A22">
        <v>7488</v>
      </c>
      <c r="B22">
        <v>10000</v>
      </c>
      <c r="C22">
        <v>0</v>
      </c>
      <c r="D22">
        <v>2044</v>
      </c>
      <c r="E22">
        <v>206.79</v>
      </c>
      <c r="F22">
        <v>4875.47</v>
      </c>
      <c r="G22">
        <v>16808.75</v>
      </c>
      <c r="I22" s="7">
        <f t="shared" si="1"/>
        <v>-8.2644228444315515E-2</v>
      </c>
      <c r="J22" s="7">
        <f t="shared" si="1"/>
        <v>8.3206337030070951E-2</v>
      </c>
      <c r="K22" s="7">
        <f t="shared" si="1"/>
        <v>9.6052948613073591E-2</v>
      </c>
    </row>
    <row r="23" spans="1:11" x14ac:dyDescent="0.55000000000000004">
      <c r="A23">
        <v>7853</v>
      </c>
      <c r="B23">
        <v>10000</v>
      </c>
      <c r="C23">
        <v>0</v>
      </c>
      <c r="D23">
        <v>2045</v>
      </c>
      <c r="E23">
        <v>204.35</v>
      </c>
      <c r="F23">
        <v>5162.8100000000004</v>
      </c>
      <c r="G23">
        <v>17651.669999999998</v>
      </c>
      <c r="I23" s="7">
        <f t="shared" si="1"/>
        <v>-1.1940298507462676E-2</v>
      </c>
      <c r="J23" s="7">
        <f t="shared" si="1"/>
        <v>5.5655737863682789E-2</v>
      </c>
      <c r="K23" s="7">
        <f t="shared" si="1"/>
        <v>4.7752988810690337E-2</v>
      </c>
    </row>
    <row r="24" spans="1:11" x14ac:dyDescent="0.55000000000000004">
      <c r="A24">
        <v>8218</v>
      </c>
      <c r="B24">
        <v>10000</v>
      </c>
      <c r="C24">
        <v>0</v>
      </c>
      <c r="D24">
        <v>2046</v>
      </c>
      <c r="E24">
        <v>199.48</v>
      </c>
      <c r="F24">
        <v>6075.2</v>
      </c>
      <c r="G24">
        <v>20443.48</v>
      </c>
      <c r="I24" s="7">
        <f t="shared" si="1"/>
        <v>-2.441347503509126E-2</v>
      </c>
      <c r="J24" s="7">
        <f t="shared" si="1"/>
        <v>0.15018271003423747</v>
      </c>
      <c r="K24" s="7">
        <f t="shared" si="1"/>
        <v>0.13656236609422667</v>
      </c>
    </row>
    <row r="25" spans="1:11" x14ac:dyDescent="0.55000000000000004">
      <c r="A25">
        <v>8583</v>
      </c>
      <c r="B25">
        <v>10000</v>
      </c>
      <c r="C25">
        <v>0</v>
      </c>
      <c r="D25">
        <v>2047</v>
      </c>
      <c r="E25">
        <v>200.83</v>
      </c>
      <c r="F25">
        <v>6212.01</v>
      </c>
      <c r="G25">
        <v>21491.55</v>
      </c>
      <c r="I25" s="7">
        <f t="shared" si="1"/>
        <v>6.7221032714237048E-3</v>
      </c>
      <c r="J25" s="7">
        <f t="shared" si="1"/>
        <v>2.2023467444514801E-2</v>
      </c>
      <c r="K25" s="7">
        <f t="shared" si="1"/>
        <v>4.8766608271623019E-2</v>
      </c>
    </row>
    <row r="26" spans="1:11" x14ac:dyDescent="0.55000000000000004">
      <c r="A26">
        <v>8948</v>
      </c>
      <c r="B26">
        <v>10000</v>
      </c>
      <c r="C26">
        <v>0</v>
      </c>
      <c r="D26">
        <v>2048</v>
      </c>
      <c r="E26">
        <v>195.03</v>
      </c>
      <c r="F26">
        <v>7183.15</v>
      </c>
      <c r="G26">
        <v>23626.94</v>
      </c>
      <c r="I26" s="7">
        <f t="shared" si="1"/>
        <v>-2.9739014510588174E-2</v>
      </c>
      <c r="J26" s="7">
        <f t="shared" si="1"/>
        <v>0.13519695398258416</v>
      </c>
      <c r="K26" s="7">
        <f t="shared" si="1"/>
        <v>9.0379456671071223E-2</v>
      </c>
    </row>
    <row r="27" spans="1:11" x14ac:dyDescent="0.55000000000000004">
      <c r="A27">
        <v>9313</v>
      </c>
      <c r="B27">
        <v>10000</v>
      </c>
      <c r="C27">
        <v>0</v>
      </c>
      <c r="D27">
        <v>2049</v>
      </c>
      <c r="E27">
        <v>185.69</v>
      </c>
      <c r="F27">
        <v>7697.61</v>
      </c>
      <c r="G27">
        <v>25088.27</v>
      </c>
      <c r="I27" s="7">
        <f t="shared" si="1"/>
        <v>-5.0298885238838943E-2</v>
      </c>
      <c r="J27" s="7">
        <f t="shared" si="1"/>
        <v>6.6833731508870939E-2</v>
      </c>
      <c r="K27" s="7">
        <f t="shared" si="1"/>
        <v>5.8247539587225491E-2</v>
      </c>
    </row>
    <row r="28" spans="1:11" x14ac:dyDescent="0.55000000000000004">
      <c r="A28">
        <v>9678</v>
      </c>
      <c r="B28">
        <v>10000</v>
      </c>
      <c r="C28">
        <v>0</v>
      </c>
      <c r="D28">
        <v>2050</v>
      </c>
      <c r="E28">
        <v>174.6</v>
      </c>
      <c r="F28">
        <v>8617.23</v>
      </c>
      <c r="G28">
        <v>27075.87</v>
      </c>
      <c r="I28" s="7">
        <f t="shared" si="1"/>
        <v>-6.3516609392898077E-2</v>
      </c>
      <c r="J28" s="7">
        <f t="shared" si="1"/>
        <v>0.10671874836809507</v>
      </c>
      <c r="K28" s="7">
        <f t="shared" si="1"/>
        <v>7.3408536826332763E-2</v>
      </c>
    </row>
    <row r="29" spans="1:11" x14ac:dyDescent="0.55000000000000004">
      <c r="A29">
        <v>10043</v>
      </c>
      <c r="B29">
        <v>10000</v>
      </c>
      <c r="C29">
        <v>0</v>
      </c>
      <c r="D29">
        <v>2051</v>
      </c>
      <c r="E29">
        <v>180.23</v>
      </c>
      <c r="F29">
        <v>8728.86</v>
      </c>
      <c r="G29">
        <v>29124.33</v>
      </c>
      <c r="I29" s="7">
        <f t="shared" si="1"/>
        <v>3.1237862730954868E-2</v>
      </c>
      <c r="J29" s="7">
        <f t="shared" si="1"/>
        <v>1.2788611571270592E-2</v>
      </c>
      <c r="K29" s="7">
        <f t="shared" si="1"/>
        <v>7.0335008565003992E-2</v>
      </c>
    </row>
    <row r="30" spans="1:11" x14ac:dyDescent="0.55000000000000004">
      <c r="A30">
        <v>10408</v>
      </c>
      <c r="B30">
        <v>10000</v>
      </c>
      <c r="C30">
        <v>0</v>
      </c>
      <c r="D30">
        <v>2052</v>
      </c>
      <c r="E30">
        <v>183.3</v>
      </c>
      <c r="F30">
        <v>10867.8</v>
      </c>
      <c r="G30">
        <v>32416.77</v>
      </c>
      <c r="I30" s="7">
        <f t="shared" si="1"/>
        <v>1.6748499727223247E-2</v>
      </c>
      <c r="J30" s="7">
        <f t="shared" si="1"/>
        <v>0.19681444266548878</v>
      </c>
      <c r="K30" s="7">
        <f t="shared" si="1"/>
        <v>0.10156594873579319</v>
      </c>
    </row>
    <row r="31" spans="1:11" x14ac:dyDescent="0.55000000000000004">
      <c r="A31">
        <v>10773</v>
      </c>
      <c r="B31">
        <v>10000</v>
      </c>
      <c r="C31">
        <v>0</v>
      </c>
      <c r="D31">
        <v>2053</v>
      </c>
      <c r="E31">
        <v>173.25</v>
      </c>
      <c r="F31">
        <v>12385.77</v>
      </c>
      <c r="G31">
        <v>35164.26</v>
      </c>
      <c r="I31" s="7">
        <f t="shared" si="1"/>
        <v>-5.8008658008658072E-2</v>
      </c>
      <c r="J31" s="7">
        <f t="shared" si="1"/>
        <v>0.12255758019081583</v>
      </c>
      <c r="K31" s="7">
        <f t="shared" si="1"/>
        <v>7.8133024838287546E-2</v>
      </c>
    </row>
    <row r="32" spans="1:11" x14ac:dyDescent="0.55000000000000004">
      <c r="A32">
        <v>11138</v>
      </c>
      <c r="B32">
        <v>10000</v>
      </c>
      <c r="C32">
        <v>0</v>
      </c>
      <c r="D32">
        <v>2054</v>
      </c>
      <c r="E32">
        <v>167.89</v>
      </c>
      <c r="F32">
        <v>12079.03</v>
      </c>
      <c r="G32">
        <v>35675.89</v>
      </c>
      <c r="I32" s="7">
        <f t="shared" si="1"/>
        <v>-3.1925665614390461E-2</v>
      </c>
      <c r="J32" s="7">
        <f t="shared" si="1"/>
        <v>-2.5394423227692933E-2</v>
      </c>
      <c r="K32" s="7">
        <f t="shared" si="1"/>
        <v>1.4341057784402783E-2</v>
      </c>
    </row>
    <row r="33" spans="1:11" x14ac:dyDescent="0.55000000000000004">
      <c r="A33">
        <v>11503</v>
      </c>
      <c r="B33">
        <v>10000</v>
      </c>
      <c r="C33">
        <v>0</v>
      </c>
      <c r="D33">
        <v>2055</v>
      </c>
      <c r="E33">
        <v>162.26</v>
      </c>
      <c r="F33">
        <v>12989.58</v>
      </c>
      <c r="G33">
        <v>38359.51</v>
      </c>
      <c r="I33" s="7">
        <f t="shared" si="1"/>
        <v>-3.4697399235794381E-2</v>
      </c>
      <c r="J33" s="7">
        <f t="shared" si="1"/>
        <v>7.0098494331610361E-2</v>
      </c>
      <c r="K33" s="7">
        <f t="shared" si="1"/>
        <v>6.9959704907596648E-2</v>
      </c>
    </row>
    <row r="34" spans="1:11" x14ac:dyDescent="0.55000000000000004">
      <c r="A34">
        <v>11868</v>
      </c>
      <c r="B34">
        <v>10000</v>
      </c>
      <c r="C34">
        <v>0</v>
      </c>
      <c r="D34">
        <v>2056</v>
      </c>
      <c r="E34">
        <v>163.61000000000001</v>
      </c>
      <c r="F34">
        <v>14882.75</v>
      </c>
      <c r="G34">
        <v>44466.16</v>
      </c>
      <c r="I34" s="7">
        <f t="shared" si="1"/>
        <v>8.2513293808448296E-3</v>
      </c>
      <c r="J34" s="7">
        <f t="shared" si="1"/>
        <v>0.12720565755656718</v>
      </c>
      <c r="K34" s="7">
        <f t="shared" si="1"/>
        <v>0.13733252432861306</v>
      </c>
    </row>
    <row r="35" spans="1:11" x14ac:dyDescent="0.55000000000000004">
      <c r="A35">
        <v>12233</v>
      </c>
      <c r="B35">
        <v>10000</v>
      </c>
      <c r="C35">
        <v>0</v>
      </c>
      <c r="D35">
        <v>2057</v>
      </c>
      <c r="E35">
        <v>164.87</v>
      </c>
      <c r="F35">
        <v>14906.98</v>
      </c>
      <c r="G35">
        <v>46539.12</v>
      </c>
      <c r="I35" s="7">
        <f t="shared" si="1"/>
        <v>7.6423849093224415E-3</v>
      </c>
      <c r="J35" s="7">
        <f t="shared" si="1"/>
        <v>1.6254130615322195E-3</v>
      </c>
      <c r="K35" s="7">
        <f t="shared" si="1"/>
        <v>4.4542311930264235E-2</v>
      </c>
    </row>
    <row r="36" spans="1:11" x14ac:dyDescent="0.55000000000000004">
      <c r="A36">
        <v>12598</v>
      </c>
      <c r="B36">
        <v>10000</v>
      </c>
      <c r="C36">
        <v>0</v>
      </c>
      <c r="D36">
        <v>2058</v>
      </c>
      <c r="E36">
        <v>160.47999999999999</v>
      </c>
      <c r="F36">
        <v>17938.759999999998</v>
      </c>
      <c r="G36">
        <v>48542.45</v>
      </c>
      <c r="I36" s="7">
        <f t="shared" si="1"/>
        <v>-2.7355433698903385E-2</v>
      </c>
      <c r="J36" s="7">
        <f t="shared" si="1"/>
        <v>0.16900722234981677</v>
      </c>
      <c r="K36" s="7">
        <f t="shared" si="1"/>
        <v>4.1269651614205601E-2</v>
      </c>
    </row>
    <row r="37" spans="1:11" x14ac:dyDescent="0.55000000000000004">
      <c r="A37">
        <v>12963</v>
      </c>
      <c r="B37">
        <v>10000</v>
      </c>
      <c r="C37">
        <v>0</v>
      </c>
      <c r="D37">
        <v>2059</v>
      </c>
      <c r="E37">
        <v>158.66</v>
      </c>
      <c r="F37">
        <v>18888.88</v>
      </c>
      <c r="G37">
        <v>55544.160000000003</v>
      </c>
      <c r="I37" s="7">
        <f t="shared" si="1"/>
        <v>-1.1471070213034118E-2</v>
      </c>
      <c r="J37" s="7">
        <f t="shared" si="1"/>
        <v>5.0300494259056257E-2</v>
      </c>
      <c r="K37" s="7">
        <f t="shared" si="1"/>
        <v>0.12605663673732767</v>
      </c>
    </row>
    <row r="38" spans="1:11" x14ac:dyDescent="0.55000000000000004">
      <c r="A38">
        <v>13328</v>
      </c>
      <c r="B38">
        <v>10000</v>
      </c>
      <c r="C38">
        <v>0</v>
      </c>
      <c r="D38">
        <v>2060</v>
      </c>
      <c r="E38">
        <v>154.55000000000001</v>
      </c>
      <c r="F38">
        <v>20287.78</v>
      </c>
      <c r="G38">
        <v>56977.14</v>
      </c>
      <c r="I38" s="7">
        <f t="shared" si="1"/>
        <v>-2.6593335490132545E-2</v>
      </c>
      <c r="J38" s="7">
        <f t="shared" si="1"/>
        <v>6.8952837619493015E-2</v>
      </c>
      <c r="K38" s="7">
        <f t="shared" si="1"/>
        <v>2.5150086508378553E-2</v>
      </c>
    </row>
    <row r="39" spans="1:11" x14ac:dyDescent="0.55000000000000004">
      <c r="A39">
        <v>13693</v>
      </c>
      <c r="B39">
        <v>10000</v>
      </c>
      <c r="C39">
        <v>0</v>
      </c>
      <c r="D39">
        <v>2061</v>
      </c>
      <c r="E39">
        <v>150.47999999999999</v>
      </c>
      <c r="F39">
        <v>25763.05</v>
      </c>
      <c r="G39">
        <v>62311.43</v>
      </c>
      <c r="I39" s="7">
        <f t="shared" si="1"/>
        <v>-2.7046783625731138E-2</v>
      </c>
      <c r="J39" s="7">
        <f t="shared" si="1"/>
        <v>0.21252413825226441</v>
      </c>
      <c r="K39" s="7">
        <f t="shared" si="1"/>
        <v>8.560692636968853E-2</v>
      </c>
    </row>
    <row r="40" spans="1:11" x14ac:dyDescent="0.55000000000000004">
      <c r="A40">
        <v>14058</v>
      </c>
      <c r="B40">
        <v>10000</v>
      </c>
      <c r="C40">
        <v>0</v>
      </c>
      <c r="D40">
        <v>2062</v>
      </c>
      <c r="E40">
        <v>157.41999999999999</v>
      </c>
      <c r="F40">
        <v>29693.96</v>
      </c>
      <c r="G40">
        <v>62182.68</v>
      </c>
      <c r="I40" s="7">
        <f t="shared" si="1"/>
        <v>4.4085884893914358E-2</v>
      </c>
      <c r="J40" s="7">
        <f t="shared" si="1"/>
        <v>0.13238079393923882</v>
      </c>
      <c r="K40" s="7">
        <f t="shared" si="1"/>
        <v>-2.0705122390993762E-3</v>
      </c>
    </row>
    <row r="41" spans="1:11" x14ac:dyDescent="0.55000000000000004">
      <c r="A41">
        <v>14423</v>
      </c>
      <c r="B41">
        <v>10000</v>
      </c>
      <c r="C41">
        <v>0</v>
      </c>
      <c r="D41">
        <v>2063</v>
      </c>
      <c r="E41">
        <v>153.21</v>
      </c>
      <c r="F41">
        <v>28451.67</v>
      </c>
      <c r="G41">
        <v>69924.38</v>
      </c>
      <c r="I41" s="7">
        <f t="shared" si="1"/>
        <v>-2.74786241106976E-2</v>
      </c>
      <c r="J41" s="7">
        <f t="shared" si="1"/>
        <v>-4.3663166344892972E-2</v>
      </c>
      <c r="K41" s="7">
        <f t="shared" si="1"/>
        <v>0.11071531846260209</v>
      </c>
    </row>
    <row r="42" spans="1:11" x14ac:dyDescent="0.55000000000000004">
      <c r="I42" s="7"/>
      <c r="J42" s="7"/>
      <c r="K42" s="7"/>
    </row>
    <row r="43" spans="1:11" x14ac:dyDescent="0.55000000000000004">
      <c r="I43" s="47">
        <f>AVERAGE(I3:I41)</f>
        <v>-4.2935470668834873E-2</v>
      </c>
      <c r="J43" s="47">
        <f t="shared" ref="J43:K43" si="2">AVERAGE(J3:J41)</f>
        <v>7.877369212189346E-2</v>
      </c>
      <c r="K43" s="47">
        <f t="shared" si="2"/>
        <v>9.2519099031156612E-2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22F8-5572-4DD0-AB3A-84CFCE3FBB23}">
  <dimension ref="A1:AY47"/>
  <sheetViews>
    <sheetView topLeftCell="AG1" workbookViewId="0">
      <selection activeCell="AQ31" sqref="AQ31"/>
    </sheetView>
  </sheetViews>
  <sheetFormatPr defaultRowHeight="14.4" x14ac:dyDescent="0.55000000000000004"/>
  <cols>
    <col min="2" max="2" width="3.20703125" customWidth="1"/>
    <col min="4" max="4" width="11.5234375" bestFit="1" customWidth="1"/>
    <col min="5" max="5" width="11.5234375" customWidth="1"/>
    <col min="6" max="6" width="11.5234375" bestFit="1" customWidth="1"/>
    <col min="7" max="15" width="11.5234375" customWidth="1"/>
    <col min="16" max="16" width="7.62890625" bestFit="1" customWidth="1"/>
    <col min="17" max="17" width="10.15625" bestFit="1" customWidth="1"/>
    <col min="18" max="18" width="4.3671875" customWidth="1"/>
    <col min="20" max="20" width="11.15625" bestFit="1" customWidth="1"/>
    <col min="21" max="21" width="9.734375" bestFit="1" customWidth="1"/>
    <col min="22" max="22" width="11.5234375" bestFit="1" customWidth="1"/>
    <col min="23" max="31" width="11.5234375" customWidth="1"/>
    <col min="32" max="32" width="7.62890625" bestFit="1" customWidth="1"/>
    <col min="33" max="33" width="10.15625" bestFit="1" customWidth="1"/>
    <col min="34" max="34" width="6.05078125" customWidth="1"/>
    <col min="36" max="36" width="11.15625" bestFit="1" customWidth="1"/>
    <col min="37" max="37" width="9.734375" bestFit="1" customWidth="1"/>
    <col min="38" max="38" width="11.15625" bestFit="1" customWidth="1"/>
    <col min="39" max="45" width="11.15625" customWidth="1"/>
    <col min="46" max="46" width="8.62890625" bestFit="1" customWidth="1"/>
    <col min="47" max="47" width="12.15625" bestFit="1" customWidth="1"/>
    <col min="48" max="48" width="7.62890625" customWidth="1"/>
    <col min="49" max="49" width="10.15625" bestFit="1" customWidth="1"/>
  </cols>
  <sheetData>
    <row r="1" spans="1:51" x14ac:dyDescent="0.55000000000000004">
      <c r="A1" s="49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AY1" s="6"/>
    </row>
    <row r="2" spans="1:51" ht="14.7" thickBot="1" x14ac:dyDescent="0.6">
      <c r="AY2" s="6"/>
    </row>
    <row r="3" spans="1:51" x14ac:dyDescent="0.55000000000000004">
      <c r="C3" s="51" t="s">
        <v>64</v>
      </c>
      <c r="D3" s="52"/>
      <c r="E3" s="52"/>
      <c r="F3" s="53"/>
      <c r="G3" s="51" t="s">
        <v>49</v>
      </c>
      <c r="H3" s="52"/>
      <c r="I3" s="52"/>
      <c r="J3" s="53"/>
      <c r="K3" s="51" t="s">
        <v>72</v>
      </c>
      <c r="L3" s="52"/>
      <c r="M3" s="52"/>
      <c r="N3" s="53"/>
      <c r="O3" s="25"/>
      <c r="P3" s="20" t="s">
        <v>37</v>
      </c>
      <c r="Q3" s="20" t="s">
        <v>40</v>
      </c>
      <c r="S3" s="51" t="s">
        <v>65</v>
      </c>
      <c r="T3" s="52"/>
      <c r="U3" s="52"/>
      <c r="V3" s="53"/>
      <c r="W3" s="51" t="s">
        <v>51</v>
      </c>
      <c r="X3" s="52"/>
      <c r="Y3" s="52"/>
      <c r="Z3" s="53"/>
      <c r="AA3" s="51" t="s">
        <v>73</v>
      </c>
      <c r="AB3" s="52"/>
      <c r="AC3" s="52"/>
      <c r="AD3" s="53"/>
      <c r="AE3" s="25"/>
      <c r="AF3" s="20" t="s">
        <v>37</v>
      </c>
      <c r="AG3" s="20" t="s">
        <v>41</v>
      </c>
      <c r="AI3" s="51" t="s">
        <v>66</v>
      </c>
      <c r="AJ3" s="52"/>
      <c r="AK3" s="52"/>
      <c r="AL3" s="53"/>
      <c r="AM3" s="51" t="s">
        <v>52</v>
      </c>
      <c r="AN3" s="52"/>
      <c r="AO3" s="52"/>
      <c r="AP3" s="53"/>
      <c r="AQ3" s="51" t="s">
        <v>74</v>
      </c>
      <c r="AR3" s="52"/>
      <c r="AS3" s="52"/>
      <c r="AT3" s="53"/>
      <c r="AU3" s="28"/>
      <c r="AV3" s="20" t="s">
        <v>37</v>
      </c>
      <c r="AW3" s="20" t="s">
        <v>41</v>
      </c>
      <c r="AY3" s="6"/>
    </row>
    <row r="4" spans="1:51" s="10" customFormat="1" x14ac:dyDescent="0.55000000000000004">
      <c r="A4" s="10" t="str">
        <f>[1]MCSummary!$D$1</f>
        <v>Year</v>
      </c>
      <c r="B4"/>
      <c r="C4" s="17" t="str">
        <f>[1]MCSummary!$I$1</f>
        <v>5Per</v>
      </c>
      <c r="D4" s="18" t="s">
        <v>35</v>
      </c>
      <c r="E4" s="18" t="s">
        <v>30</v>
      </c>
      <c r="F4" s="19" t="s">
        <v>6</v>
      </c>
      <c r="G4" s="17" t="str">
        <f>[1]MCSummary!$I$1</f>
        <v>5Per</v>
      </c>
      <c r="H4" s="18" t="s">
        <v>35</v>
      </c>
      <c r="I4" s="18" t="s">
        <v>30</v>
      </c>
      <c r="J4" s="19" t="s">
        <v>6</v>
      </c>
      <c r="K4" s="17" t="str">
        <f>[1]MCSummary!$I$1</f>
        <v>5Per</v>
      </c>
      <c r="L4" s="18" t="s">
        <v>35</v>
      </c>
      <c r="M4" s="18" t="s">
        <v>30</v>
      </c>
      <c r="N4" s="19" t="s">
        <v>6</v>
      </c>
      <c r="O4" s="26" t="s">
        <v>50</v>
      </c>
      <c r="P4" s="18"/>
      <c r="Q4" s="18"/>
      <c r="S4" s="17" t="str">
        <f>[1]MCSummary!$J$1</f>
        <v>Mean</v>
      </c>
      <c r="T4" s="18" t="s">
        <v>35</v>
      </c>
      <c r="U4" s="18" t="s">
        <v>30</v>
      </c>
      <c r="V4" s="19" t="s">
        <v>6</v>
      </c>
      <c r="W4" s="17" t="str">
        <f>[1]MCSummary!$J$1</f>
        <v>Mean</v>
      </c>
      <c r="X4" s="18" t="s">
        <v>35</v>
      </c>
      <c r="Y4" s="18" t="s">
        <v>30</v>
      </c>
      <c r="Z4" s="19" t="s">
        <v>6</v>
      </c>
      <c r="AA4" s="17" t="str">
        <f>[1]MCSummary!$J$1</f>
        <v>Mean</v>
      </c>
      <c r="AB4" s="18" t="s">
        <v>35</v>
      </c>
      <c r="AC4" s="18" t="s">
        <v>30</v>
      </c>
      <c r="AD4" s="19" t="s">
        <v>6</v>
      </c>
      <c r="AE4" s="26" t="s">
        <v>50</v>
      </c>
      <c r="AF4" s="18"/>
      <c r="AG4" s="18"/>
      <c r="AI4" s="17" t="str">
        <f>[1]MCSummary!$K$1</f>
        <v>95Per</v>
      </c>
      <c r="AJ4" s="18" t="s">
        <v>35</v>
      </c>
      <c r="AK4" s="18" t="s">
        <v>30</v>
      </c>
      <c r="AL4" s="19" t="s">
        <v>6</v>
      </c>
      <c r="AM4" s="17" t="str">
        <f>[1]MCSummary!$K$1</f>
        <v>95Per</v>
      </c>
      <c r="AN4" s="18" t="s">
        <v>35</v>
      </c>
      <c r="AO4" s="18" t="s">
        <v>30</v>
      </c>
      <c r="AP4" s="19" t="s">
        <v>6</v>
      </c>
      <c r="AQ4" s="17" t="str">
        <f>[1]MCSummary!$K$1</f>
        <v>95Per</v>
      </c>
      <c r="AR4" s="18" t="s">
        <v>35</v>
      </c>
      <c r="AS4" s="18" t="s">
        <v>30</v>
      </c>
      <c r="AT4" s="19" t="s">
        <v>6</v>
      </c>
      <c r="AU4" s="29" t="s">
        <v>50</v>
      </c>
      <c r="AV4" s="18"/>
      <c r="AW4" s="18"/>
    </row>
    <row r="5" spans="1:51" ht="14.7" thickBot="1" x14ac:dyDescent="0.6">
      <c r="A5" s="9">
        <f>COKE_MCSummary!D2</f>
        <v>2024</v>
      </c>
      <c r="C5" s="13">
        <f>COKE_MCSummary!I2</f>
        <v>-0.43619203939269591</v>
      </c>
      <c r="D5" s="12">
        <f>StartingPortfolio*COKE_MixAAP</f>
        <v>5000</v>
      </c>
      <c r="E5" s="12">
        <f>FirstJob_AnnualIncome*FirstJob_TargetSavingsPercent*COKE_MixAAP</f>
        <v>1500</v>
      </c>
      <c r="F5" s="14">
        <f>(D5+E5)*(1+C5)</f>
        <v>3664.7517439474768</v>
      </c>
      <c r="G5" s="13">
        <f>'VTSMX-MCSummary'!I2</f>
        <v>-0.17155451601295424</v>
      </c>
      <c r="H5" s="12">
        <f>StartingPortfolio*VTSMX_MixAAP</f>
        <v>30000</v>
      </c>
      <c r="I5" s="12">
        <f>FirstJob_AnnualIncome*FirstJob_TargetSavingsPercent*VTSMX_MixAAP</f>
        <v>9000</v>
      </c>
      <c r="J5" s="14">
        <f>(H5+I5)*(1+G5)</f>
        <v>32309.373875494784</v>
      </c>
      <c r="K5" s="13">
        <f>'VUSTX-MCSummary'!I2</f>
        <v>-0.1009421265141319</v>
      </c>
      <c r="L5" s="12">
        <f>StartingPortfolio*VUSTX_MixAAP</f>
        <v>20000</v>
      </c>
      <c r="M5" s="12">
        <f>FirstJob_AnnualIncome*FirstJob_TargetSavingsPercent*VUSTX_MixAAP</f>
        <v>6000</v>
      </c>
      <c r="N5" s="14">
        <f>(L5+M5)*(1+K5)</f>
        <v>23375.504710632569</v>
      </c>
      <c r="O5" s="27">
        <f>SUM(F5,J5,N5)</f>
        <v>59349.630330074826</v>
      </c>
      <c r="P5" s="21" t="str">
        <f t="shared" ref="P5:P44" si="0">IF((O5-FinancialGoal)&gt;0,"Reached","")</f>
        <v/>
      </c>
      <c r="Q5" s="21">
        <f>SUM(E5,I5,M5)</f>
        <v>16500</v>
      </c>
      <c r="R5" s="7"/>
      <c r="S5" s="13">
        <f>COKE_MCSummary!J2</f>
        <v>3.1421693831426034E-3</v>
      </c>
      <c r="T5" s="12">
        <f>StartingPortfolio*COKE_MixAAP</f>
        <v>5000</v>
      </c>
      <c r="U5" s="12">
        <f>FirstJob_AnnualIncome*FirstJob_TargetSavingsPercent*COKE_MixAAP</f>
        <v>1500</v>
      </c>
      <c r="V5" s="14">
        <f>(T5+U5)*(1+S5)</f>
        <v>6520.4241009904272</v>
      </c>
      <c r="W5" s="13">
        <f>'VTSMX-MCSummary'!J2</f>
        <v>3.0521849177399109E-2</v>
      </c>
      <c r="X5" s="12">
        <f>StartingPortfolio*VTSMX_MixAAP</f>
        <v>30000</v>
      </c>
      <c r="Y5" s="12">
        <f>FirstJob_AnnualIncome*FirstJob_TargetSavingsPercent*VTSMX_MixAAP</f>
        <v>9000</v>
      </c>
      <c r="Z5" s="14">
        <f>(X5+Y5)*(1+W5)</f>
        <v>40190.352117918563</v>
      </c>
      <c r="AA5" s="13">
        <f>'VUSTX-MCSummary'!J2</f>
        <v>2.2700119474312965E-2</v>
      </c>
      <c r="AB5" s="12">
        <f>StartingPortfolio*VUSTX_MixAAP</f>
        <v>20000</v>
      </c>
      <c r="AC5" s="12">
        <f>FirstJob_AnnualIncome*FirstJob_TargetSavingsPercent*VUSTX_MixAAP</f>
        <v>6000</v>
      </c>
      <c r="AD5" s="14">
        <f>(AB5+AC5)*(1+AA5)</f>
        <v>26590.203106332141</v>
      </c>
      <c r="AE5" s="27">
        <f>SUM(V5,Z5,AD5)</f>
        <v>73300.979325241133</v>
      </c>
      <c r="AF5" s="21" t="str">
        <f t="shared" ref="AF5:AF44" si="1">IF((AE5-FinancialGoal)&gt;0,"Reached","")</f>
        <v/>
      </c>
      <c r="AG5" s="21">
        <f>SUM(U5,Y5,AC5)</f>
        <v>16500</v>
      </c>
      <c r="AH5" s="7"/>
      <c r="AI5" s="13">
        <f>COKE_MCSummary!K2</f>
        <v>0.28050397877984085</v>
      </c>
      <c r="AJ5" s="12">
        <f>StartingPortfolio*COKE_MixAAP</f>
        <v>5000</v>
      </c>
      <c r="AK5" s="12">
        <f>FirstJob_AnnualIncome*FirstJob_TargetSavingsPercent*COKE_MixAAP</f>
        <v>1500</v>
      </c>
      <c r="AL5" s="14">
        <f>(AJ5+AK5)*(1+AI5)</f>
        <v>8323.2758620689656</v>
      </c>
      <c r="AM5" s="13">
        <f>'VTSMX-MCSummary'!K2</f>
        <v>0.19823924151942385</v>
      </c>
      <c r="AN5" s="12">
        <f>StartingPortfolio*VTSMX_MixAAP</f>
        <v>30000</v>
      </c>
      <c r="AO5" s="12">
        <f>FirstJob_AnnualIncome*FirstJob_TargetSavingsPercent*VTSMX_MixAAP</f>
        <v>9000</v>
      </c>
      <c r="AP5" s="14">
        <f>(AN5+AO5)*(1+AM5)</f>
        <v>46731.330419257531</v>
      </c>
      <c r="AQ5" s="13">
        <f>'VUSTX-MCSummary'!K2</f>
        <v>0.12606837606837604</v>
      </c>
      <c r="AR5" s="12">
        <f>StartingPortfolio*VUSTX_MixAAP</f>
        <v>20000</v>
      </c>
      <c r="AS5" s="12">
        <f>FirstJob_AnnualIncome*FirstJob_TargetSavingsPercent*VUSTX_MixAAP</f>
        <v>6000</v>
      </c>
      <c r="AT5" s="14">
        <f>(AR5+AS5)*(1+AQ5)</f>
        <v>29277.777777777777</v>
      </c>
      <c r="AU5" s="30">
        <f>SUM(AL5,AP5,AT5)</f>
        <v>84332.384059104268</v>
      </c>
      <c r="AV5" s="21" t="str">
        <f t="shared" ref="AV5:AV44" si="2">IF((AU5-FinancialGoal)&gt;0,"Reached","")</f>
        <v/>
      </c>
      <c r="AW5" s="21">
        <f>SUM(AK5,AO5,AS5)</f>
        <v>16500</v>
      </c>
    </row>
    <row r="6" spans="1:51" ht="15" thickTop="1" thickBot="1" x14ac:dyDescent="0.6">
      <c r="A6" s="9">
        <f>COKE_MCSummary!D3</f>
        <v>2025</v>
      </c>
      <c r="C6" s="13">
        <f>COKE_MCSummary!I3</f>
        <v>-0.23287693588132585</v>
      </c>
      <c r="D6" s="12">
        <f>F5</f>
        <v>3664.7517439474768</v>
      </c>
      <c r="E6" s="12">
        <f t="shared" ref="E6:E44" si="3">E5*(1+FirstJob_IncomeYrlyIncrease)</f>
        <v>1650.0000000000002</v>
      </c>
      <c r="F6" s="14">
        <f t="shared" ref="F6:F44" si="4">(D6+E6)*(1+C6)</f>
        <v>4077.0686428470553</v>
      </c>
      <c r="G6" s="13">
        <f>'VTSMX-MCSummary'!I3</f>
        <v>-8.1638610489442459E-2</v>
      </c>
      <c r="H6" s="12">
        <f>J5</f>
        <v>32309.373875494784</v>
      </c>
      <c r="I6" s="12">
        <f t="shared" ref="I6:I44" si="5">I5*(1+FirstJob_IncomeYrlyIncrease)</f>
        <v>9900</v>
      </c>
      <c r="J6" s="14">
        <f t="shared" ref="J6:J44" si="6">(H6+I6)*(1+G6)</f>
        <v>38763.459242670018</v>
      </c>
      <c r="K6" s="13">
        <f>'VUSTX-MCSummary'!I3</f>
        <v>-9.7488921713441687E-2</v>
      </c>
      <c r="L6" s="12">
        <f>N5</f>
        <v>23375.504710632569</v>
      </c>
      <c r="M6" s="12">
        <f t="shared" ref="M6:M44" si="7">M5*(1+FirstJob_IncomeYrlyIncrease)</f>
        <v>6600.0000000000009</v>
      </c>
      <c r="N6" s="14">
        <f t="shared" ref="N6:N44" si="8">(L6+M6)*(1+K6)</f>
        <v>27053.225078576808</v>
      </c>
      <c r="O6" s="27">
        <f t="shared" ref="O6:O44" si="9">SUM(F6,J6,N6)</f>
        <v>69893.752964093888</v>
      </c>
      <c r="P6" s="21" t="str">
        <f t="shared" si="0"/>
        <v/>
      </c>
      <c r="Q6" s="21">
        <f>Q5+SUM(E6,I6,M6)</f>
        <v>34650</v>
      </c>
      <c r="R6" s="5"/>
      <c r="S6" s="13">
        <f>COKE_MCSummary!J3</f>
        <v>6.0889222512704975E-2</v>
      </c>
      <c r="T6" s="12">
        <f>V5</f>
        <v>6520.4241009904272</v>
      </c>
      <c r="U6" s="12">
        <f t="shared" ref="U6:U44" si="10">U5*(1+FirstJob_IncomeYrlyIncrease)</f>
        <v>1650.0000000000002</v>
      </c>
      <c r="V6" s="14">
        <f>(T6+U6)*(1+S6)</f>
        <v>8667.9148720987996</v>
      </c>
      <c r="W6" s="13">
        <f>'VTSMX-MCSummary'!J3</f>
        <v>5.8984238178633887E-2</v>
      </c>
      <c r="X6" s="12">
        <f>Z5</f>
        <v>40190.352117918563</v>
      </c>
      <c r="Y6" s="12">
        <f t="shared" ref="Y6:Y44" si="11">Y5*(1+FirstJob_IncomeYrlyIncrease)</f>
        <v>9900</v>
      </c>
      <c r="Z6" s="14">
        <f>(X6+Y6)*(1+W6)</f>
        <v>53044.893377693508</v>
      </c>
      <c r="AA6" s="13">
        <f>'VUSTX-MCSummary'!J3</f>
        <v>-4.8019207683072202E-3</v>
      </c>
      <c r="AB6" s="12">
        <f>AD5</f>
        <v>26590.203106332141</v>
      </c>
      <c r="AC6" s="12">
        <f t="shared" ref="AC6:AC44" si="12">AC5*(1+FirstJob_IncomeYrlyIncrease)</f>
        <v>6600.0000000000009</v>
      </c>
      <c r="AD6" s="14">
        <f>(AB6+AC6)*(1+AA6)</f>
        <v>33030.826380731509</v>
      </c>
      <c r="AE6" s="27">
        <f t="shared" ref="AE6:AE44" si="13">SUM(V6,Z6,AD6)</f>
        <v>94743.634630523826</v>
      </c>
      <c r="AF6" s="21" t="str">
        <f t="shared" si="1"/>
        <v/>
      </c>
      <c r="AG6" s="21">
        <f>AG5+SUM(U6,Y6,AC6)</f>
        <v>34650</v>
      </c>
      <c r="AH6" s="5"/>
      <c r="AI6" s="13">
        <f>COKE_MCSummary!K3</f>
        <v>0.23895654280364775</v>
      </c>
      <c r="AJ6" s="12">
        <f>AL5</f>
        <v>8323.2758620689656</v>
      </c>
      <c r="AK6" s="12">
        <f t="shared" ref="AK6:AK44" si="14">AK5*(1+FirstJob_IncomeYrlyIncrease)</f>
        <v>1650.0000000000002</v>
      </c>
      <c r="AL6" s="14">
        <f>(AJ6+AK6)*(1+AI6)</f>
        <v>12356.455382496035</v>
      </c>
      <c r="AM6" s="13">
        <f>'VTSMX-MCSummary'!K3</f>
        <v>0.18298878326039936</v>
      </c>
      <c r="AN6" s="12">
        <f>AP5</f>
        <v>46731.330419257531</v>
      </c>
      <c r="AO6" s="12">
        <f t="shared" ref="AO6:AO44" si="15">AO5*(1+FirstJob_IncomeYrlyIncrease)</f>
        <v>9900</v>
      </c>
      <c r="AP6" s="14">
        <f>(AN6+AO6)*(1+AM6)</f>
        <v>66994.228667095114</v>
      </c>
      <c r="AQ6" s="13">
        <f>'VUSTX-MCSummary'!K3</f>
        <v>6.4000000000000057E-2</v>
      </c>
      <c r="AR6" s="12">
        <f>AT5</f>
        <v>29277.777777777777</v>
      </c>
      <c r="AS6" s="12">
        <f t="shared" ref="AS6:AS44" si="16">AS5*(1+FirstJob_IncomeYrlyIncrease)</f>
        <v>6600.0000000000009</v>
      </c>
      <c r="AT6" s="14">
        <f>(AR6+AS6)*(1+AQ6)</f>
        <v>38173.955555555563</v>
      </c>
      <c r="AU6" s="30">
        <f t="shared" ref="AU6:AU44" si="17">SUM(AL6,AP6,AT6)</f>
        <v>117524.63960514672</v>
      </c>
      <c r="AV6" s="21" t="str">
        <f t="shared" si="2"/>
        <v/>
      </c>
      <c r="AW6" s="21">
        <f>AW5+SUM(AK6,AO6,AS6)</f>
        <v>34650</v>
      </c>
    </row>
    <row r="7" spans="1:51" ht="15" thickTop="1" thickBot="1" x14ac:dyDescent="0.6">
      <c r="A7" s="9">
        <f>COKE_MCSummary!D4</f>
        <v>2026</v>
      </c>
      <c r="C7" s="13">
        <f>COKE_MCSummary!I4</f>
        <v>-0.14455153349023123</v>
      </c>
      <c r="D7" s="12">
        <f t="shared" ref="D7:D44" si="18">F6</f>
        <v>4077.0686428470553</v>
      </c>
      <c r="E7" s="12">
        <f t="shared" si="3"/>
        <v>1815.0000000000005</v>
      </c>
      <c r="F7" s="14">
        <f t="shared" si="4"/>
        <v>5040.3610850938085</v>
      </c>
      <c r="G7" s="13">
        <f>'VTSMX-MCSummary'!I4</f>
        <v>-4.3032578909976603E-2</v>
      </c>
      <c r="H7" s="12">
        <f t="shared" ref="H7:H44" si="19">J6</f>
        <v>38763.459242670018</v>
      </c>
      <c r="I7" s="12">
        <f t="shared" si="5"/>
        <v>10890</v>
      </c>
      <c r="J7" s="14">
        <f t="shared" si="6"/>
        <v>47516.742839656516</v>
      </c>
      <c r="K7" s="13">
        <f>'VUSTX-MCSummary'!I4</f>
        <v>-6.2794348508634135E-2</v>
      </c>
      <c r="L7" s="12">
        <f t="shared" ref="L7:L44" si="20">N6</f>
        <v>27053.225078576808</v>
      </c>
      <c r="M7" s="12">
        <f t="shared" si="7"/>
        <v>7260.0000000000018</v>
      </c>
      <c r="N7" s="14">
        <f t="shared" si="8"/>
        <v>32158.548464537453</v>
      </c>
      <c r="O7" s="27">
        <f t="shared" si="9"/>
        <v>84715.652389287774</v>
      </c>
      <c r="P7" s="21" t="str">
        <f t="shared" si="0"/>
        <v/>
      </c>
      <c r="Q7" s="21">
        <f>Q6+SUM(E7,I7,M7)</f>
        <v>54615</v>
      </c>
      <c r="R7" s="5"/>
      <c r="S7" s="13">
        <f>COKE_MCSummary!J4</f>
        <v>5.8382418653775768E-2</v>
      </c>
      <c r="T7" s="12">
        <f t="shared" ref="T7:T44" si="21">V6</f>
        <v>8667.9148720987996</v>
      </c>
      <c r="U7" s="12">
        <f t="shared" si="10"/>
        <v>1815.0000000000005</v>
      </c>
      <c r="V7" s="14">
        <f t="shared" ref="V7:V44" si="22">(T7+U7)*(1+S7)</f>
        <v>11094.932796873565</v>
      </c>
      <c r="W7" s="13">
        <f>'VTSMX-MCSummary'!J4</f>
        <v>5.3946583603949813E-2</v>
      </c>
      <c r="X7" s="12">
        <f t="shared" ref="X7:X44" si="23">Z6</f>
        <v>53044.893377693508</v>
      </c>
      <c r="Y7" s="12">
        <f t="shared" si="11"/>
        <v>10890</v>
      </c>
      <c r="Z7" s="14">
        <f t="shared" ref="Z7:Z44" si="24">(X7+Y7)*(1+W7)</f>
        <v>67383.962448502876</v>
      </c>
      <c r="AA7" s="13">
        <f>'VUSTX-MCSummary'!J4</f>
        <v>0</v>
      </c>
      <c r="AB7" s="12">
        <f t="shared" ref="AB7:AB44" si="25">AD6</f>
        <v>33030.826380731509</v>
      </c>
      <c r="AC7" s="12">
        <f t="shared" si="12"/>
        <v>7260.0000000000018</v>
      </c>
      <c r="AD7" s="14">
        <f t="shared" ref="AD7:AD44" si="26">(AB7+AC7)*(1+AA7)</f>
        <v>40290.826380731509</v>
      </c>
      <c r="AE7" s="27">
        <f t="shared" si="13"/>
        <v>118769.72162610794</v>
      </c>
      <c r="AF7" s="21" t="str">
        <f t="shared" si="1"/>
        <v/>
      </c>
      <c r="AG7" s="21">
        <f t="shared" ref="AG7:AG44" si="27">AG6+SUM(U7,Y7,AC7)</f>
        <v>54615</v>
      </c>
      <c r="AH7" s="5"/>
      <c r="AI7" s="13">
        <f>COKE_MCSummary!K4</f>
        <v>0.17561231324809976</v>
      </c>
      <c r="AJ7" s="12">
        <f t="shared" ref="AJ7:AJ44" si="28">AL6</f>
        <v>12356.455382496035</v>
      </c>
      <c r="AK7" s="12">
        <f t="shared" si="14"/>
        <v>1815.0000000000005</v>
      </c>
      <c r="AL7" s="14">
        <f t="shared" ref="AL7:AL44" si="29">(AJ7+AK7)*(1+AI7)</f>
        <v>16660.137444308399</v>
      </c>
      <c r="AM7" s="13">
        <f>'VTSMX-MCSummary'!K4</f>
        <v>0.14068983402489629</v>
      </c>
      <c r="AN7" s="12">
        <f t="shared" ref="AN7:AN44" si="30">AP6</f>
        <v>66994.228667095114</v>
      </c>
      <c r="AO7" s="12">
        <f t="shared" si="15"/>
        <v>10890</v>
      </c>
      <c r="AP7" s="14">
        <f t="shared" ref="AP7:AP44" si="31">(AN7+AO7)*(1+AM7)</f>
        <v>88841.747871425803</v>
      </c>
      <c r="AQ7" s="13">
        <f>'VUSTX-MCSummary'!K4</f>
        <v>4.8525214081826813E-2</v>
      </c>
      <c r="AR7" s="12">
        <f t="shared" ref="AR7:AR44" si="32">AT6</f>
        <v>38173.955555555563</v>
      </c>
      <c r="AS7" s="12">
        <f t="shared" si="16"/>
        <v>7260.0000000000018</v>
      </c>
      <c r="AT7" s="14">
        <f t="shared" ref="AT7:AT44" si="33">(AR7+AS7)*(1+AQ7)</f>
        <v>47638.647975473104</v>
      </c>
      <c r="AU7" s="30">
        <f t="shared" si="17"/>
        <v>153140.53329120731</v>
      </c>
      <c r="AV7" s="21" t="str">
        <f t="shared" si="2"/>
        <v/>
      </c>
      <c r="AW7" s="21">
        <f t="shared" ref="AW7:AW44" si="34">AW6+SUM(AK7,AO7,AS7)</f>
        <v>54615</v>
      </c>
    </row>
    <row r="8" spans="1:51" ht="15" thickTop="1" thickBot="1" x14ac:dyDescent="0.6">
      <c r="A8" s="9">
        <f>COKE_MCSummary!D5</f>
        <v>2027</v>
      </c>
      <c r="C8" s="13">
        <f>COKE_MCSummary!I5</f>
        <v>-0.11889485673681788</v>
      </c>
      <c r="D8" s="12">
        <f t="shared" si="18"/>
        <v>5040.3610850938085</v>
      </c>
      <c r="E8" s="12">
        <f t="shared" si="3"/>
        <v>1996.5000000000007</v>
      </c>
      <c r="F8" s="14">
        <f t="shared" si="4"/>
        <v>6200.2144945046921</v>
      </c>
      <c r="G8" s="13">
        <f>'VTSMX-MCSummary'!I5</f>
        <v>-2.4539877300613491E-2</v>
      </c>
      <c r="H8" s="12">
        <f t="shared" si="19"/>
        <v>47516.742839656516</v>
      </c>
      <c r="I8" s="12">
        <f t="shared" si="5"/>
        <v>11979.000000000002</v>
      </c>
      <c r="J8" s="14">
        <f t="shared" si="6"/>
        <v>58035.724610462494</v>
      </c>
      <c r="K8" s="13">
        <f>'VUSTX-MCSummary'!I5</f>
        <v>-6.1666666666666682E-2</v>
      </c>
      <c r="L8" s="12">
        <f t="shared" si="20"/>
        <v>32158.548464537453</v>
      </c>
      <c r="M8" s="12">
        <f t="shared" si="7"/>
        <v>7986.0000000000027</v>
      </c>
      <c r="N8" s="14">
        <f t="shared" si="8"/>
        <v>37668.967975890977</v>
      </c>
      <c r="O8" s="27">
        <f t="shared" si="9"/>
        <v>101904.90708085816</v>
      </c>
      <c r="P8" s="21" t="str">
        <f t="shared" si="0"/>
        <v/>
      </c>
      <c r="Q8" s="21">
        <f t="shared" ref="Q8:Q44" si="35">Q7+SUM(E8,I8,M8)</f>
        <v>76576.5</v>
      </c>
      <c r="R8" s="5"/>
      <c r="S8" s="13">
        <f>COKE_MCSummary!J5</f>
        <v>6.7975647801790065E-2</v>
      </c>
      <c r="T8" s="12">
        <f t="shared" si="21"/>
        <v>11094.932796873565</v>
      </c>
      <c r="U8" s="12">
        <f t="shared" si="10"/>
        <v>1996.5000000000007</v>
      </c>
      <c r="V8" s="14">
        <f t="shared" si="22"/>
        <v>13981.331421894647</v>
      </c>
      <c r="W8" s="13">
        <f>'VTSMX-MCSummary'!J5</f>
        <v>6.0636244786154578E-2</v>
      </c>
      <c r="X8" s="12">
        <f t="shared" si="23"/>
        <v>67383.962448502876</v>
      </c>
      <c r="Y8" s="12">
        <f t="shared" si="11"/>
        <v>11979.000000000002</v>
      </c>
      <c r="Z8" s="14">
        <f t="shared" si="24"/>
        <v>84175.23446648469</v>
      </c>
      <c r="AA8" s="13">
        <f>'VUSTX-MCSummary'!J5</f>
        <v>-6.0386473429952557E-3</v>
      </c>
      <c r="AB8" s="12">
        <f t="shared" si="25"/>
        <v>40290.826380731509</v>
      </c>
      <c r="AC8" s="12">
        <f t="shared" si="12"/>
        <v>7986.0000000000027</v>
      </c>
      <c r="AD8" s="14">
        <f t="shared" si="26"/>
        <v>47985.29965137926</v>
      </c>
      <c r="AE8" s="27">
        <f t="shared" si="13"/>
        <v>146141.86553975858</v>
      </c>
      <c r="AF8" s="21" t="str">
        <f t="shared" si="1"/>
        <v/>
      </c>
      <c r="AG8" s="21">
        <f t="shared" si="27"/>
        <v>76576.5</v>
      </c>
      <c r="AH8" s="5"/>
      <c r="AI8" s="13">
        <f>COKE_MCSummary!K5</f>
        <v>0.15854828320170275</v>
      </c>
      <c r="AJ8" s="12">
        <f t="shared" si="28"/>
        <v>16660.137444308399</v>
      </c>
      <c r="AK8" s="12">
        <f t="shared" si="14"/>
        <v>1996.5000000000007</v>
      </c>
      <c r="AL8" s="14">
        <f t="shared" si="29"/>
        <v>21614.615281420098</v>
      </c>
      <c r="AM8" s="13">
        <f>'VTSMX-MCSummary'!K5</f>
        <v>0.13315848632446597</v>
      </c>
      <c r="AN8" s="12">
        <f t="shared" si="30"/>
        <v>88841.747871425803</v>
      </c>
      <c r="AO8" s="12">
        <f t="shared" si="15"/>
        <v>11979.000000000002</v>
      </c>
      <c r="AP8" s="14">
        <f t="shared" si="31"/>
        <v>114245.88604808548</v>
      </c>
      <c r="AQ8" s="13">
        <f>'VUSTX-MCSummary'!K5</f>
        <v>3.489439853076224E-2</v>
      </c>
      <c r="AR8" s="12">
        <f t="shared" si="32"/>
        <v>47638.647975473104</v>
      </c>
      <c r="AS8" s="12">
        <f t="shared" si="16"/>
        <v>7986.0000000000027</v>
      </c>
      <c r="AT8" s="14">
        <f t="shared" si="33"/>
        <v>57565.636610062618</v>
      </c>
      <c r="AU8" s="30">
        <f t="shared" si="17"/>
        <v>193426.1379395682</v>
      </c>
      <c r="AV8" s="21" t="str">
        <f t="shared" si="2"/>
        <v/>
      </c>
      <c r="AW8" s="21">
        <f t="shared" si="34"/>
        <v>76576.5</v>
      </c>
    </row>
    <row r="9" spans="1:51" ht="15" thickTop="1" thickBot="1" x14ac:dyDescent="0.6">
      <c r="A9" s="9">
        <f>COKE_MCSummary!D6</f>
        <v>2028</v>
      </c>
      <c r="C9" s="13">
        <f>COKE_MCSummary!I6</f>
        <v>-7.9528020936738567E-2</v>
      </c>
      <c r="D9" s="12">
        <f t="shared" si="18"/>
        <v>6200.2144945046921</v>
      </c>
      <c r="E9" s="12">
        <f t="shared" si="3"/>
        <v>2196.150000000001</v>
      </c>
      <c r="F9" s="14">
        <f t="shared" si="4"/>
        <v>7728.6182431932348</v>
      </c>
      <c r="G9" s="13">
        <f>'VTSMX-MCSummary'!I6</f>
        <v>-5.2018310445273782E-4</v>
      </c>
      <c r="H9" s="12">
        <f t="shared" si="19"/>
        <v>58035.724610462494</v>
      </c>
      <c r="I9" s="12">
        <f t="shared" si="5"/>
        <v>13176.900000000003</v>
      </c>
      <c r="J9" s="14">
        <f t="shared" si="6"/>
        <v>71175.581006316395</v>
      </c>
      <c r="K9" s="13">
        <f>'VUSTX-MCSummary'!I6</f>
        <v>-5.6338028169014134E-2</v>
      </c>
      <c r="L9" s="12">
        <f t="shared" si="20"/>
        <v>37668.967975890977</v>
      </c>
      <c r="M9" s="12">
        <f t="shared" si="7"/>
        <v>8784.600000000004</v>
      </c>
      <c r="N9" s="14">
        <f t="shared" si="8"/>
        <v>43836.465554714021</v>
      </c>
      <c r="O9" s="27">
        <f t="shared" si="9"/>
        <v>122740.66480422366</v>
      </c>
      <c r="P9" s="21" t="str">
        <f t="shared" si="0"/>
        <v/>
      </c>
      <c r="Q9" s="21">
        <f t="shared" si="35"/>
        <v>100734.15000000001</v>
      </c>
      <c r="R9" s="5"/>
      <c r="S9" s="13">
        <f>COKE_MCSummary!J6</f>
        <v>6.7200655478329735E-2</v>
      </c>
      <c r="T9" s="12">
        <f t="shared" si="21"/>
        <v>13981.331421894647</v>
      </c>
      <c r="U9" s="12">
        <f t="shared" si="10"/>
        <v>2196.150000000001</v>
      </c>
      <c r="V9" s="14">
        <f t="shared" si="22"/>
        <v>17264.618777434473</v>
      </c>
      <c r="W9" s="13">
        <f>'VTSMX-MCSummary'!J6</f>
        <v>6.9135373203523448E-2</v>
      </c>
      <c r="X9" s="12">
        <f t="shared" si="23"/>
        <v>84175.23446648469</v>
      </c>
      <c r="Y9" s="12">
        <f t="shared" si="11"/>
        <v>13176.900000000003</v>
      </c>
      <c r="Z9" s="14">
        <f t="shared" si="24"/>
        <v>104082.6106149847</v>
      </c>
      <c r="AA9" s="13">
        <f>'VUSTX-MCSummary'!J6</f>
        <v>-1.2091898428052948E-3</v>
      </c>
      <c r="AB9" s="12">
        <f t="shared" si="25"/>
        <v>47985.29965137926</v>
      </c>
      <c r="AC9" s="12">
        <f t="shared" si="12"/>
        <v>8784.600000000004</v>
      </c>
      <c r="AD9" s="14">
        <f t="shared" si="26"/>
        <v>56701.254065343746</v>
      </c>
      <c r="AE9" s="27">
        <f t="shared" si="13"/>
        <v>178048.48345776292</v>
      </c>
      <c r="AF9" s="21" t="str">
        <f t="shared" si="1"/>
        <v/>
      </c>
      <c r="AG9" s="21">
        <f t="shared" si="27"/>
        <v>100734.15000000001</v>
      </c>
      <c r="AH9" s="5"/>
      <c r="AI9" s="13">
        <f>COKE_MCSummary!K6</f>
        <v>0.13028069310095997</v>
      </c>
      <c r="AJ9" s="12">
        <f t="shared" si="28"/>
        <v>21614.615281420098</v>
      </c>
      <c r="AK9" s="12">
        <f t="shared" si="14"/>
        <v>2196.150000000001</v>
      </c>
      <c r="AL9" s="14">
        <f t="shared" si="29"/>
        <v>26912.848285547781</v>
      </c>
      <c r="AM9" s="13">
        <f>'VTSMX-MCSummary'!K6</f>
        <v>0.13394769290674291</v>
      </c>
      <c r="AN9" s="12">
        <f t="shared" si="30"/>
        <v>114245.88604808548</v>
      </c>
      <c r="AO9" s="12">
        <f t="shared" si="15"/>
        <v>13176.900000000003</v>
      </c>
      <c r="AP9" s="14">
        <f t="shared" si="31"/>
        <v>144490.77426297605</v>
      </c>
      <c r="AQ9" s="13">
        <f>'VUSTX-MCSummary'!K6</f>
        <v>3.37178349600709E-2</v>
      </c>
      <c r="AR9" s="12">
        <f t="shared" si="32"/>
        <v>57565.636610062618</v>
      </c>
      <c r="AS9" s="12">
        <f t="shared" si="16"/>
        <v>8784.600000000004</v>
      </c>
      <c r="AT9" s="14">
        <f t="shared" si="33"/>
        <v>68587.422937642361</v>
      </c>
      <c r="AU9" s="30">
        <f t="shared" si="17"/>
        <v>239991.0454861662</v>
      </c>
      <c r="AV9" s="21" t="str">
        <f t="shared" si="2"/>
        <v/>
      </c>
      <c r="AW9" s="21">
        <f t="shared" si="34"/>
        <v>100734.15000000001</v>
      </c>
    </row>
    <row r="10" spans="1:51" ht="15" thickTop="1" thickBot="1" x14ac:dyDescent="0.6">
      <c r="A10" s="9">
        <f>COKE_MCSummary!D7</f>
        <v>2029</v>
      </c>
      <c r="C10" s="13">
        <f>COKE_MCSummary!I7</f>
        <v>-0.11104426730836721</v>
      </c>
      <c r="D10" s="12">
        <f t="shared" si="18"/>
        <v>7728.6182431932348</v>
      </c>
      <c r="E10" s="12">
        <f t="shared" si="3"/>
        <v>2415.7650000000012</v>
      </c>
      <c r="F10" s="14">
        <f t="shared" si="4"/>
        <v>9017.9076386575634</v>
      </c>
      <c r="G10" s="13">
        <f>'VTSMX-MCSummary'!I7</f>
        <v>-1.3603290098070297E-2</v>
      </c>
      <c r="H10" s="12">
        <f t="shared" si="19"/>
        <v>71175.581006316395</v>
      </c>
      <c r="I10" s="12">
        <f t="shared" si="5"/>
        <v>14494.590000000006</v>
      </c>
      <c r="J10" s="14">
        <f t="shared" si="6"/>
        <v>84504.774817366197</v>
      </c>
      <c r="K10" s="13">
        <f>'VUSTX-MCSummary'!I7</f>
        <v>-4.41176470588234E-2</v>
      </c>
      <c r="L10" s="12">
        <f t="shared" si="20"/>
        <v>43836.465554714021</v>
      </c>
      <c r="M10" s="12">
        <f t="shared" si="7"/>
        <v>9663.0600000000049</v>
      </c>
      <c r="N10" s="14">
        <f t="shared" si="8"/>
        <v>51139.252368476649</v>
      </c>
      <c r="O10" s="27">
        <f t="shared" si="9"/>
        <v>144661.93482450041</v>
      </c>
      <c r="P10" s="21" t="str">
        <f t="shared" si="0"/>
        <v/>
      </c>
      <c r="Q10" s="21">
        <f t="shared" si="35"/>
        <v>127307.56500000002</v>
      </c>
      <c r="R10" s="5"/>
      <c r="S10" s="13">
        <f>COKE_MCSummary!J7</f>
        <v>6.4300584911271913E-2</v>
      </c>
      <c r="T10" s="12">
        <f t="shared" si="21"/>
        <v>17264.618777434473</v>
      </c>
      <c r="U10" s="12">
        <f t="shared" si="10"/>
        <v>2415.7650000000012</v>
      </c>
      <c r="V10" s="14">
        <f t="shared" si="22"/>
        <v>20945.843965601816</v>
      </c>
      <c r="W10" s="13">
        <f>'VTSMX-MCSummary'!J7</f>
        <v>5.2232657768989901E-2</v>
      </c>
      <c r="X10" s="12">
        <f t="shared" si="23"/>
        <v>104082.6106149847</v>
      </c>
      <c r="Y10" s="12">
        <f t="shared" si="11"/>
        <v>14494.590000000006</v>
      </c>
      <c r="Z10" s="14">
        <f t="shared" si="24"/>
        <v>124770.80295391208</v>
      </c>
      <c r="AA10" s="13">
        <f>'VUSTX-MCSummary'!J7</f>
        <v>-1.2106537530266086E-3</v>
      </c>
      <c r="AB10" s="12">
        <f t="shared" si="25"/>
        <v>56701.254065343746</v>
      </c>
      <c r="AC10" s="12">
        <f t="shared" si="12"/>
        <v>9663.0600000000049</v>
      </c>
      <c r="AD10" s="14">
        <f t="shared" si="26"/>
        <v>66283.969859453515</v>
      </c>
      <c r="AE10" s="27">
        <f t="shared" si="13"/>
        <v>212000.61677896738</v>
      </c>
      <c r="AF10" s="21" t="str">
        <f t="shared" si="1"/>
        <v/>
      </c>
      <c r="AG10" s="21">
        <f t="shared" si="27"/>
        <v>127307.56500000002</v>
      </c>
      <c r="AH10" s="5"/>
      <c r="AI10" s="13">
        <f>COKE_MCSummary!K7</f>
        <v>0.12766432139982956</v>
      </c>
      <c r="AJ10" s="12">
        <f t="shared" si="28"/>
        <v>26912.848285547781</v>
      </c>
      <c r="AK10" s="12">
        <f t="shared" si="14"/>
        <v>2415.7650000000012</v>
      </c>
      <c r="AL10" s="14">
        <f t="shared" si="29"/>
        <v>33072.830798245268</v>
      </c>
      <c r="AM10" s="13">
        <f>'VTSMX-MCSummary'!K7</f>
        <v>0.10470048224972406</v>
      </c>
      <c r="AN10" s="12">
        <f t="shared" si="30"/>
        <v>144490.77426297605</v>
      </c>
      <c r="AO10" s="12">
        <f t="shared" si="15"/>
        <v>14494.590000000006</v>
      </c>
      <c r="AP10" s="14">
        <f t="shared" si="31"/>
        <v>175631.20857195766</v>
      </c>
      <c r="AQ10" s="13">
        <f>'VUSTX-MCSummary'!K7</f>
        <v>3.0954428202923576E-2</v>
      </c>
      <c r="AR10" s="12">
        <f t="shared" si="32"/>
        <v>68587.422937642361</v>
      </c>
      <c r="AS10" s="12">
        <f t="shared" si="16"/>
        <v>9663.0600000000049</v>
      </c>
      <c r="AT10" s="14">
        <f t="shared" si="33"/>
        <v>80672.68189357972</v>
      </c>
      <c r="AU10" s="30">
        <f t="shared" si="17"/>
        <v>289376.72126378265</v>
      </c>
      <c r="AV10" s="21" t="str">
        <f t="shared" si="2"/>
        <v/>
      </c>
      <c r="AW10" s="21">
        <f t="shared" si="34"/>
        <v>127307.56500000002</v>
      </c>
    </row>
    <row r="11" spans="1:51" ht="15" thickTop="1" thickBot="1" x14ac:dyDescent="0.6">
      <c r="A11" s="9">
        <f>COKE_MCSummary!D8</f>
        <v>2030</v>
      </c>
      <c r="C11" s="13">
        <f>COKE_MCSummary!I8</f>
        <v>-8.2781456953642391E-2</v>
      </c>
      <c r="D11" s="12">
        <f t="shared" si="18"/>
        <v>9017.9076386575634</v>
      </c>
      <c r="E11" s="12">
        <f t="shared" si="3"/>
        <v>2657.3415000000014</v>
      </c>
      <c r="F11" s="14">
        <f t="shared" si="4"/>
        <v>10708.755004662733</v>
      </c>
      <c r="G11" s="13">
        <f>'VTSMX-MCSummary'!I8</f>
        <v>-4.6615107532577364E-3</v>
      </c>
      <c r="H11" s="12">
        <f t="shared" si="19"/>
        <v>84504.774817366197</v>
      </c>
      <c r="I11" s="12">
        <f t="shared" si="5"/>
        <v>15944.049000000008</v>
      </c>
      <c r="J11" s="14">
        <f t="shared" si="6"/>
        <v>99980.580544989469</v>
      </c>
      <c r="K11" s="13">
        <f>'VUSTX-MCSummary'!I8</f>
        <v>-4.6153846153846191E-2</v>
      </c>
      <c r="L11" s="12">
        <f t="shared" si="20"/>
        <v>51139.252368476649</v>
      </c>
      <c r="M11" s="12">
        <f t="shared" si="7"/>
        <v>10629.366000000005</v>
      </c>
      <c r="N11" s="14">
        <f t="shared" si="8"/>
        <v>58917.759059162345</v>
      </c>
      <c r="O11" s="27">
        <f t="shared" si="9"/>
        <v>169607.09460881454</v>
      </c>
      <c r="P11" s="21" t="str">
        <f t="shared" si="0"/>
        <v/>
      </c>
      <c r="Q11" s="21">
        <f t="shared" si="35"/>
        <v>156538.32150000002</v>
      </c>
      <c r="R11" s="5"/>
      <c r="S11" s="13">
        <f>COKE_MCSummary!J8</f>
        <v>4.8856842912551803E-2</v>
      </c>
      <c r="T11" s="12">
        <f t="shared" si="21"/>
        <v>20945.843965601816</v>
      </c>
      <c r="U11" s="12">
        <f t="shared" si="10"/>
        <v>2657.3415000000014</v>
      </c>
      <c r="V11" s="14">
        <f t="shared" si="22"/>
        <v>24756.362590130553</v>
      </c>
      <c r="W11" s="13">
        <f>'VTSMX-MCSummary'!J8</f>
        <v>6.3233175550524906E-2</v>
      </c>
      <c r="X11" s="12">
        <f t="shared" si="23"/>
        <v>124770.80295391208</v>
      </c>
      <c r="Y11" s="12">
        <f t="shared" si="11"/>
        <v>15944.049000000008</v>
      </c>
      <c r="Z11" s="14">
        <f t="shared" si="24"/>
        <v>149612.69889007992</v>
      </c>
      <c r="AA11" s="13">
        <f>'VUSTX-MCSummary'!J8</f>
        <v>-3.6452004860266537E-3</v>
      </c>
      <c r="AB11" s="12">
        <f t="shared" si="25"/>
        <v>66283.969859453515</v>
      </c>
      <c r="AC11" s="12">
        <f t="shared" si="12"/>
        <v>10629.366000000005</v>
      </c>
      <c r="AD11" s="14">
        <f t="shared" si="26"/>
        <v>76632.971330196713</v>
      </c>
      <c r="AE11" s="27">
        <f t="shared" si="13"/>
        <v>251002.0328104072</v>
      </c>
      <c r="AF11" s="21" t="str">
        <f t="shared" si="1"/>
        <v/>
      </c>
      <c r="AG11" s="21">
        <f t="shared" si="27"/>
        <v>156538.32150000002</v>
      </c>
      <c r="AH11" s="5"/>
      <c r="AI11" s="13">
        <f>COKE_MCSummary!K8</f>
        <v>0.10937244966752538</v>
      </c>
      <c r="AJ11" s="12">
        <f t="shared" si="28"/>
        <v>33072.830798245268</v>
      </c>
      <c r="AK11" s="12">
        <f t="shared" si="14"/>
        <v>2657.3415000000014</v>
      </c>
      <c r="AL11" s="14">
        <f t="shared" si="29"/>
        <v>39638.068769547113</v>
      </c>
      <c r="AM11" s="13">
        <f>'VTSMX-MCSummary'!K8</f>
        <v>0.11817599590111437</v>
      </c>
      <c r="AN11" s="12">
        <f t="shared" si="30"/>
        <v>175631.20857195766</v>
      </c>
      <c r="AO11" s="12">
        <f t="shared" si="15"/>
        <v>15944.049000000008</v>
      </c>
      <c r="AP11" s="14">
        <f t="shared" si="31"/>
        <v>214214.85442553626</v>
      </c>
      <c r="AQ11" s="13">
        <f>'VUSTX-MCSummary'!K8</f>
        <v>1.3570822731127937E-2</v>
      </c>
      <c r="AR11" s="12">
        <f t="shared" si="32"/>
        <v>80672.68189357972</v>
      </c>
      <c r="AS11" s="12">
        <f t="shared" si="16"/>
        <v>10629.366000000005</v>
      </c>
      <c r="AT11" s="14">
        <f t="shared" si="33"/>
        <v>92541.091800532449</v>
      </c>
      <c r="AU11" s="30">
        <f t="shared" si="17"/>
        <v>346394.01499561581</v>
      </c>
      <c r="AV11" s="21" t="str">
        <f t="shared" si="2"/>
        <v/>
      </c>
      <c r="AW11" s="21">
        <f t="shared" si="34"/>
        <v>156538.32150000002</v>
      </c>
    </row>
    <row r="12" spans="1:51" ht="15" thickTop="1" thickBot="1" x14ac:dyDescent="0.6">
      <c r="A12" s="9">
        <f>COKE_MCSummary!D9</f>
        <v>2031</v>
      </c>
      <c r="C12" s="13">
        <f>COKE_MCSummary!I9</f>
        <v>-1.7930653405166485E-2</v>
      </c>
      <c r="D12" s="12">
        <f t="shared" si="18"/>
        <v>10708.755004662733</v>
      </c>
      <c r="E12" s="12">
        <f t="shared" si="3"/>
        <v>2923.0756500000016</v>
      </c>
      <c r="F12" s="14">
        <f t="shared" si="4"/>
        <v>13387.403023916053</v>
      </c>
      <c r="G12" s="13">
        <f>'VTSMX-MCSummary'!I9</f>
        <v>-2.4426508071368307E-3</v>
      </c>
      <c r="H12" s="12">
        <f t="shared" si="19"/>
        <v>99980.580544989469</v>
      </c>
      <c r="I12" s="12">
        <f t="shared" si="5"/>
        <v>17538.453900000011</v>
      </c>
      <c r="J12" s="14">
        <f t="shared" si="6"/>
        <v>117231.97648064849</v>
      </c>
      <c r="K12" s="13">
        <f>'VUSTX-MCSummary'!I9</f>
        <v>-4.4176706827309183E-2</v>
      </c>
      <c r="L12" s="12">
        <f t="shared" si="20"/>
        <v>58917.759059162345</v>
      </c>
      <c r="M12" s="12">
        <f t="shared" si="7"/>
        <v>11692.302600000006</v>
      </c>
      <c r="N12" s="14">
        <f t="shared" si="8"/>
        <v>67490.741666187314</v>
      </c>
      <c r="O12" s="27">
        <f t="shared" si="9"/>
        <v>198110.12117075187</v>
      </c>
      <c r="P12" s="21" t="str">
        <f t="shared" si="0"/>
        <v/>
      </c>
      <c r="Q12" s="21">
        <f t="shared" si="35"/>
        <v>188692.15365000005</v>
      </c>
      <c r="R12" s="5"/>
      <c r="S12" s="13">
        <f>COKE_MCSummary!J9</f>
        <v>9.7957494102703685E-2</v>
      </c>
      <c r="T12" s="12">
        <f t="shared" si="21"/>
        <v>24756.362590130553</v>
      </c>
      <c r="U12" s="12">
        <f t="shared" si="10"/>
        <v>2923.0756500000016</v>
      </c>
      <c r="V12" s="14">
        <f t="shared" si="22"/>
        <v>30390.846648304298</v>
      </c>
      <c r="W12" s="13">
        <f>'VTSMX-MCSummary'!J9</f>
        <v>6.2557275840447582E-2</v>
      </c>
      <c r="X12" s="12">
        <f t="shared" si="23"/>
        <v>149612.69889007992</v>
      </c>
      <c r="Y12" s="12">
        <f t="shared" si="11"/>
        <v>17538.453900000011</v>
      </c>
      <c r="Z12" s="14">
        <f t="shared" si="24"/>
        <v>177607.67356221777</v>
      </c>
      <c r="AA12" s="13">
        <f>'VUSTX-MCSummary'!J9</f>
        <v>-3.6585365853659927E-3</v>
      </c>
      <c r="AB12" s="12">
        <f t="shared" si="25"/>
        <v>76632.971330196713</v>
      </c>
      <c r="AC12" s="12">
        <f t="shared" si="12"/>
        <v>11692.302600000006</v>
      </c>
      <c r="AD12" s="14">
        <f t="shared" si="26"/>
        <v>88002.13268411062</v>
      </c>
      <c r="AE12" s="27">
        <f t="shared" si="13"/>
        <v>296000.65289463266</v>
      </c>
      <c r="AF12" s="21" t="str">
        <f t="shared" si="1"/>
        <v/>
      </c>
      <c r="AG12" s="21">
        <f t="shared" si="27"/>
        <v>188692.15365000005</v>
      </c>
      <c r="AH12" s="5"/>
      <c r="AI12" s="13">
        <f>COKE_MCSummary!K9</f>
        <v>0.14364457337095779</v>
      </c>
      <c r="AJ12" s="12">
        <f t="shared" si="28"/>
        <v>39638.068769547113</v>
      </c>
      <c r="AK12" s="12">
        <f t="shared" si="14"/>
        <v>2923.0756500000016</v>
      </c>
      <c r="AL12" s="14">
        <f t="shared" si="29"/>
        <v>48674.821851872672</v>
      </c>
      <c r="AM12" s="13">
        <f>'VTSMX-MCSummary'!K9</f>
        <v>0.11011056651088558</v>
      </c>
      <c r="AN12" s="12">
        <f t="shared" si="30"/>
        <v>214214.85442553626</v>
      </c>
      <c r="AO12" s="12">
        <f t="shared" si="15"/>
        <v>17538.453900000011</v>
      </c>
      <c r="AP12" s="14">
        <f t="shared" si="31"/>
        <v>257271.79639603299</v>
      </c>
      <c r="AQ12" s="13">
        <f>'VUSTX-MCSummary'!K9</f>
        <v>2.2388059701492647E-2</v>
      </c>
      <c r="AR12" s="12">
        <f t="shared" si="32"/>
        <v>92541.091800532449</v>
      </c>
      <c r="AS12" s="12">
        <f t="shared" si="16"/>
        <v>11692.302600000006</v>
      </c>
      <c r="AT12" s="14">
        <f t="shared" si="33"/>
        <v>106566.97785726082</v>
      </c>
      <c r="AU12" s="30">
        <f t="shared" si="17"/>
        <v>412513.59610516648</v>
      </c>
      <c r="AV12" s="21" t="str">
        <f t="shared" si="2"/>
        <v/>
      </c>
      <c r="AW12" s="21">
        <f t="shared" si="34"/>
        <v>188692.15365000005</v>
      </c>
    </row>
    <row r="13" spans="1:51" ht="15" thickTop="1" thickBot="1" x14ac:dyDescent="0.6">
      <c r="A13" s="9">
        <f>COKE_MCSummary!D10</f>
        <v>2032</v>
      </c>
      <c r="C13" s="13">
        <f>COKE_MCSummary!I10</f>
        <v>-9.8382544836585498E-2</v>
      </c>
      <c r="D13" s="12">
        <f t="shared" si="18"/>
        <v>13387.403023916053</v>
      </c>
      <c r="E13" s="12">
        <f t="shared" si="3"/>
        <v>3215.3832150000021</v>
      </c>
      <c r="F13" s="14">
        <f t="shared" si="4"/>
        <v>14969.361877353651</v>
      </c>
      <c r="G13" s="13">
        <f>'VTSMX-MCSummary'!I10</f>
        <v>-3.9449834737177768E-3</v>
      </c>
      <c r="H13" s="12">
        <f t="shared" si="19"/>
        <v>117231.97648064849</v>
      </c>
      <c r="I13" s="12">
        <f t="shared" si="5"/>
        <v>19292.299290000014</v>
      </c>
      <c r="J13" s="14">
        <f t="shared" si="6"/>
        <v>135985.689758972</v>
      </c>
      <c r="K13" s="13">
        <f>'VUSTX-MCSummary'!I10</f>
        <v>-4.8421052631579038E-2</v>
      </c>
      <c r="L13" s="12">
        <f t="shared" si="20"/>
        <v>67490.741666187314</v>
      </c>
      <c r="M13" s="12">
        <f t="shared" si="7"/>
        <v>12861.532860000008</v>
      </c>
      <c r="N13" s="14">
        <f t="shared" si="8"/>
        <v>76461.532812287711</v>
      </c>
      <c r="O13" s="27">
        <f t="shared" si="9"/>
        <v>227416.58444861337</v>
      </c>
      <c r="P13" s="21" t="str">
        <f t="shared" si="0"/>
        <v/>
      </c>
      <c r="Q13" s="21">
        <f t="shared" si="35"/>
        <v>224061.36901500006</v>
      </c>
      <c r="R13" s="5"/>
      <c r="S13" s="13">
        <f>COKE_MCSummary!J10</f>
        <v>5.8019165233369356E-2</v>
      </c>
      <c r="T13" s="12">
        <f t="shared" si="21"/>
        <v>30390.846648304298</v>
      </c>
      <c r="U13" s="12">
        <f t="shared" si="10"/>
        <v>3215.3832150000021</v>
      </c>
      <c r="V13" s="14">
        <f t="shared" si="22"/>
        <v>35556.035266613944</v>
      </c>
      <c r="W13" s="13">
        <f>'VTSMX-MCSummary'!J10</f>
        <v>7.1476555152492183E-2</v>
      </c>
      <c r="X13" s="12">
        <f t="shared" si="23"/>
        <v>177607.67356221777</v>
      </c>
      <c r="Y13" s="12">
        <f t="shared" si="11"/>
        <v>19292.299290000014</v>
      </c>
      <c r="Z13" s="14">
        <f t="shared" si="24"/>
        <v>210973.70462131352</v>
      </c>
      <c r="AA13" s="13">
        <f>'VUSTX-MCSummary'!J10</f>
        <v>-9.8522167487684834E-3</v>
      </c>
      <c r="AB13" s="12">
        <f t="shared" si="25"/>
        <v>88002.13268411062</v>
      </c>
      <c r="AC13" s="12">
        <f t="shared" si="12"/>
        <v>12861.532860000008</v>
      </c>
      <c r="AD13" s="14">
        <f t="shared" si="26"/>
        <v>99869.93484909476</v>
      </c>
      <c r="AE13" s="27">
        <f t="shared" si="13"/>
        <v>346399.6747370222</v>
      </c>
      <c r="AF13" s="21" t="str">
        <f t="shared" si="1"/>
        <v/>
      </c>
      <c r="AG13" s="21">
        <f t="shared" si="27"/>
        <v>224061.36901500006</v>
      </c>
      <c r="AH13" s="5"/>
      <c r="AI13" s="13">
        <f>COKE_MCSummary!K10</f>
        <v>9.6789125952110422E-2</v>
      </c>
      <c r="AJ13" s="12">
        <f t="shared" si="28"/>
        <v>48674.821851872672</v>
      </c>
      <c r="AK13" s="12">
        <f t="shared" si="14"/>
        <v>3215.3832150000021</v>
      </c>
      <c r="AL13" s="14">
        <f t="shared" si="29"/>
        <v>56912.612660771047</v>
      </c>
      <c r="AM13" s="13">
        <f>'VTSMX-MCSummary'!K10</f>
        <v>0.11853950647054097</v>
      </c>
      <c r="AN13" s="12">
        <f t="shared" si="30"/>
        <v>257271.79639603299</v>
      </c>
      <c r="AO13" s="12">
        <f t="shared" si="15"/>
        <v>19292.299290000014</v>
      </c>
      <c r="AP13" s="14">
        <f t="shared" si="31"/>
        <v>309347.86709612684</v>
      </c>
      <c r="AQ13" s="13">
        <f>'VUSTX-MCSummary'!K10</f>
        <v>1.3093289689034381E-2</v>
      </c>
      <c r="AR13" s="12">
        <f t="shared" si="32"/>
        <v>106566.97785726082</v>
      </c>
      <c r="AS13" s="12">
        <f t="shared" si="16"/>
        <v>12861.532860000008</v>
      </c>
      <c r="AT13" s="14">
        <f t="shared" si="33"/>
        <v>120992.22280521186</v>
      </c>
      <c r="AU13" s="30">
        <f t="shared" si="17"/>
        <v>487252.70256210974</v>
      </c>
      <c r="AV13" s="21" t="str">
        <f t="shared" si="2"/>
        <v/>
      </c>
      <c r="AW13" s="21">
        <f t="shared" si="34"/>
        <v>224061.36901500006</v>
      </c>
    </row>
    <row r="14" spans="1:51" ht="15" thickTop="1" thickBot="1" x14ac:dyDescent="0.6">
      <c r="A14" s="9">
        <f>COKE_MCSummary!D11</f>
        <v>2033</v>
      </c>
      <c r="C14" s="13">
        <f>COKE_MCSummary!I11</f>
        <v>-7.3282741100218221E-2</v>
      </c>
      <c r="D14" s="12">
        <f t="shared" si="18"/>
        <v>14969.361877353651</v>
      </c>
      <c r="E14" s="12">
        <f t="shared" si="3"/>
        <v>3536.9215365000027</v>
      </c>
      <c r="F14" s="14">
        <f t="shared" si="4"/>
        <v>17150.092237708952</v>
      </c>
      <c r="G14" s="13">
        <f>'VTSMX-MCSummary'!I11</f>
        <v>2.4462880238246094E-3</v>
      </c>
      <c r="H14" s="12">
        <f t="shared" si="19"/>
        <v>135985.689758972</v>
      </c>
      <c r="I14" s="12">
        <f t="shared" si="5"/>
        <v>21221.529219000018</v>
      </c>
      <c r="J14" s="14">
        <f t="shared" si="6"/>
        <v>157591.7931150166</v>
      </c>
      <c r="K14" s="13">
        <f>'VUSTX-MCSummary'!I11</f>
        <v>-2.370689655172421E-2</v>
      </c>
      <c r="L14" s="12">
        <f t="shared" si="20"/>
        <v>76461.532812287711</v>
      </c>
      <c r="M14" s="12">
        <f t="shared" si="7"/>
        <v>14147.686146000011</v>
      </c>
      <c r="N14" s="14">
        <f t="shared" si="8"/>
        <v>88461.155577811063</v>
      </c>
      <c r="O14" s="27">
        <f t="shared" si="9"/>
        <v>263203.04093053658</v>
      </c>
      <c r="P14" s="21" t="str">
        <f t="shared" si="0"/>
        <v/>
      </c>
      <c r="Q14" s="21">
        <f t="shared" si="35"/>
        <v>262967.50591650011</v>
      </c>
      <c r="R14" s="5"/>
      <c r="S14" s="13">
        <f>COKE_MCSummary!J11</f>
        <v>6.9152056960451833E-2</v>
      </c>
      <c r="T14" s="12">
        <f t="shared" si="21"/>
        <v>35556.035266613944</v>
      </c>
      <c r="U14" s="12">
        <f t="shared" si="10"/>
        <v>3536.9215365000027</v>
      </c>
      <c r="V14" s="14">
        <f t="shared" si="22"/>
        <v>41796.315178715369</v>
      </c>
      <c r="W14" s="13">
        <f>'VTSMX-MCSummary'!J11</f>
        <v>5.7490186146637985E-2</v>
      </c>
      <c r="X14" s="12">
        <f t="shared" si="23"/>
        <v>210973.70462131352</v>
      </c>
      <c r="Y14" s="12">
        <f t="shared" si="11"/>
        <v>21221.529219000018</v>
      </c>
      <c r="Z14" s="14">
        <f t="shared" si="24"/>
        <v>245544.18105615527</v>
      </c>
      <c r="AA14" s="13">
        <f>'VUSTX-MCSummary'!J11</f>
        <v>7.3349633251834348E-3</v>
      </c>
      <c r="AB14" s="12">
        <f t="shared" si="25"/>
        <v>99869.93484909476</v>
      </c>
      <c r="AC14" s="12">
        <f t="shared" si="12"/>
        <v>14147.686146000011</v>
      </c>
      <c r="AD14" s="14">
        <f t="shared" si="26"/>
        <v>114853.93606351844</v>
      </c>
      <c r="AE14" s="27">
        <f t="shared" si="13"/>
        <v>402194.43229838909</v>
      </c>
      <c r="AF14" s="21" t="str">
        <f t="shared" si="1"/>
        <v/>
      </c>
      <c r="AG14" s="21">
        <f t="shared" si="27"/>
        <v>262967.50591650011</v>
      </c>
      <c r="AH14" s="5"/>
      <c r="AI14" s="13">
        <f>COKE_MCSummary!K11</f>
        <v>0.1002805095264591</v>
      </c>
      <c r="AJ14" s="12">
        <f t="shared" si="28"/>
        <v>56912.612660771047</v>
      </c>
      <c r="AK14" s="12">
        <f t="shared" si="14"/>
        <v>3536.9215365000027</v>
      </c>
      <c r="AL14" s="14">
        <f t="shared" si="29"/>
        <v>66511.444287210514</v>
      </c>
      <c r="AM14" s="13">
        <f>'VTSMX-MCSummary'!K11</f>
        <v>0.10202461294164346</v>
      </c>
      <c r="AN14" s="12">
        <f t="shared" si="30"/>
        <v>309347.86709612684</v>
      </c>
      <c r="AO14" s="12">
        <f t="shared" si="15"/>
        <v>21221.529219000018</v>
      </c>
      <c r="AP14" s="14">
        <f t="shared" si="31"/>
        <v>364295.61102453043</v>
      </c>
      <c r="AQ14" s="13">
        <f>'VUSTX-MCSummary'!K11</f>
        <v>3.0927835051546296E-2</v>
      </c>
      <c r="AR14" s="12">
        <f t="shared" si="32"/>
        <v>120992.22280521186</v>
      </c>
      <c r="AS14" s="12">
        <f t="shared" si="16"/>
        <v>14147.686146000011</v>
      </c>
      <c r="AT14" s="14">
        <f t="shared" si="33"/>
        <v>139319.49376413593</v>
      </c>
      <c r="AU14" s="30">
        <f t="shared" si="17"/>
        <v>570126.54907587683</v>
      </c>
      <c r="AV14" s="21" t="str">
        <f t="shared" si="2"/>
        <v/>
      </c>
      <c r="AW14" s="21">
        <f t="shared" si="34"/>
        <v>262967.50591650011</v>
      </c>
    </row>
    <row r="15" spans="1:51" ht="15" thickTop="1" thickBot="1" x14ac:dyDescent="0.6">
      <c r="A15" s="9">
        <f>COKE_MCSummary!D12</f>
        <v>2034</v>
      </c>
      <c r="C15" s="13">
        <f>COKE_MCSummary!I12</f>
        <v>-2.8472850299802368E-2</v>
      </c>
      <c r="D15" s="12">
        <f t="shared" si="18"/>
        <v>17150.092237708952</v>
      </c>
      <c r="E15" s="12">
        <f t="shared" si="3"/>
        <v>3890.6136901500031</v>
      </c>
      <c r="F15" s="14">
        <f t="shared" si="4"/>
        <v>20441.617057772863</v>
      </c>
      <c r="G15" s="13">
        <f>'VTSMX-MCSummary'!I12</f>
        <v>2.44031830238731E-3</v>
      </c>
      <c r="H15" s="12">
        <f t="shared" si="19"/>
        <v>157591.7931150166</v>
      </c>
      <c r="I15" s="12">
        <f t="shared" si="5"/>
        <v>23343.682140900022</v>
      </c>
      <c r="J15" s="14">
        <f t="shared" si="6"/>
        <v>181377.01540773478</v>
      </c>
      <c r="K15" s="13">
        <f>'VUSTX-MCSummary'!I12</f>
        <v>-4.269662921348303E-2</v>
      </c>
      <c r="L15" s="12">
        <f t="shared" si="20"/>
        <v>88461.155577811063</v>
      </c>
      <c r="M15" s="12">
        <f t="shared" si="7"/>
        <v>15562.454760600012</v>
      </c>
      <c r="N15" s="14">
        <f t="shared" si="8"/>
        <v>99582.152818344097</v>
      </c>
      <c r="O15" s="27">
        <f t="shared" si="9"/>
        <v>301400.78528385179</v>
      </c>
      <c r="P15" s="21" t="str">
        <f t="shared" si="0"/>
        <v/>
      </c>
      <c r="Q15" s="21">
        <f t="shared" si="35"/>
        <v>305764.25650815014</v>
      </c>
      <c r="R15" s="5"/>
      <c r="S15" s="13">
        <f>COKE_MCSummary!J12</f>
        <v>8.6705779779852429E-2</v>
      </c>
      <c r="T15" s="12">
        <f t="shared" si="21"/>
        <v>41796.315178715369</v>
      </c>
      <c r="U15" s="12">
        <f t="shared" si="10"/>
        <v>3890.6136901500031</v>
      </c>
      <c r="V15" s="14">
        <f t="shared" si="22"/>
        <v>49648.249662187001</v>
      </c>
      <c r="W15" s="13">
        <f>'VTSMX-MCSummary'!J12</f>
        <v>6.9737307103310137E-2</v>
      </c>
      <c r="X15" s="12">
        <f t="shared" si="23"/>
        <v>245544.18105615527</v>
      </c>
      <c r="Y15" s="12">
        <f t="shared" si="11"/>
        <v>23343.682140900022</v>
      </c>
      <c r="Z15" s="14">
        <f t="shared" si="24"/>
        <v>287639.37868918118</v>
      </c>
      <c r="AA15" s="13">
        <f>'VUSTX-MCSummary'!J12</f>
        <v>-1.4888337468982533E-2</v>
      </c>
      <c r="AB15" s="12">
        <f t="shared" si="25"/>
        <v>114853.93606351844</v>
      </c>
      <c r="AC15" s="12">
        <f t="shared" si="12"/>
        <v>15562.454760600012</v>
      </c>
      <c r="AD15" s="14">
        <f t="shared" si="26"/>
        <v>128474.70758604226</v>
      </c>
      <c r="AE15" s="27">
        <f t="shared" si="13"/>
        <v>465762.33593741048</v>
      </c>
      <c r="AF15" s="21" t="str">
        <f t="shared" si="1"/>
        <v/>
      </c>
      <c r="AG15" s="21">
        <f t="shared" si="27"/>
        <v>305764.25650815014</v>
      </c>
      <c r="AH15" s="5"/>
      <c r="AI15" s="13">
        <f>COKE_MCSummary!K12</f>
        <v>0.10904832235042544</v>
      </c>
      <c r="AJ15" s="12">
        <f t="shared" si="28"/>
        <v>66511.444287210514</v>
      </c>
      <c r="AK15" s="12">
        <f t="shared" si="14"/>
        <v>3890.6136901500031</v>
      </c>
      <c r="AL15" s="14">
        <f t="shared" si="29"/>
        <v>78079.28428980906</v>
      </c>
      <c r="AM15" s="13">
        <f>'VTSMX-MCSummary'!K12</f>
        <v>0.10533877920023248</v>
      </c>
      <c r="AN15" s="12">
        <f t="shared" si="30"/>
        <v>364295.61102453043</v>
      </c>
      <c r="AO15" s="12">
        <f t="shared" si="15"/>
        <v>23343.682140900022</v>
      </c>
      <c r="AP15" s="14">
        <f t="shared" si="31"/>
        <v>428472.74307751789</v>
      </c>
      <c r="AQ15" s="13">
        <f>'VUSTX-MCSummary'!K12</f>
        <v>-5.5821371610845529E-3</v>
      </c>
      <c r="AR15" s="12">
        <f t="shared" si="32"/>
        <v>139319.49376413593</v>
      </c>
      <c r="AS15" s="12">
        <f t="shared" si="16"/>
        <v>15562.454760600012</v>
      </c>
      <c r="AT15" s="14">
        <f t="shared" si="33"/>
        <v>154017.37624429481</v>
      </c>
      <c r="AU15" s="30">
        <f t="shared" si="17"/>
        <v>660569.40361162182</v>
      </c>
      <c r="AV15" s="21" t="str">
        <f t="shared" si="2"/>
        <v/>
      </c>
      <c r="AW15" s="21">
        <f t="shared" si="34"/>
        <v>305764.25650815014</v>
      </c>
    </row>
    <row r="16" spans="1:51" ht="15" thickTop="1" thickBot="1" x14ac:dyDescent="0.6">
      <c r="A16" s="9">
        <f>COKE_MCSummary!D13</f>
        <v>2035</v>
      </c>
      <c r="C16" s="13">
        <f>COKE_MCSummary!I13</f>
        <v>-6.7589314451239058E-2</v>
      </c>
      <c r="D16" s="12">
        <f t="shared" si="18"/>
        <v>20441.617057772863</v>
      </c>
      <c r="E16" s="12">
        <f t="shared" si="3"/>
        <v>4279.6750591650034</v>
      </c>
      <c r="F16" s="14">
        <f t="shared" si="4"/>
        <v>23050.396930405215</v>
      </c>
      <c r="G16" s="13">
        <f>'VTSMX-MCSummary'!I13</f>
        <v>9.2504993167244354E-3</v>
      </c>
      <c r="H16" s="12">
        <f t="shared" si="19"/>
        <v>181377.01540773478</v>
      </c>
      <c r="I16" s="12">
        <f t="shared" si="5"/>
        <v>25678.050354990028</v>
      </c>
      <c r="J16" s="14">
        <f t="shared" si="6"/>
        <v>208970.42850708723</v>
      </c>
      <c r="K16" s="13">
        <f>'VUSTX-MCSummary'!I13</f>
        <v>-3.9719626168224283E-2</v>
      </c>
      <c r="L16" s="12">
        <f t="shared" si="20"/>
        <v>99582.152818344097</v>
      </c>
      <c r="M16" s="12">
        <f t="shared" si="7"/>
        <v>17118.700236660014</v>
      </c>
      <c r="N16" s="14">
        <f t="shared" si="8"/>
        <v>112065.53879814647</v>
      </c>
      <c r="O16" s="27">
        <f t="shared" si="9"/>
        <v>344086.36423563893</v>
      </c>
      <c r="P16" s="21" t="str">
        <f t="shared" si="0"/>
        <v/>
      </c>
      <c r="Q16" s="21">
        <f t="shared" si="35"/>
        <v>352840.68215896515</v>
      </c>
      <c r="R16" s="5"/>
      <c r="S16" s="13">
        <f>COKE_MCSummary!J13</f>
        <v>4.2060160515040156E-2</v>
      </c>
      <c r="T16" s="12">
        <f t="shared" si="21"/>
        <v>49648.249662187001</v>
      </c>
      <c r="U16" s="12">
        <f t="shared" si="10"/>
        <v>4279.6750591650034</v>
      </c>
      <c r="V16" s="14">
        <f t="shared" si="22"/>
        <v>56196.141891375075</v>
      </c>
      <c r="W16" s="13">
        <f>'VTSMX-MCSummary'!J13</f>
        <v>6.4710419038525216E-2</v>
      </c>
      <c r="X16" s="12">
        <f t="shared" si="23"/>
        <v>287639.37868918118</v>
      </c>
      <c r="Y16" s="12">
        <f t="shared" si="11"/>
        <v>25678.050354990028</v>
      </c>
      <c r="Z16" s="14">
        <f t="shared" si="24"/>
        <v>333592.33116969292</v>
      </c>
      <c r="AA16" s="13">
        <f>'VUSTX-MCSummary'!J13</f>
        <v>0</v>
      </c>
      <c r="AB16" s="12">
        <f t="shared" si="25"/>
        <v>128474.70758604226</v>
      </c>
      <c r="AC16" s="12">
        <f t="shared" si="12"/>
        <v>17118.700236660014</v>
      </c>
      <c r="AD16" s="14">
        <f t="shared" si="26"/>
        <v>145593.40782270228</v>
      </c>
      <c r="AE16" s="27">
        <f t="shared" si="13"/>
        <v>535381.8808837703</v>
      </c>
      <c r="AF16" s="21" t="str">
        <f t="shared" si="1"/>
        <v/>
      </c>
      <c r="AG16" s="21">
        <f t="shared" si="27"/>
        <v>352840.68215896515</v>
      </c>
      <c r="AH16" s="5"/>
      <c r="AI16" s="13">
        <f>COKE_MCSummary!K13</f>
        <v>6.7054631633968353E-2</v>
      </c>
      <c r="AJ16" s="12">
        <f t="shared" si="28"/>
        <v>78079.28428980906</v>
      </c>
      <c r="AK16" s="12">
        <f t="shared" si="14"/>
        <v>4279.6750591650034</v>
      </c>
      <c r="AL16" s="14">
        <f t="shared" si="29"/>
        <v>87881.509029876499</v>
      </c>
      <c r="AM16" s="13">
        <f>'VTSMX-MCSummary'!K13</f>
        <v>9.3525916820323823E-2</v>
      </c>
      <c r="AN16" s="12">
        <f t="shared" si="30"/>
        <v>428472.74307751789</v>
      </c>
      <c r="AO16" s="12">
        <f t="shared" si="15"/>
        <v>25678.050354990028</v>
      </c>
      <c r="AP16" s="14">
        <f t="shared" si="31"/>
        <v>496625.66276296065</v>
      </c>
      <c r="AQ16" s="13">
        <f>'VUSTX-MCSummary'!K13</f>
        <v>2.4124513618677082E-2</v>
      </c>
      <c r="AR16" s="12">
        <f t="shared" si="32"/>
        <v>154017.37624429481</v>
      </c>
      <c r="AS16" s="12">
        <f t="shared" si="16"/>
        <v>17118.700236660014</v>
      </c>
      <c r="AT16" s="14">
        <f t="shared" si="33"/>
        <v>175264.65108866661</v>
      </c>
      <c r="AU16" s="30">
        <f t="shared" si="17"/>
        <v>759771.82288150373</v>
      </c>
      <c r="AV16" s="21" t="str">
        <f t="shared" si="2"/>
        <v/>
      </c>
      <c r="AW16" s="21">
        <f t="shared" si="34"/>
        <v>352840.68215896515</v>
      </c>
    </row>
    <row r="17" spans="1:49" ht="15" thickTop="1" thickBot="1" x14ac:dyDescent="0.6">
      <c r="A17" s="9">
        <f>COKE_MCSummary!D14</f>
        <v>2036</v>
      </c>
      <c r="C17" s="13">
        <f>COKE_MCSummary!I14</f>
        <v>-2.7786966589480658E-2</v>
      </c>
      <c r="D17" s="12">
        <f t="shared" si="18"/>
        <v>23050.396930405215</v>
      </c>
      <c r="E17" s="12">
        <f t="shared" si="3"/>
        <v>4707.6425650815045</v>
      </c>
      <c r="F17" s="14">
        <f t="shared" si="4"/>
        <v>26986.727779436143</v>
      </c>
      <c r="G17" s="13">
        <f>'VTSMX-MCSummary'!I14</f>
        <v>1.7455071266267278E-2</v>
      </c>
      <c r="H17" s="12">
        <f t="shared" si="19"/>
        <v>208970.42850708723</v>
      </c>
      <c r="I17" s="12">
        <f t="shared" si="5"/>
        <v>28245.855390489032</v>
      </c>
      <c r="J17" s="14">
        <f t="shared" si="6"/>
        <v>241356.91103852756</v>
      </c>
      <c r="K17" s="13">
        <f>'VUSTX-MCSummary'!I14</f>
        <v>-2.1479713603818579E-2</v>
      </c>
      <c r="L17" s="12">
        <f t="shared" si="20"/>
        <v>112065.53879814647</v>
      </c>
      <c r="M17" s="12">
        <f t="shared" si="7"/>
        <v>18830.570260326018</v>
      </c>
      <c r="N17" s="14">
        <f t="shared" si="8"/>
        <v>128084.49812404229</v>
      </c>
      <c r="O17" s="27">
        <f t="shared" si="9"/>
        <v>396428.13694200601</v>
      </c>
      <c r="P17" s="21" t="str">
        <f t="shared" si="0"/>
        <v/>
      </c>
      <c r="Q17" s="21">
        <f t="shared" si="35"/>
        <v>404624.7503748617</v>
      </c>
      <c r="R17" s="5"/>
      <c r="S17" s="13">
        <f>COKE_MCSummary!J14</f>
        <v>0.10490678586446971</v>
      </c>
      <c r="T17" s="12">
        <f t="shared" si="21"/>
        <v>56196.141891375075</v>
      </c>
      <c r="U17" s="12">
        <f t="shared" si="10"/>
        <v>4707.6425650815045</v>
      </c>
      <c r="V17" s="14">
        <f t="shared" si="22"/>
        <v>67293.004730765882</v>
      </c>
      <c r="W17" s="13">
        <f>'VTSMX-MCSummary'!J14</f>
        <v>8.0567280094546542E-2</v>
      </c>
      <c r="X17" s="12">
        <f t="shared" si="23"/>
        <v>333592.33116969292</v>
      </c>
      <c r="Y17" s="12">
        <f t="shared" si="11"/>
        <v>28245.855390489032</v>
      </c>
      <c r="Z17" s="14">
        <f t="shared" si="24"/>
        <v>390990.50508567889</v>
      </c>
      <c r="AA17" s="13">
        <f>'VUSTX-MCSummary'!J14</f>
        <v>0</v>
      </c>
      <c r="AB17" s="12">
        <f t="shared" si="25"/>
        <v>145593.40782270228</v>
      </c>
      <c r="AC17" s="12">
        <f t="shared" si="12"/>
        <v>18830.570260326018</v>
      </c>
      <c r="AD17" s="14">
        <f t="shared" si="26"/>
        <v>164423.97808302831</v>
      </c>
      <c r="AE17" s="27">
        <f t="shared" si="13"/>
        <v>622707.48789947305</v>
      </c>
      <c r="AF17" s="21" t="str">
        <f t="shared" si="1"/>
        <v/>
      </c>
      <c r="AG17" s="21">
        <f t="shared" si="27"/>
        <v>404624.7503748617</v>
      </c>
      <c r="AH17" s="5"/>
      <c r="AI17" s="13">
        <f>COKE_MCSummary!K14</f>
        <v>0.12580473065596168</v>
      </c>
      <c r="AJ17" s="12">
        <f t="shared" si="28"/>
        <v>87881.509029876499</v>
      </c>
      <c r="AK17" s="12">
        <f t="shared" si="14"/>
        <v>4707.6425650815045</v>
      </c>
      <c r="AL17" s="14">
        <f t="shared" si="29"/>
        <v>104237.30487302571</v>
      </c>
      <c r="AM17" s="13">
        <f>'VTSMX-MCSummary'!K14</f>
        <v>0.11582951634189889</v>
      </c>
      <c r="AN17" s="12">
        <f t="shared" si="30"/>
        <v>496625.66276296065</v>
      </c>
      <c r="AO17" s="12">
        <f t="shared" si="15"/>
        <v>28245.855390489032</v>
      </c>
      <c r="AP17" s="14">
        <f t="shared" si="31"/>
        <v>585667.13224280195</v>
      </c>
      <c r="AQ17" s="13">
        <f>'VUSTX-MCSummary'!K14</f>
        <v>1.1538461538461565E-2</v>
      </c>
      <c r="AR17" s="12">
        <f t="shared" si="32"/>
        <v>175264.65108866661</v>
      </c>
      <c r="AS17" s="12">
        <f t="shared" si="16"/>
        <v>18830.570260326018</v>
      </c>
      <c r="AT17" s="14">
        <f t="shared" si="33"/>
        <v>196334.78159532716</v>
      </c>
      <c r="AU17" s="30">
        <f t="shared" si="17"/>
        <v>886239.21871115488</v>
      </c>
      <c r="AV17" s="21" t="str">
        <f t="shared" si="2"/>
        <v/>
      </c>
      <c r="AW17" s="21">
        <f t="shared" si="34"/>
        <v>404624.7503748617</v>
      </c>
    </row>
    <row r="18" spans="1:49" ht="15" thickTop="1" thickBot="1" x14ac:dyDescent="0.6">
      <c r="A18" s="9">
        <f>COKE_MCSummary!D15</f>
        <v>2037</v>
      </c>
      <c r="C18" s="13">
        <f>COKE_MCSummary!I15</f>
        <v>-5.0057892705518983E-2</v>
      </c>
      <c r="D18" s="12">
        <f t="shared" si="18"/>
        <v>26986.727779436143</v>
      </c>
      <c r="E18" s="12">
        <f t="shared" si="3"/>
        <v>5178.406821589655</v>
      </c>
      <c r="F18" s="14">
        <f t="shared" si="4"/>
        <v>30555.015744309072</v>
      </c>
      <c r="G18" s="13">
        <f>'VTSMX-MCSummary'!I15</f>
        <v>5.8527569565664586E-3</v>
      </c>
      <c r="H18" s="12">
        <f t="shared" si="19"/>
        <v>241356.91103852756</v>
      </c>
      <c r="I18" s="12">
        <f t="shared" si="5"/>
        <v>31070.440929537937</v>
      </c>
      <c r="J18" s="14">
        <f t="shared" si="6"/>
        <v>274021.80304745556</v>
      </c>
      <c r="K18" s="13">
        <f>'VUSTX-MCSummary'!I15</f>
        <v>-4.7500000000000098E-2</v>
      </c>
      <c r="L18" s="12">
        <f t="shared" si="20"/>
        <v>128084.49812404229</v>
      </c>
      <c r="M18" s="12">
        <f t="shared" si="7"/>
        <v>20713.62728635862</v>
      </c>
      <c r="N18" s="14">
        <f t="shared" si="8"/>
        <v>141730.21445340686</v>
      </c>
      <c r="O18" s="27">
        <f t="shared" si="9"/>
        <v>446307.03324517148</v>
      </c>
      <c r="P18" s="21" t="str">
        <f t="shared" si="0"/>
        <v/>
      </c>
      <c r="Q18" s="21">
        <f t="shared" si="35"/>
        <v>461587.22541234794</v>
      </c>
      <c r="R18" s="5"/>
      <c r="S18" s="13">
        <f>COKE_MCSummary!J15</f>
        <v>6.7057045712126895E-2</v>
      </c>
      <c r="T18" s="12">
        <f t="shared" si="21"/>
        <v>67293.004730765882</v>
      </c>
      <c r="U18" s="12">
        <f t="shared" si="10"/>
        <v>5178.406821589655</v>
      </c>
      <c r="V18" s="14">
        <f t="shared" si="22"/>
        <v>77331.130309644199</v>
      </c>
      <c r="W18" s="13">
        <f>'VTSMX-MCSummary'!J15</f>
        <v>5.8166899885510812E-2</v>
      </c>
      <c r="X18" s="12">
        <f t="shared" si="23"/>
        <v>390990.50508567889</v>
      </c>
      <c r="Y18" s="12">
        <f t="shared" si="11"/>
        <v>31070.440929537937</v>
      </c>
      <c r="Z18" s="14">
        <f t="shared" si="24"/>
        <v>446610.92280766787</v>
      </c>
      <c r="AA18" s="13">
        <f>'VUSTX-MCSummary'!J15</f>
        <v>1.2391573729863428E-3</v>
      </c>
      <c r="AB18" s="12">
        <f t="shared" si="25"/>
        <v>164423.97808302831</v>
      </c>
      <c r="AC18" s="12">
        <f t="shared" si="12"/>
        <v>20713.62728635862</v>
      </c>
      <c r="AD18" s="14">
        <f t="shared" si="26"/>
        <v>185367.01999809744</v>
      </c>
      <c r="AE18" s="27">
        <f t="shared" si="13"/>
        <v>709309.07311540958</v>
      </c>
      <c r="AF18" s="21" t="str">
        <f t="shared" si="1"/>
        <v/>
      </c>
      <c r="AG18" s="21">
        <f t="shared" si="27"/>
        <v>461587.22541234794</v>
      </c>
      <c r="AH18" s="5"/>
      <c r="AI18" s="13">
        <f>COKE_MCSummary!K15</f>
        <v>8.9027497183156903E-2</v>
      </c>
      <c r="AJ18" s="12">
        <f t="shared" si="28"/>
        <v>104237.30487302571</v>
      </c>
      <c r="AK18" s="12">
        <f t="shared" si="14"/>
        <v>5178.406821589655</v>
      </c>
      <c r="AL18" s="14">
        <f t="shared" si="29"/>
        <v>119156.71865930084</v>
      </c>
      <c r="AM18" s="13">
        <f>'VTSMX-MCSummary'!K15</f>
        <v>9.3227895626055976E-2</v>
      </c>
      <c r="AN18" s="12">
        <f t="shared" si="30"/>
        <v>585667.13224280195</v>
      </c>
      <c r="AO18" s="12">
        <f t="shared" si="15"/>
        <v>31070.440929537937</v>
      </c>
      <c r="AP18" s="14">
        <f t="shared" si="31"/>
        <v>674234.71927271783</v>
      </c>
      <c r="AQ18" s="13">
        <f>'VUSTX-MCSummary'!K15</f>
        <v>2.7673896783844371E-2</v>
      </c>
      <c r="AR18" s="12">
        <f t="shared" si="32"/>
        <v>196334.78159532716</v>
      </c>
      <c r="AS18" s="12">
        <f t="shared" si="16"/>
        <v>20713.62728635862</v>
      </c>
      <c r="AT18" s="14">
        <f t="shared" si="33"/>
        <v>223054.98414617521</v>
      </c>
      <c r="AU18" s="30">
        <f t="shared" si="17"/>
        <v>1016446.4220781939</v>
      </c>
      <c r="AV18" s="21" t="str">
        <f t="shared" si="2"/>
        <v/>
      </c>
      <c r="AW18" s="21">
        <f t="shared" si="34"/>
        <v>461587.22541234794</v>
      </c>
    </row>
    <row r="19" spans="1:49" ht="15" thickTop="1" thickBot="1" x14ac:dyDescent="0.6">
      <c r="A19" s="9">
        <f>COKE_MCSummary!D16</f>
        <v>2038</v>
      </c>
      <c r="C19" s="13">
        <f>COKE_MCSummary!I16</f>
        <v>-1.5003721549731706E-2</v>
      </c>
      <c r="D19" s="12">
        <f t="shared" si="18"/>
        <v>30555.015744309072</v>
      </c>
      <c r="E19" s="12">
        <f t="shared" si="3"/>
        <v>5696.2475037486211</v>
      </c>
      <c r="F19" s="14">
        <f t="shared" si="4"/>
        <v>35707.359388457815</v>
      </c>
      <c r="G19" s="13">
        <f>'VTSMX-MCSummary'!I16</f>
        <v>-1.0269049086059885E-4</v>
      </c>
      <c r="H19" s="12">
        <f t="shared" si="19"/>
        <v>274021.80304745556</v>
      </c>
      <c r="I19" s="12">
        <f t="shared" si="5"/>
        <v>34177.485022491732</v>
      </c>
      <c r="J19" s="14">
        <f t="shared" si="6"/>
        <v>308167.63893377245</v>
      </c>
      <c r="K19" s="13">
        <f>'VUSTX-MCSummary'!I16</f>
        <v>-3.6269430051813503E-2</v>
      </c>
      <c r="L19" s="12">
        <f t="shared" si="20"/>
        <v>141730.21445340686</v>
      </c>
      <c r="M19" s="12">
        <f t="shared" si="7"/>
        <v>22784.990014994484</v>
      </c>
      <c r="N19" s="14">
        <f t="shared" si="8"/>
        <v>158548.33176747488</v>
      </c>
      <c r="O19" s="27">
        <f t="shared" si="9"/>
        <v>502423.33008970518</v>
      </c>
      <c r="P19" s="21" t="str">
        <f t="shared" si="0"/>
        <v/>
      </c>
      <c r="Q19" s="21">
        <f t="shared" si="35"/>
        <v>524245.94795358274</v>
      </c>
      <c r="R19" s="5"/>
      <c r="S19" s="13">
        <f>COKE_MCSummary!J16</f>
        <v>4.7868072272488335E-2</v>
      </c>
      <c r="T19" s="12">
        <f t="shared" si="21"/>
        <v>77331.130309644199</v>
      </c>
      <c r="U19" s="12">
        <f t="shared" si="10"/>
        <v>5696.2475037486211</v>
      </c>
      <c r="V19" s="14">
        <f t="shared" si="22"/>
        <v>87001.738335159491</v>
      </c>
      <c r="W19" s="13">
        <f>'VTSMX-MCSummary'!J16</f>
        <v>7.3295806194925012E-2</v>
      </c>
      <c r="X19" s="12">
        <f t="shared" si="23"/>
        <v>446610.92280766787</v>
      </c>
      <c r="Y19" s="12">
        <f t="shared" si="11"/>
        <v>34177.485022491732</v>
      </c>
      <c r="Z19" s="14">
        <f t="shared" si="24"/>
        <v>516028.18179124547</v>
      </c>
      <c r="AA19" s="13">
        <f>'VUSTX-MCSummary'!J16</f>
        <v>-1.1278195488721787E-2</v>
      </c>
      <c r="AB19" s="12">
        <f t="shared" si="25"/>
        <v>185367.01999809744</v>
      </c>
      <c r="AC19" s="12">
        <f t="shared" si="12"/>
        <v>22784.990014994484</v>
      </c>
      <c r="AD19" s="14">
        <f t="shared" si="26"/>
        <v>205804.43095279392</v>
      </c>
      <c r="AE19" s="27">
        <f t="shared" si="13"/>
        <v>808834.35107919888</v>
      </c>
      <c r="AF19" s="21" t="str">
        <f t="shared" si="1"/>
        <v/>
      </c>
      <c r="AG19" s="21">
        <f t="shared" si="27"/>
        <v>524245.94795358274</v>
      </c>
      <c r="AH19" s="5"/>
      <c r="AI19" s="13">
        <f>COKE_MCSummary!K16</f>
        <v>6.6006886170562412E-2</v>
      </c>
      <c r="AJ19" s="12">
        <f t="shared" si="28"/>
        <v>119156.71865930084</v>
      </c>
      <c r="AK19" s="12">
        <f t="shared" si="14"/>
        <v>5696.2475037486211</v>
      </c>
      <c r="AL19" s="14">
        <f t="shared" si="29"/>
        <v>133094.12168863096</v>
      </c>
      <c r="AM19" s="13">
        <f>'VTSMX-MCSummary'!K16</f>
        <v>0.10368905901653126</v>
      </c>
      <c r="AN19" s="12">
        <f t="shared" si="30"/>
        <v>674234.71927271783</v>
      </c>
      <c r="AO19" s="12">
        <f t="shared" si="15"/>
        <v>34177.485022491732</v>
      </c>
      <c r="AP19" s="14">
        <f t="shared" si="31"/>
        <v>781866.79915440665</v>
      </c>
      <c r="AQ19" s="13">
        <f>'VUSTX-MCSummary'!K16</f>
        <v>-6.7771084337349295E-3</v>
      </c>
      <c r="AR19" s="12">
        <f t="shared" si="32"/>
        <v>223054.98414617521</v>
      </c>
      <c r="AS19" s="12">
        <f t="shared" si="16"/>
        <v>22784.990014994484</v>
      </c>
      <c r="AT19" s="14">
        <f t="shared" si="33"/>
        <v>244173.88999893286</v>
      </c>
      <c r="AU19" s="30">
        <f t="shared" si="17"/>
        <v>1159134.8108419704</v>
      </c>
      <c r="AV19" s="21" t="str">
        <f t="shared" si="2"/>
        <v/>
      </c>
      <c r="AW19" s="21">
        <f t="shared" si="34"/>
        <v>524245.94795358274</v>
      </c>
    </row>
    <row r="20" spans="1:49" ht="15" thickTop="1" thickBot="1" x14ac:dyDescent="0.6">
      <c r="A20" s="9">
        <f>COKE_MCSummary!D17</f>
        <v>2039</v>
      </c>
      <c r="C20" s="13">
        <f>COKE_MCSummary!I17</f>
        <v>-6.0972568578553682E-2</v>
      </c>
      <c r="D20" s="12">
        <f t="shared" si="18"/>
        <v>35707.359388457815</v>
      </c>
      <c r="E20" s="12">
        <f t="shared" si="3"/>
        <v>6265.8722541234838</v>
      </c>
      <c r="F20" s="14">
        <f t="shared" si="4"/>
        <v>39414.015897790487</v>
      </c>
      <c r="G20" s="13">
        <f>'VTSMX-MCSummary'!I17</f>
        <v>-1.0270103728038312E-4</v>
      </c>
      <c r="H20" s="12">
        <f t="shared" si="19"/>
        <v>308167.63893377245</v>
      </c>
      <c r="I20" s="12">
        <f t="shared" si="5"/>
        <v>37595.233524740906</v>
      </c>
      <c r="J20" s="14">
        <f t="shared" si="6"/>
        <v>345727.36225285882</v>
      </c>
      <c r="K20" s="13">
        <f>'VUSTX-MCSummary'!I17</f>
        <v>-2.3872679045092802E-2</v>
      </c>
      <c r="L20" s="12">
        <f t="shared" si="20"/>
        <v>158548.33176747488</v>
      </c>
      <c r="M20" s="12">
        <f t="shared" si="7"/>
        <v>25063.489016493935</v>
      </c>
      <c r="N20" s="14">
        <f t="shared" si="8"/>
        <v>179228.51471750802</v>
      </c>
      <c r="O20" s="27">
        <f t="shared" si="9"/>
        <v>564369.89286815736</v>
      </c>
      <c r="P20" s="21" t="str">
        <f t="shared" si="0"/>
        <v/>
      </c>
      <c r="Q20" s="21">
        <f t="shared" si="35"/>
        <v>593170.54274894111</v>
      </c>
      <c r="R20" s="5"/>
      <c r="S20" s="13">
        <f>COKE_MCSummary!J17</f>
        <v>0.10157077824215772</v>
      </c>
      <c r="T20" s="12">
        <f t="shared" si="21"/>
        <v>87001.738335159491</v>
      </c>
      <c r="U20" s="12">
        <f t="shared" si="10"/>
        <v>6265.8722541234838</v>
      </c>
      <c r="V20" s="14">
        <f t="shared" si="22"/>
        <v>102740.87438162297</v>
      </c>
      <c r="W20" s="13">
        <f>'VTSMX-MCSummary'!J17</f>
        <v>8.2822002973374748E-2</v>
      </c>
      <c r="X20" s="12">
        <f t="shared" si="23"/>
        <v>516028.18179124547</v>
      </c>
      <c r="Y20" s="12">
        <f t="shared" si="11"/>
        <v>37595.233524740906</v>
      </c>
      <c r="Z20" s="14">
        <f t="shared" si="24"/>
        <v>599475.61546541692</v>
      </c>
      <c r="AA20" s="13">
        <f>'VUSTX-MCSummary'!J17</f>
        <v>-2.5125628140704099E-3</v>
      </c>
      <c r="AB20" s="12">
        <f t="shared" si="25"/>
        <v>205804.43095279392</v>
      </c>
      <c r="AC20" s="12">
        <f t="shared" si="12"/>
        <v>25063.489016493935</v>
      </c>
      <c r="AD20" s="14">
        <f t="shared" si="26"/>
        <v>230287.84981861123</v>
      </c>
      <c r="AE20" s="27">
        <f t="shared" si="13"/>
        <v>932504.33966565109</v>
      </c>
      <c r="AF20" s="21" t="str">
        <f t="shared" si="1"/>
        <v/>
      </c>
      <c r="AG20" s="21">
        <f t="shared" si="27"/>
        <v>593170.54274894111</v>
      </c>
      <c r="AH20" s="5"/>
      <c r="AI20" s="13">
        <f>COKE_MCSummary!K17</f>
        <v>0.10103003553613447</v>
      </c>
      <c r="AJ20" s="12">
        <f t="shared" si="28"/>
        <v>133094.12168863096</v>
      </c>
      <c r="AK20" s="12">
        <f t="shared" si="14"/>
        <v>6265.8722541234838</v>
      </c>
      <c r="AL20" s="14">
        <f t="shared" si="29"/>
        <v>153439.53908310639</v>
      </c>
      <c r="AM20" s="13">
        <f>'VTSMX-MCSummary'!K17</f>
        <v>0.11128971962616827</v>
      </c>
      <c r="AN20" s="12">
        <f t="shared" si="30"/>
        <v>781866.79915440665</v>
      </c>
      <c r="AO20" s="12">
        <f t="shared" si="15"/>
        <v>37595.233524740906</v>
      </c>
      <c r="AP20" s="14">
        <f t="shared" si="31"/>
        <v>910659.73254029977</v>
      </c>
      <c r="AQ20" s="13">
        <f>'VUSTX-MCSummary'!K17</f>
        <v>1.0432190760059655E-2</v>
      </c>
      <c r="AR20" s="12">
        <f t="shared" si="32"/>
        <v>244173.88999893286</v>
      </c>
      <c r="AS20" s="12">
        <f t="shared" si="16"/>
        <v>25063.489016493935</v>
      </c>
      <c r="AT20" s="14">
        <f t="shared" si="33"/>
        <v>272046.11471305421</v>
      </c>
      <c r="AU20" s="30">
        <f t="shared" si="17"/>
        <v>1336145.3863364602</v>
      </c>
      <c r="AV20" s="21" t="str">
        <f t="shared" si="2"/>
        <v/>
      </c>
      <c r="AW20" s="21">
        <f t="shared" si="34"/>
        <v>593170.54274894111</v>
      </c>
    </row>
    <row r="21" spans="1:49" ht="15" thickTop="1" thickBot="1" x14ac:dyDescent="0.6">
      <c r="A21" s="9">
        <f>COKE_MCSummary!D18</f>
        <v>2040</v>
      </c>
      <c r="C21" s="13">
        <f>COKE_MCSummary!I18</f>
        <v>-7.7486910994764161E-3</v>
      </c>
      <c r="D21" s="12">
        <f t="shared" si="18"/>
        <v>39414.015897790487</v>
      </c>
      <c r="E21" s="12">
        <f t="shared" si="3"/>
        <v>6892.4594795358325</v>
      </c>
      <c r="F21" s="14">
        <f t="shared" si="4"/>
        <v>45947.660803721912</v>
      </c>
      <c r="G21" s="13">
        <f>'VTSMX-MCSummary'!I18</f>
        <v>1.35751190355586E-2</v>
      </c>
      <c r="H21" s="12">
        <f t="shared" si="19"/>
        <v>345727.36225285882</v>
      </c>
      <c r="I21" s="12">
        <f t="shared" si="5"/>
        <v>41354.756877214997</v>
      </c>
      <c r="J21" s="14">
        <f t="shared" si="6"/>
        <v>392336.80497380084</v>
      </c>
      <c r="K21" s="13">
        <f>'VUSTX-MCSummary'!I18</f>
        <v>-3.2876712328767155E-2</v>
      </c>
      <c r="L21" s="12">
        <f t="shared" si="20"/>
        <v>179228.51471750802</v>
      </c>
      <c r="M21" s="12">
        <f t="shared" si="7"/>
        <v>27569.83791814333</v>
      </c>
      <c r="N21" s="14">
        <f t="shared" si="8"/>
        <v>199999.50268598608</v>
      </c>
      <c r="O21" s="27">
        <f t="shared" si="9"/>
        <v>638283.96846350888</v>
      </c>
      <c r="P21" s="21" t="str">
        <f t="shared" si="0"/>
        <v/>
      </c>
      <c r="Q21" s="21">
        <f t="shared" si="35"/>
        <v>668987.59702383529</v>
      </c>
      <c r="R21" s="5"/>
      <c r="S21" s="13">
        <f>COKE_MCSummary!J18</f>
        <v>6.5705318960536663E-2</v>
      </c>
      <c r="T21" s="12">
        <f t="shared" si="21"/>
        <v>102740.87438162297</v>
      </c>
      <c r="U21" s="12">
        <f t="shared" si="10"/>
        <v>6892.4594795358325</v>
      </c>
      <c r="V21" s="14">
        <f t="shared" si="22"/>
        <v>116836.82703121322</v>
      </c>
      <c r="W21" s="13">
        <f>'VTSMX-MCSummary'!J18</f>
        <v>6.175500887649004E-2</v>
      </c>
      <c r="X21" s="12">
        <f t="shared" si="23"/>
        <v>599475.61546541692</v>
      </c>
      <c r="Y21" s="12">
        <f t="shared" si="11"/>
        <v>41354.756877214997</v>
      </c>
      <c r="Z21" s="14">
        <f t="shared" si="24"/>
        <v>680404.85767497553</v>
      </c>
      <c r="AA21" s="13">
        <f>'VUSTX-MCSummary'!J18</f>
        <v>-1.2578616352200991E-3</v>
      </c>
      <c r="AB21" s="12">
        <f t="shared" si="25"/>
        <v>230287.84981861123</v>
      </c>
      <c r="AC21" s="12">
        <f t="shared" si="12"/>
        <v>27569.83791814333</v>
      </c>
      <c r="AD21" s="14">
        <f t="shared" si="26"/>
        <v>257533.33844400392</v>
      </c>
      <c r="AE21" s="27">
        <f t="shared" si="13"/>
        <v>1054775.0231501926</v>
      </c>
      <c r="AF21" s="21" t="str">
        <f t="shared" si="1"/>
        <v/>
      </c>
      <c r="AG21" s="21">
        <f t="shared" si="27"/>
        <v>668987.59702383529</v>
      </c>
      <c r="AH21" s="5"/>
      <c r="AI21" s="13">
        <f>COKE_MCSummary!K18</f>
        <v>6.8425197655746686E-2</v>
      </c>
      <c r="AJ21" s="12">
        <f t="shared" si="28"/>
        <v>153439.53908310639</v>
      </c>
      <c r="AK21" s="12">
        <f t="shared" si="14"/>
        <v>6892.4594795358325</v>
      </c>
      <c r="AL21" s="14">
        <f t="shared" si="29"/>
        <v>171302.74725483189</v>
      </c>
      <c r="AM21" s="13">
        <f>'VTSMX-MCSummary'!K18</f>
        <v>8.4037426059563311E-2</v>
      </c>
      <c r="AN21" s="12">
        <f t="shared" si="30"/>
        <v>910659.73254029977</v>
      </c>
      <c r="AO21" s="12">
        <f t="shared" si="15"/>
        <v>41354.756877214997</v>
      </c>
      <c r="AP21" s="14">
        <f t="shared" si="31"/>
        <v>1032019.3366795721</v>
      </c>
      <c r="AQ21" s="13">
        <f>'VUSTX-MCSummary'!K18</f>
        <v>1.9005847953216359E-2</v>
      </c>
      <c r="AR21" s="12">
        <f t="shared" si="32"/>
        <v>272046.11471305421</v>
      </c>
      <c r="AS21" s="12">
        <f t="shared" si="16"/>
        <v>27569.83791814333</v>
      </c>
      <c r="AT21" s="14">
        <f t="shared" si="33"/>
        <v>305310.40787126415</v>
      </c>
      <c r="AU21" s="30">
        <f t="shared" si="17"/>
        <v>1508632.491805668</v>
      </c>
      <c r="AV21" s="21" t="str">
        <f t="shared" si="2"/>
        <v/>
      </c>
      <c r="AW21" s="21">
        <f t="shared" si="34"/>
        <v>668987.59702383529</v>
      </c>
    </row>
    <row r="22" spans="1:49" ht="15" thickTop="1" thickBot="1" x14ac:dyDescent="0.6">
      <c r="A22" s="9">
        <f>COKE_MCSummary!D19</f>
        <v>2041</v>
      </c>
      <c r="C22" s="13">
        <f>COKE_MCSummary!I19</f>
        <v>-3.4266158378097371E-2</v>
      </c>
      <c r="D22" s="12">
        <f t="shared" si="18"/>
        <v>45947.660803721912</v>
      </c>
      <c r="E22" s="12">
        <f t="shared" si="3"/>
        <v>7581.7054274894163</v>
      </c>
      <c r="F22" s="14">
        <f t="shared" si="4"/>
        <v>51695.120490053465</v>
      </c>
      <c r="G22" s="13">
        <f>'VTSMX-MCSummary'!I19</f>
        <v>1.0921843687374784E-2</v>
      </c>
      <c r="H22" s="12">
        <f t="shared" si="19"/>
        <v>392336.80497380084</v>
      </c>
      <c r="I22" s="12">
        <f t="shared" si="5"/>
        <v>45490.232564936501</v>
      </c>
      <c r="J22" s="14">
        <f t="shared" si="6"/>
        <v>442608.9160048418</v>
      </c>
      <c r="K22" s="13">
        <f>'VUSTX-MCSummary'!I19</f>
        <v>-1.6713091922005586E-2</v>
      </c>
      <c r="L22" s="12">
        <f t="shared" si="20"/>
        <v>199999.50268598608</v>
      </c>
      <c r="M22" s="12">
        <f t="shared" si="7"/>
        <v>30326.821709957665</v>
      </c>
      <c r="N22" s="14">
        <f t="shared" si="8"/>
        <v>226476.85936425667</v>
      </c>
      <c r="O22" s="27">
        <f t="shared" si="9"/>
        <v>720780.89585915185</v>
      </c>
      <c r="P22" s="21" t="str">
        <f t="shared" si="0"/>
        <v/>
      </c>
      <c r="Q22" s="21">
        <f t="shared" si="35"/>
        <v>752386.35672621883</v>
      </c>
      <c r="R22" s="5"/>
      <c r="S22" s="13">
        <f>COKE_MCSummary!J19</f>
        <v>0.10788137788137793</v>
      </c>
      <c r="T22" s="12">
        <f t="shared" si="21"/>
        <v>116836.82703121322</v>
      </c>
      <c r="U22" s="12">
        <f t="shared" si="10"/>
        <v>7581.7054274894163</v>
      </c>
      <c r="V22" s="14">
        <f t="shared" si="22"/>
        <v>137840.97517432642</v>
      </c>
      <c r="W22" s="13">
        <f>'VTSMX-MCSummary'!J19</f>
        <v>6.4509241025884359E-2</v>
      </c>
      <c r="X22" s="12">
        <f t="shared" si="23"/>
        <v>680404.85767497553</v>
      </c>
      <c r="Y22" s="12">
        <f t="shared" si="11"/>
        <v>45490.232564936501</v>
      </c>
      <c r="Z22" s="14">
        <f t="shared" si="24"/>
        <v>772722.03157570458</v>
      </c>
      <c r="AA22" s="13">
        <f>'VUSTX-MCSummary'!J19</f>
        <v>1.256281407035149E-3</v>
      </c>
      <c r="AB22" s="12">
        <f t="shared" si="25"/>
        <v>257533.33844400392</v>
      </c>
      <c r="AC22" s="12">
        <f t="shared" si="12"/>
        <v>30326.821709957665</v>
      </c>
      <c r="AD22" s="14">
        <f t="shared" si="26"/>
        <v>288221.79352098913</v>
      </c>
      <c r="AE22" s="27">
        <f t="shared" si="13"/>
        <v>1198784.8002710203</v>
      </c>
      <c r="AF22" s="21" t="str">
        <f t="shared" si="1"/>
        <v/>
      </c>
      <c r="AG22" s="21">
        <f t="shared" si="27"/>
        <v>752386.35672621883</v>
      </c>
      <c r="AH22" s="5"/>
      <c r="AI22" s="13">
        <f>COKE_MCSummary!K19</f>
        <v>0.117531182517482</v>
      </c>
      <c r="AJ22" s="12">
        <f t="shared" si="28"/>
        <v>171302.74725483189</v>
      </c>
      <c r="AK22" s="12">
        <f t="shared" si="14"/>
        <v>7581.7054274894163</v>
      </c>
      <c r="AL22" s="14">
        <f t="shared" si="29"/>
        <v>199908.95394006709</v>
      </c>
      <c r="AM22" s="13">
        <f>'VTSMX-MCSummary'!K19</f>
        <v>9.1250670960815849E-2</v>
      </c>
      <c r="AN22" s="12">
        <f t="shared" si="30"/>
        <v>1032019.3366795721</v>
      </c>
      <c r="AO22" s="12">
        <f t="shared" si="15"/>
        <v>45490.232564936501</v>
      </c>
      <c r="AP22" s="14">
        <f t="shared" si="31"/>
        <v>1175833.0404047698</v>
      </c>
      <c r="AQ22" s="13">
        <f>'VUSTX-MCSummary'!K19</f>
        <v>6.5359477124182904E-3</v>
      </c>
      <c r="AR22" s="12">
        <f t="shared" si="32"/>
        <v>305310.40787126415</v>
      </c>
      <c r="AS22" s="12">
        <f t="shared" si="16"/>
        <v>30326.821709957665</v>
      </c>
      <c r="AT22" s="14">
        <f t="shared" si="33"/>
        <v>337830.93696410564</v>
      </c>
      <c r="AU22" s="30">
        <f t="shared" si="17"/>
        <v>1713572.9313089426</v>
      </c>
      <c r="AV22" s="21" t="str">
        <f t="shared" si="2"/>
        <v/>
      </c>
      <c r="AW22" s="21">
        <f t="shared" si="34"/>
        <v>752386.35672621883</v>
      </c>
    </row>
    <row r="23" spans="1:49" ht="15" thickTop="1" thickBot="1" x14ac:dyDescent="0.6">
      <c r="A23" s="9">
        <f>COKE_MCSummary!D20</f>
        <v>2042</v>
      </c>
      <c r="C23" s="13">
        <f>COKE_MCSummary!I20</f>
        <v>-1.0860045542126422E-2</v>
      </c>
      <c r="D23" s="12">
        <f t="shared" si="18"/>
        <v>51695.120490053465</v>
      </c>
      <c r="E23" s="12">
        <f t="shared" si="3"/>
        <v>8339.8759702383577</v>
      </c>
      <c r="F23" s="14">
        <f t="shared" si="4"/>
        <v>59383.013664611652</v>
      </c>
      <c r="G23" s="13">
        <f>'VTSMX-MCSummary'!I20</f>
        <v>8.4451068057626276E-3</v>
      </c>
      <c r="H23" s="12">
        <f t="shared" si="19"/>
        <v>442608.9160048418</v>
      </c>
      <c r="I23" s="12">
        <f t="shared" si="5"/>
        <v>50039.255821430153</v>
      </c>
      <c r="J23" s="14">
        <f t="shared" si="6"/>
        <v>496808.63825500855</v>
      </c>
      <c r="K23" s="13">
        <f>'VUSTX-MCSummary'!I20</f>
        <v>-3.4582132564841397E-2</v>
      </c>
      <c r="L23" s="12">
        <f t="shared" si="20"/>
        <v>226476.85936425667</v>
      </c>
      <c r="M23" s="12">
        <f t="shared" si="7"/>
        <v>33359.503880953431</v>
      </c>
      <c r="N23" s="14">
        <f t="shared" si="8"/>
        <v>250850.66768629794</v>
      </c>
      <c r="O23" s="27">
        <f t="shared" si="9"/>
        <v>807042.31960591814</v>
      </c>
      <c r="P23" s="21" t="str">
        <f t="shared" si="0"/>
        <v/>
      </c>
      <c r="Q23" s="21">
        <f t="shared" si="35"/>
        <v>844124.99239884072</v>
      </c>
      <c r="R23" s="5"/>
      <c r="S23" s="13">
        <f>COKE_MCSummary!J20</f>
        <v>4.8400692072223972E-2</v>
      </c>
      <c r="T23" s="12">
        <f t="shared" si="21"/>
        <v>137840.97517432642</v>
      </c>
      <c r="U23" s="12">
        <f t="shared" si="10"/>
        <v>8339.8759702383577</v>
      </c>
      <c r="V23" s="14">
        <f t="shared" si="22"/>
        <v>153256.10550766846</v>
      </c>
      <c r="W23" s="13">
        <f>'VTSMX-MCSummary'!J20</f>
        <v>9.5107237166963676E-2</v>
      </c>
      <c r="X23" s="12">
        <f t="shared" si="23"/>
        <v>772722.03157570458</v>
      </c>
      <c r="Y23" s="12">
        <f t="shared" si="11"/>
        <v>50039.255821430153</v>
      </c>
      <c r="Z23" s="14">
        <f t="shared" si="24"/>
        <v>901011.84028941032</v>
      </c>
      <c r="AA23" s="13">
        <f>'VUSTX-MCSummary'!J20</f>
        <v>-1.2578616352200991E-3</v>
      </c>
      <c r="AB23" s="12">
        <f t="shared" si="25"/>
        <v>288221.79352098913</v>
      </c>
      <c r="AC23" s="12">
        <f t="shared" si="12"/>
        <v>33359.503880953431</v>
      </c>
      <c r="AD23" s="14">
        <f t="shared" si="26"/>
        <v>321176.79262533633</v>
      </c>
      <c r="AE23" s="27">
        <f t="shared" si="13"/>
        <v>1375444.7384224152</v>
      </c>
      <c r="AF23" s="21" t="str">
        <f t="shared" si="1"/>
        <v/>
      </c>
      <c r="AG23" s="21">
        <f t="shared" si="27"/>
        <v>844124.99239884072</v>
      </c>
      <c r="AH23" s="5"/>
      <c r="AI23" s="13">
        <f>COKE_MCSummary!K20</f>
        <v>5.4853583493522214E-2</v>
      </c>
      <c r="AJ23" s="12">
        <f t="shared" si="28"/>
        <v>199908.95394006709</v>
      </c>
      <c r="AK23" s="12">
        <f t="shared" si="14"/>
        <v>8339.8759702383577</v>
      </c>
      <c r="AL23" s="14">
        <f t="shared" si="29"/>
        <v>219672.02448921869</v>
      </c>
      <c r="AM23" s="13">
        <f>'VTSMX-MCSummary'!K20</f>
        <v>0.11787351431473195</v>
      </c>
      <c r="AN23" s="12">
        <f t="shared" si="30"/>
        <v>1175833.0404047698</v>
      </c>
      <c r="AO23" s="12">
        <f t="shared" si="15"/>
        <v>50039.255821430153</v>
      </c>
      <c r="AP23" s="14">
        <f t="shared" si="31"/>
        <v>1370370.1718834525</v>
      </c>
      <c r="AQ23" s="13">
        <f>'VUSTX-MCSummary'!K20</f>
        <v>1.6428571428571459E-2</v>
      </c>
      <c r="AR23" s="12">
        <f t="shared" si="32"/>
        <v>337830.93696410564</v>
      </c>
      <c r="AS23" s="12">
        <f t="shared" si="16"/>
        <v>33359.503880953431</v>
      </c>
      <c r="AT23" s="14">
        <f t="shared" si="33"/>
        <v>377288.56951608503</v>
      </c>
      <c r="AU23" s="30">
        <f t="shared" si="17"/>
        <v>1967330.7658887561</v>
      </c>
      <c r="AV23" s="21" t="str">
        <f t="shared" si="2"/>
        <v/>
      </c>
      <c r="AW23" s="21">
        <f t="shared" si="34"/>
        <v>844124.99239884072</v>
      </c>
    </row>
    <row r="24" spans="1:49" ht="15" thickTop="1" thickBot="1" x14ac:dyDescent="0.6">
      <c r="A24" s="9">
        <f>COKE_MCSummary!D21</f>
        <v>2043</v>
      </c>
      <c r="C24" s="13">
        <f>COKE_MCSummary!I21</f>
        <v>-2.0010720028586823E-2</v>
      </c>
      <c r="D24" s="12">
        <f t="shared" si="18"/>
        <v>59383.013664611652</v>
      </c>
      <c r="E24" s="12">
        <f t="shared" si="3"/>
        <v>9173.8635672621949</v>
      </c>
      <c r="F24" s="14">
        <f t="shared" si="4"/>
        <v>67185.004755552625</v>
      </c>
      <c r="G24" s="13">
        <f>'VTSMX-MCSummary'!I21</f>
        <v>4.2540561931142919E-3</v>
      </c>
      <c r="H24" s="12">
        <f t="shared" si="19"/>
        <v>496808.63825500855</v>
      </c>
      <c r="I24" s="12">
        <f t="shared" si="5"/>
        <v>55043.181403573173</v>
      </c>
      <c r="J24" s="14">
        <f t="shared" si="6"/>
        <v>554199.42830968183</v>
      </c>
      <c r="K24" s="13">
        <f>'VUSTX-MCSummary'!I21</f>
        <v>-3.892215568862286E-2</v>
      </c>
      <c r="L24" s="12">
        <f t="shared" si="20"/>
        <v>250850.66768629794</v>
      </c>
      <c r="M24" s="12">
        <f t="shared" si="7"/>
        <v>36695.45426904878</v>
      </c>
      <c r="N24" s="14">
        <f t="shared" si="8"/>
        <v>276354.20702894096</v>
      </c>
      <c r="O24" s="27">
        <f t="shared" si="9"/>
        <v>897738.64009417547</v>
      </c>
      <c r="P24" s="21" t="str">
        <f t="shared" si="0"/>
        <v/>
      </c>
      <c r="Q24" s="21">
        <f t="shared" si="35"/>
        <v>945037.49163872492</v>
      </c>
      <c r="R24" s="5"/>
      <c r="S24" s="13">
        <f>COKE_MCSummary!J21</f>
        <v>9.2268110429996886E-2</v>
      </c>
      <c r="T24" s="12">
        <f t="shared" si="21"/>
        <v>153256.10550766846</v>
      </c>
      <c r="U24" s="12">
        <f t="shared" si="10"/>
        <v>9173.8635672621949</v>
      </c>
      <c r="V24" s="14">
        <f t="shared" si="22"/>
        <v>177417.07539867735</v>
      </c>
      <c r="W24" s="13">
        <f>'VTSMX-MCSummary'!J21</f>
        <v>4.6664892854949867E-2</v>
      </c>
      <c r="X24" s="12">
        <f t="shared" si="23"/>
        <v>901011.84028941032</v>
      </c>
      <c r="Y24" s="12">
        <f t="shared" si="11"/>
        <v>55043.181403573173</v>
      </c>
      <c r="Z24" s="14">
        <f t="shared" si="24"/>
        <v>1000669.2268437232</v>
      </c>
      <c r="AA24" s="13">
        <f>'VUSTX-MCSummary'!J21</f>
        <v>-1.5325670498084304E-2</v>
      </c>
      <c r="AB24" s="12">
        <f t="shared" si="25"/>
        <v>321176.79262533633</v>
      </c>
      <c r="AC24" s="12">
        <f t="shared" si="12"/>
        <v>36695.45426904878</v>
      </c>
      <c r="AD24" s="14">
        <f t="shared" si="26"/>
        <v>352387.61475807265</v>
      </c>
      <c r="AE24" s="27">
        <f t="shared" si="13"/>
        <v>1530473.9170004732</v>
      </c>
      <c r="AF24" s="21" t="str">
        <f t="shared" si="1"/>
        <v/>
      </c>
      <c r="AG24" s="21">
        <f t="shared" si="27"/>
        <v>945037.49163872492</v>
      </c>
      <c r="AH24" s="5"/>
      <c r="AI24" s="13">
        <f>COKE_MCSummary!K21</f>
        <v>7.4205849329547685E-2</v>
      </c>
      <c r="AJ24" s="12">
        <f t="shared" si="28"/>
        <v>219672.02448921869</v>
      </c>
      <c r="AK24" s="12">
        <f t="shared" si="14"/>
        <v>9173.8635672621949</v>
      </c>
      <c r="AL24" s="14">
        <f t="shared" si="29"/>
        <v>245827.59154528662</v>
      </c>
      <c r="AM24" s="13">
        <f>'VTSMX-MCSummary'!K21</f>
        <v>4.7947577141438553E-2</v>
      </c>
      <c r="AN24" s="12">
        <f t="shared" si="30"/>
        <v>1370370.1718834525</v>
      </c>
      <c r="AO24" s="12">
        <f t="shared" si="15"/>
        <v>55043.181403573173</v>
      </c>
      <c r="AP24" s="14">
        <f t="shared" si="31"/>
        <v>1493758.4700021918</v>
      </c>
      <c r="AQ24" s="13">
        <f>'VUSTX-MCSummary'!K21</f>
        <v>-1.0101010101010142E-2</v>
      </c>
      <c r="AR24" s="12">
        <f t="shared" si="32"/>
        <v>377288.56951608503</v>
      </c>
      <c r="AS24" s="12">
        <f t="shared" si="16"/>
        <v>36695.45426904878</v>
      </c>
      <c r="AT24" s="14">
        <f t="shared" si="33"/>
        <v>409802.36697922333</v>
      </c>
      <c r="AU24" s="30">
        <f t="shared" si="17"/>
        <v>2149388.4285267019</v>
      </c>
      <c r="AV24" s="21" t="str">
        <f t="shared" si="2"/>
        <v>Reached</v>
      </c>
      <c r="AW24" s="21">
        <f t="shared" si="34"/>
        <v>945037.49163872492</v>
      </c>
    </row>
    <row r="25" spans="1:49" ht="15" thickTop="1" thickBot="1" x14ac:dyDescent="0.6">
      <c r="A25" s="9">
        <f>COKE_MCSummary!D22</f>
        <v>2044</v>
      </c>
      <c r="C25" s="13">
        <f>COKE_MCSummary!I22</f>
        <v>-8.2644228444315515E-2</v>
      </c>
      <c r="D25" s="12">
        <f t="shared" si="18"/>
        <v>67185.004755552625</v>
      </c>
      <c r="E25" s="12">
        <f t="shared" si="3"/>
        <v>10091.249923988415</v>
      </c>
      <c r="F25" s="14">
        <f t="shared" si="4"/>
        <v>70889.818234483944</v>
      </c>
      <c r="G25" s="13">
        <f>'VTSMX-MCSummary'!I22</f>
        <v>1.4046039797112737E-2</v>
      </c>
      <c r="H25" s="12">
        <f t="shared" si="19"/>
        <v>554199.42830968183</v>
      </c>
      <c r="I25" s="12">
        <f t="shared" si="5"/>
        <v>60547.499543930498</v>
      </c>
      <c r="J25" s="14">
        <f t="shared" si="6"/>
        <v>623381.68766739697</v>
      </c>
      <c r="K25" s="13">
        <f>'VUSTX-MCSummary'!I22</f>
        <v>-3.405572755417953E-2</v>
      </c>
      <c r="L25" s="12">
        <f t="shared" si="20"/>
        <v>276354.20702894096</v>
      </c>
      <c r="M25" s="12">
        <f t="shared" si="7"/>
        <v>40364.999695953658</v>
      </c>
      <c r="N25" s="14">
        <f t="shared" si="8"/>
        <v>305933.10370949574</v>
      </c>
      <c r="O25" s="27">
        <f t="shared" si="9"/>
        <v>1000204.6096113767</v>
      </c>
      <c r="P25" s="21" t="str">
        <f t="shared" si="0"/>
        <v/>
      </c>
      <c r="Q25" s="21">
        <f t="shared" si="35"/>
        <v>1056041.2408025975</v>
      </c>
      <c r="R25" s="5"/>
      <c r="S25" s="13">
        <f>COKE_MCSummary!J22</f>
        <v>8.3206337030070951E-2</v>
      </c>
      <c r="T25" s="12">
        <f t="shared" si="21"/>
        <v>177417.07539867735</v>
      </c>
      <c r="U25" s="12">
        <f t="shared" si="10"/>
        <v>10091.249923988415</v>
      </c>
      <c r="V25" s="14">
        <f t="shared" si="22"/>
        <v>203110.20623540768</v>
      </c>
      <c r="W25" s="13">
        <f>'VTSMX-MCSummary'!J22</f>
        <v>8.4214275003748701E-2</v>
      </c>
      <c r="X25" s="12">
        <f t="shared" si="23"/>
        <v>1000669.2268437232</v>
      </c>
      <c r="Y25" s="12">
        <f t="shared" si="11"/>
        <v>60547.499543930498</v>
      </c>
      <c r="Z25" s="14">
        <f t="shared" si="24"/>
        <v>1150586.3236222416</v>
      </c>
      <c r="AA25" s="13">
        <f>'VUSTX-MCSummary'!J22</f>
        <v>1.2755102040816054E-3</v>
      </c>
      <c r="AB25" s="12">
        <f t="shared" si="25"/>
        <v>352387.61475807265</v>
      </c>
      <c r="AC25" s="12">
        <f t="shared" si="12"/>
        <v>40364.999695953658</v>
      </c>
      <c r="AD25" s="14">
        <f t="shared" si="26"/>
        <v>393253.57442144217</v>
      </c>
      <c r="AE25" s="27">
        <f t="shared" si="13"/>
        <v>1746950.1042790913</v>
      </c>
      <c r="AF25" s="21" t="str">
        <f t="shared" si="1"/>
        <v/>
      </c>
      <c r="AG25" s="21">
        <f t="shared" si="27"/>
        <v>1056041.2408025975</v>
      </c>
      <c r="AH25" s="5"/>
      <c r="AI25" s="13">
        <f>COKE_MCSummary!K22</f>
        <v>9.6052948613073591E-2</v>
      </c>
      <c r="AJ25" s="12">
        <f t="shared" si="28"/>
        <v>245827.59154528662</v>
      </c>
      <c r="AK25" s="12">
        <f t="shared" si="14"/>
        <v>10091.249923988415</v>
      </c>
      <c r="AL25" s="14">
        <f t="shared" si="29"/>
        <v>280500.60079804069</v>
      </c>
      <c r="AM25" s="13">
        <f>'VTSMX-MCSummary'!K22</f>
        <v>0.10866856117956715</v>
      </c>
      <c r="AN25" s="12">
        <f t="shared" si="30"/>
        <v>1493758.4700021918</v>
      </c>
      <c r="AO25" s="12">
        <f t="shared" si="15"/>
        <v>60547.499543930498</v>
      </c>
      <c r="AP25" s="14">
        <f t="shared" si="31"/>
        <v>1723210.1628895116</v>
      </c>
      <c r="AQ25" s="13">
        <f>'VUSTX-MCSummary'!K22</f>
        <v>1.0706638115631717E-2</v>
      </c>
      <c r="AR25" s="12">
        <f t="shared" si="32"/>
        <v>409802.36697922333</v>
      </c>
      <c r="AS25" s="12">
        <f t="shared" si="16"/>
        <v>40364.999695953658</v>
      </c>
      <c r="AT25" s="14">
        <f t="shared" si="33"/>
        <v>454987.14576163504</v>
      </c>
      <c r="AU25" s="30">
        <f t="shared" si="17"/>
        <v>2458697.9094491871</v>
      </c>
      <c r="AV25" s="21" t="str">
        <f t="shared" si="2"/>
        <v>Reached</v>
      </c>
      <c r="AW25" s="21">
        <f t="shared" si="34"/>
        <v>1056041.2408025975</v>
      </c>
    </row>
    <row r="26" spans="1:49" ht="15" thickTop="1" thickBot="1" x14ac:dyDescent="0.6">
      <c r="A26" s="9">
        <f>COKE_MCSummary!D23</f>
        <v>2045</v>
      </c>
      <c r="C26" s="13">
        <f>COKE_MCSummary!I23</f>
        <v>-1.1940298507462676E-2</v>
      </c>
      <c r="D26" s="12">
        <f t="shared" si="18"/>
        <v>70889.818234483944</v>
      </c>
      <c r="E26" s="12">
        <f t="shared" si="3"/>
        <v>11100.374916387256</v>
      </c>
      <c r="F26" s="14">
        <f t="shared" si="4"/>
        <v>81011.20576996528</v>
      </c>
      <c r="G26" s="13">
        <f>'VTSMX-MCSummary'!I23</f>
        <v>-5.8869701726844024E-3</v>
      </c>
      <c r="H26" s="12">
        <f t="shared" si="19"/>
        <v>623381.68766739697</v>
      </c>
      <c r="I26" s="12">
        <f t="shared" si="5"/>
        <v>66602.249498323552</v>
      </c>
      <c r="J26" s="14">
        <f t="shared" si="6"/>
        <v>685922.02230799454</v>
      </c>
      <c r="K26" s="13">
        <f>'VUSTX-MCSummary'!I23</f>
        <v>-3.5256410256410214E-2</v>
      </c>
      <c r="L26" s="12">
        <f t="shared" si="20"/>
        <v>305933.10370949574</v>
      </c>
      <c r="M26" s="12">
        <f t="shared" si="7"/>
        <v>44401.499665549025</v>
      </c>
      <c r="N26" s="14">
        <f t="shared" si="8"/>
        <v>337983.0628714374</v>
      </c>
      <c r="O26" s="27">
        <f t="shared" si="9"/>
        <v>1104916.2909493973</v>
      </c>
      <c r="P26" s="21" t="str">
        <f t="shared" si="0"/>
        <v/>
      </c>
      <c r="Q26" s="21">
        <f t="shared" si="35"/>
        <v>1178145.3648828573</v>
      </c>
      <c r="R26" s="5"/>
      <c r="S26" s="13">
        <f>COKE_MCSummary!J23</f>
        <v>5.5655737863682789E-2</v>
      </c>
      <c r="T26" s="12">
        <f t="shared" si="21"/>
        <v>203110.20623540768</v>
      </c>
      <c r="U26" s="12">
        <f t="shared" si="10"/>
        <v>11100.374916387256</v>
      </c>
      <c r="V26" s="14">
        <f t="shared" si="22"/>
        <v>226132.6291040064</v>
      </c>
      <c r="W26" s="13">
        <f>'VTSMX-MCSummary'!J23</f>
        <v>7.626781169382077E-2</v>
      </c>
      <c r="X26" s="12">
        <f t="shared" si="23"/>
        <v>1150586.3236222416</v>
      </c>
      <c r="Y26" s="12">
        <f t="shared" si="11"/>
        <v>66602.249498323552</v>
      </c>
      <c r="Z26" s="14">
        <f t="shared" si="24"/>
        <v>1310020.8820111947</v>
      </c>
      <c r="AA26" s="13">
        <f>'VUSTX-MCSummary'!J23</f>
        <v>-1.1612903225806433E-2</v>
      </c>
      <c r="AB26" s="12">
        <f t="shared" si="25"/>
        <v>393253.57442144217</v>
      </c>
      <c r="AC26" s="12">
        <f t="shared" si="12"/>
        <v>44401.499665549025</v>
      </c>
      <c r="AD26" s="14">
        <f t="shared" si="26"/>
        <v>432572.6280653358</v>
      </c>
      <c r="AE26" s="27">
        <f t="shared" si="13"/>
        <v>1968726.1391805368</v>
      </c>
      <c r="AF26" s="21" t="str">
        <f t="shared" si="1"/>
        <v/>
      </c>
      <c r="AG26" s="21">
        <f t="shared" si="27"/>
        <v>1178145.3648828573</v>
      </c>
      <c r="AH26" s="5"/>
      <c r="AI26" s="13">
        <f>COKE_MCSummary!K23</f>
        <v>4.7752988810690337E-2</v>
      </c>
      <c r="AJ26" s="12">
        <f t="shared" si="28"/>
        <v>280500.60079804069</v>
      </c>
      <c r="AK26" s="12">
        <f t="shared" si="14"/>
        <v>11100.374916387256</v>
      </c>
      <c r="AL26" s="14">
        <f t="shared" si="29"/>
        <v>305525.79384490539</v>
      </c>
      <c r="AM26" s="13">
        <f>'VTSMX-MCSummary'!K23</f>
        <v>9.8944805620707177E-2</v>
      </c>
      <c r="AN26" s="12">
        <f t="shared" si="30"/>
        <v>1723210.1628895116</v>
      </c>
      <c r="AO26" s="12">
        <f t="shared" si="15"/>
        <v>66602.249498323552</v>
      </c>
      <c r="AP26" s="14">
        <f t="shared" si="31"/>
        <v>1966905.0536290784</v>
      </c>
      <c r="AQ26" s="13">
        <f>'VUSTX-MCSummary'!K23</f>
        <v>7.0871722182848798E-3</v>
      </c>
      <c r="AR26" s="12">
        <f t="shared" si="32"/>
        <v>454987.14576163504</v>
      </c>
      <c r="AS26" s="12">
        <f t="shared" si="16"/>
        <v>44401.499665549025</v>
      </c>
      <c r="AT26" s="14">
        <f t="shared" si="33"/>
        <v>502927.8987611825</v>
      </c>
      <c r="AU26" s="30">
        <f t="shared" si="17"/>
        <v>2775358.7462351662</v>
      </c>
      <c r="AV26" s="21" t="str">
        <f t="shared" si="2"/>
        <v>Reached</v>
      </c>
      <c r="AW26" s="21">
        <f t="shared" si="34"/>
        <v>1178145.3648828573</v>
      </c>
    </row>
    <row r="27" spans="1:49" ht="15" thickTop="1" thickBot="1" x14ac:dyDescent="0.6">
      <c r="A27" s="9">
        <f>COKE_MCSummary!D24</f>
        <v>2046</v>
      </c>
      <c r="C27" s="13">
        <f>COKE_MCSummary!I24</f>
        <v>-2.441347503509126E-2</v>
      </c>
      <c r="D27" s="12">
        <f t="shared" si="18"/>
        <v>81011.20576996528</v>
      </c>
      <c r="E27" s="12">
        <f t="shared" si="3"/>
        <v>12210.412408025983</v>
      </c>
      <c r="F27" s="14">
        <f t="shared" si="4"/>
        <v>90945.754529872051</v>
      </c>
      <c r="G27" s="13">
        <f>'VTSMX-MCSummary'!I24</f>
        <v>1.5931254224196115E-2</v>
      </c>
      <c r="H27" s="12">
        <f t="shared" si="19"/>
        <v>685922.02230799454</v>
      </c>
      <c r="I27" s="12">
        <f t="shared" si="5"/>
        <v>73262.474448155917</v>
      </c>
      <c r="J27" s="14">
        <f t="shared" si="6"/>
        <v>771279.25797704107</v>
      </c>
      <c r="K27" s="13">
        <f>'VUSTX-MCSummary'!I24</f>
        <v>-2.9702970297029806E-2</v>
      </c>
      <c r="L27" s="12">
        <f t="shared" si="20"/>
        <v>337983.0628714374</v>
      </c>
      <c r="M27" s="12">
        <f t="shared" si="7"/>
        <v>48841.64963210393</v>
      </c>
      <c r="N27" s="14">
        <f t="shared" si="8"/>
        <v>375334.86955789151</v>
      </c>
      <c r="O27" s="27">
        <f t="shared" si="9"/>
        <v>1237559.8820648047</v>
      </c>
      <c r="P27" s="21" t="str">
        <f t="shared" si="0"/>
        <v/>
      </c>
      <c r="Q27" s="21">
        <f t="shared" si="35"/>
        <v>1312459.9013711431</v>
      </c>
      <c r="R27" s="5"/>
      <c r="S27" s="13">
        <f>COKE_MCSummary!J24</f>
        <v>0.15018271003423747</v>
      </c>
      <c r="T27" s="12">
        <f t="shared" si="21"/>
        <v>226132.6291040064</v>
      </c>
      <c r="U27" s="12">
        <f t="shared" si="10"/>
        <v>12210.412408025983</v>
      </c>
      <c r="V27" s="14">
        <f t="shared" si="22"/>
        <v>274138.04540411214</v>
      </c>
      <c r="W27" s="13">
        <f>'VTSMX-MCSummary'!J24</f>
        <v>7.591757063773949E-2</v>
      </c>
      <c r="X27" s="12">
        <f t="shared" si="23"/>
        <v>1310020.8820111947</v>
      </c>
      <c r="Y27" s="12">
        <f t="shared" si="11"/>
        <v>73262.474448155917</v>
      </c>
      <c r="Z27" s="14">
        <f t="shared" si="24"/>
        <v>1488298.8683853627</v>
      </c>
      <c r="AA27" s="13">
        <f>'VUSTX-MCSummary'!J24</f>
        <v>0</v>
      </c>
      <c r="AB27" s="12">
        <f t="shared" si="25"/>
        <v>432572.6280653358</v>
      </c>
      <c r="AC27" s="12">
        <f t="shared" si="12"/>
        <v>48841.64963210393</v>
      </c>
      <c r="AD27" s="14">
        <f t="shared" si="26"/>
        <v>481414.27769743971</v>
      </c>
      <c r="AE27" s="27">
        <f t="shared" si="13"/>
        <v>2243851.1914869146</v>
      </c>
      <c r="AF27" s="21" t="str">
        <f t="shared" si="1"/>
        <v>Reached</v>
      </c>
      <c r="AG27" s="21">
        <f t="shared" si="27"/>
        <v>1312459.9013711431</v>
      </c>
      <c r="AH27" s="5"/>
      <c r="AI27" s="13">
        <f>COKE_MCSummary!K24</f>
        <v>0.13656236609422667</v>
      </c>
      <c r="AJ27" s="12">
        <f t="shared" si="28"/>
        <v>305525.79384490539</v>
      </c>
      <c r="AK27" s="12">
        <f t="shared" si="14"/>
        <v>12210.412408025983</v>
      </c>
      <c r="AL27" s="14">
        <f t="shared" si="29"/>
        <v>361127.01437263488</v>
      </c>
      <c r="AM27" s="13">
        <f>'VTSMX-MCSummary'!K24</f>
        <v>8.9684128068323585E-2</v>
      </c>
      <c r="AN27" s="12">
        <f t="shared" si="30"/>
        <v>1966905.0536290784</v>
      </c>
      <c r="AO27" s="12">
        <f t="shared" si="15"/>
        <v>73262.474448155917</v>
      </c>
      <c r="AP27" s="14">
        <f t="shared" si="31"/>
        <v>2223138.1739461483</v>
      </c>
      <c r="AQ27" s="13">
        <f>'VUSTX-MCSummary'!K24</f>
        <v>5.6377730796335502E-3</v>
      </c>
      <c r="AR27" s="12">
        <f t="shared" si="32"/>
        <v>502927.8987611825</v>
      </c>
      <c r="AS27" s="12">
        <f t="shared" si="16"/>
        <v>48841.64963210393</v>
      </c>
      <c r="AT27" s="14">
        <f t="shared" si="33"/>
        <v>554880.29989937961</v>
      </c>
      <c r="AU27" s="30">
        <f t="shared" si="17"/>
        <v>3139145.4882181627</v>
      </c>
      <c r="AV27" s="21" t="str">
        <f t="shared" si="2"/>
        <v>Reached</v>
      </c>
      <c r="AW27" s="21">
        <f t="shared" si="34"/>
        <v>1312459.9013711431</v>
      </c>
    </row>
    <row r="28" spans="1:49" ht="15" thickTop="1" thickBot="1" x14ac:dyDescent="0.6">
      <c r="A28" s="9">
        <f>COKE_MCSummary!D25</f>
        <v>2047</v>
      </c>
      <c r="C28" s="13">
        <f>COKE_MCSummary!I25</f>
        <v>6.7221032714237048E-3</v>
      </c>
      <c r="D28" s="12">
        <f t="shared" si="18"/>
        <v>90945.754529872051</v>
      </c>
      <c r="E28" s="12">
        <f t="shared" si="3"/>
        <v>13431.453648828581</v>
      </c>
      <c r="F28" s="14">
        <f t="shared" si="4"/>
        <v>105078.84255126075</v>
      </c>
      <c r="G28" s="13">
        <f>'VTSMX-MCSummary'!I25</f>
        <v>3.943065974225916E-3</v>
      </c>
      <c r="H28" s="12">
        <f t="shared" si="19"/>
        <v>771279.25797704107</v>
      </c>
      <c r="I28" s="12">
        <f t="shared" si="5"/>
        <v>80588.721892971516</v>
      </c>
      <c r="J28" s="14">
        <f t="shared" si="6"/>
        <v>855226.95151597064</v>
      </c>
      <c r="K28" s="13">
        <f>'VUSTX-MCSummary'!I25</f>
        <v>-1.3377926421404545E-2</v>
      </c>
      <c r="L28" s="12">
        <f t="shared" si="20"/>
        <v>375334.86955789151</v>
      </c>
      <c r="M28" s="12">
        <f t="shared" si="7"/>
        <v>53725.814595314325</v>
      </c>
      <c r="N28" s="14">
        <f t="shared" si="8"/>
        <v>423320.74189028674</v>
      </c>
      <c r="O28" s="27">
        <f t="shared" si="9"/>
        <v>1383626.535957518</v>
      </c>
      <c r="P28" s="21" t="str">
        <f t="shared" si="0"/>
        <v/>
      </c>
      <c r="Q28" s="21">
        <f t="shared" si="35"/>
        <v>1460205.8915082575</v>
      </c>
      <c r="R28" s="5"/>
      <c r="S28" s="13">
        <f>COKE_MCSummary!J25</f>
        <v>2.2023467444514801E-2</v>
      </c>
      <c r="T28" s="12">
        <f t="shared" si="21"/>
        <v>274138.04540411214</v>
      </c>
      <c r="U28" s="12">
        <f t="shared" si="10"/>
        <v>13431.453648828581</v>
      </c>
      <c r="V28" s="14">
        <f t="shared" si="22"/>
        <v>293902.7765533686</v>
      </c>
      <c r="W28" s="13">
        <f>'VTSMX-MCSummary'!J25</f>
        <v>7.1527251660056121E-2</v>
      </c>
      <c r="X28" s="12">
        <f t="shared" si="23"/>
        <v>1488298.8683853627</v>
      </c>
      <c r="Y28" s="12">
        <f t="shared" si="11"/>
        <v>80588.721892971516</v>
      </c>
      <c r="Z28" s="14">
        <f t="shared" si="24"/>
        <v>1681105.8077745114</v>
      </c>
      <c r="AA28" s="13">
        <f>'VUSTX-MCSummary'!J25</f>
        <v>2.5740025740025193E-3</v>
      </c>
      <c r="AB28" s="12">
        <f t="shared" si="25"/>
        <v>481414.27769743971</v>
      </c>
      <c r="AC28" s="12">
        <f t="shared" si="12"/>
        <v>53725.814595314325</v>
      </c>
      <c r="AD28" s="14">
        <f t="shared" si="26"/>
        <v>536517.54426776746</v>
      </c>
      <c r="AE28" s="27">
        <f t="shared" si="13"/>
        <v>2511526.1285956474</v>
      </c>
      <c r="AF28" s="21" t="str">
        <f t="shared" si="1"/>
        <v>Reached</v>
      </c>
      <c r="AG28" s="21">
        <f t="shared" si="27"/>
        <v>1460205.8915082575</v>
      </c>
      <c r="AH28" s="5"/>
      <c r="AI28" s="13">
        <f>COKE_MCSummary!K25</f>
        <v>4.8766608271623019E-2</v>
      </c>
      <c r="AJ28" s="12">
        <f t="shared" si="28"/>
        <v>361127.01437263488</v>
      </c>
      <c r="AK28" s="12">
        <f t="shared" si="14"/>
        <v>13431.453648828581</v>
      </c>
      <c r="AL28" s="14">
        <f t="shared" si="29"/>
        <v>392824.41410628537</v>
      </c>
      <c r="AM28" s="13">
        <f>'VTSMX-MCSummary'!K25</f>
        <v>9.4057370842041813E-2</v>
      </c>
      <c r="AN28" s="12">
        <f t="shared" si="30"/>
        <v>2223138.1739461483</v>
      </c>
      <c r="AO28" s="12">
        <f t="shared" si="15"/>
        <v>80588.721892971516</v>
      </c>
      <c r="AP28" s="14">
        <f t="shared" si="31"/>
        <v>2520409.3907998456</v>
      </c>
      <c r="AQ28" s="13">
        <f>'VUSTX-MCSummary'!K25</f>
        <v>1.6632016632016647E-2</v>
      </c>
      <c r="AR28" s="12">
        <f t="shared" si="32"/>
        <v>554880.29989937961</v>
      </c>
      <c r="AS28" s="12">
        <f t="shared" si="16"/>
        <v>53725.814595314325</v>
      </c>
      <c r="AT28" s="14">
        <f t="shared" si="33"/>
        <v>618728.46151331672</v>
      </c>
      <c r="AU28" s="30">
        <f t="shared" si="17"/>
        <v>3531962.2664194475</v>
      </c>
      <c r="AV28" s="21" t="str">
        <f t="shared" si="2"/>
        <v>Reached</v>
      </c>
      <c r="AW28" s="21">
        <f t="shared" si="34"/>
        <v>1460205.8915082575</v>
      </c>
    </row>
    <row r="29" spans="1:49" ht="15" thickTop="1" thickBot="1" x14ac:dyDescent="0.6">
      <c r="A29" s="9">
        <f>COKE_MCSummary!D26</f>
        <v>2048</v>
      </c>
      <c r="C29" s="13">
        <f>COKE_MCSummary!I26</f>
        <v>-2.9739014510588174E-2</v>
      </c>
      <c r="D29" s="12">
        <f t="shared" si="18"/>
        <v>105078.84255126075</v>
      </c>
      <c r="E29" s="12">
        <f t="shared" si="3"/>
        <v>14774.59901371144</v>
      </c>
      <c r="F29" s="14">
        <f t="shared" si="4"/>
        <v>116289.11832712755</v>
      </c>
      <c r="G29" s="13">
        <f>'VTSMX-MCSummary'!I26</f>
        <v>1.4314153000284302E-2</v>
      </c>
      <c r="H29" s="12">
        <f t="shared" si="19"/>
        <v>855226.95151597064</v>
      </c>
      <c r="I29" s="12">
        <f t="shared" si="5"/>
        <v>88647.594082268668</v>
      </c>
      <c r="J29" s="14">
        <f t="shared" si="6"/>
        <v>957385.31025700644</v>
      </c>
      <c r="K29" s="13">
        <f>'VUSTX-MCSummary'!I26</f>
        <v>-2.3972602739726127E-2</v>
      </c>
      <c r="L29" s="12">
        <f t="shared" si="20"/>
        <v>423320.74189028674</v>
      </c>
      <c r="M29" s="12">
        <f t="shared" si="7"/>
        <v>59098.396054845762</v>
      </c>
      <c r="N29" s="14">
        <f t="shared" si="8"/>
        <v>470854.2955971327</v>
      </c>
      <c r="O29" s="27">
        <f t="shared" si="9"/>
        <v>1544528.7241812667</v>
      </c>
      <c r="P29" s="21" t="str">
        <f t="shared" si="0"/>
        <v/>
      </c>
      <c r="Q29" s="21">
        <f t="shared" si="35"/>
        <v>1622726.4806590835</v>
      </c>
      <c r="R29" s="5"/>
      <c r="S29" s="13">
        <f>COKE_MCSummary!J26</f>
        <v>0.13519695398258416</v>
      </c>
      <c r="T29" s="12">
        <f t="shared" si="21"/>
        <v>293902.7765533686</v>
      </c>
      <c r="U29" s="12">
        <f t="shared" si="10"/>
        <v>14774.59901371144</v>
      </c>
      <c r="V29" s="14">
        <f t="shared" si="22"/>
        <v>350409.61650708743</v>
      </c>
      <c r="W29" s="13">
        <f>'VTSMX-MCSummary'!J26</f>
        <v>6.4573953643488446E-2</v>
      </c>
      <c r="X29" s="12">
        <f t="shared" si="23"/>
        <v>1681105.8077745114</v>
      </c>
      <c r="Y29" s="12">
        <f t="shared" si="11"/>
        <v>88647.594082268668</v>
      </c>
      <c r="Z29" s="14">
        <f t="shared" si="24"/>
        <v>1884033.3759886858</v>
      </c>
      <c r="AA29" s="13">
        <f>'VUSTX-MCSummary'!J26</f>
        <v>-1.2886597938144056E-3</v>
      </c>
      <c r="AB29" s="12">
        <f t="shared" si="25"/>
        <v>536517.54426776746</v>
      </c>
      <c r="AC29" s="12">
        <f t="shared" si="12"/>
        <v>59098.396054845762</v>
      </c>
      <c r="AD29" s="14">
        <f t="shared" si="26"/>
        <v>594848.39400776452</v>
      </c>
      <c r="AE29" s="27">
        <f t="shared" si="13"/>
        <v>2829291.3865035381</v>
      </c>
      <c r="AF29" s="21" t="str">
        <f t="shared" si="1"/>
        <v>Reached</v>
      </c>
      <c r="AG29" s="21">
        <f t="shared" si="27"/>
        <v>1622726.4806590835</v>
      </c>
      <c r="AH29" s="5"/>
      <c r="AI29" s="13">
        <f>COKE_MCSummary!K26</f>
        <v>9.0379456671071223E-2</v>
      </c>
      <c r="AJ29" s="12">
        <f t="shared" si="28"/>
        <v>392824.41410628537</v>
      </c>
      <c r="AK29" s="12">
        <f t="shared" si="14"/>
        <v>14774.59901371144</v>
      </c>
      <c r="AL29" s="14">
        <f t="shared" si="29"/>
        <v>444437.59046544693</v>
      </c>
      <c r="AM29" s="13">
        <f>'VTSMX-MCSummary'!K26</f>
        <v>7.7473053892215635E-2</v>
      </c>
      <c r="AN29" s="12">
        <f t="shared" si="30"/>
        <v>2520409.3907998456</v>
      </c>
      <c r="AO29" s="12">
        <f t="shared" si="15"/>
        <v>88647.594082268668</v>
      </c>
      <c r="AP29" s="14">
        <f t="shared" si="31"/>
        <v>2811188.5972797484</v>
      </c>
      <c r="AQ29" s="13">
        <f>'VUSTX-MCSummary'!K26</f>
        <v>6.882312456985523E-3</v>
      </c>
      <c r="AR29" s="12">
        <f t="shared" si="32"/>
        <v>618728.46151331672</v>
      </c>
      <c r="AS29" s="12">
        <f t="shared" si="16"/>
        <v>59098.396054845762</v>
      </c>
      <c r="AT29" s="14">
        <f t="shared" si="33"/>
        <v>682491.87379368313</v>
      </c>
      <c r="AU29" s="30">
        <f t="shared" si="17"/>
        <v>3938118.0615388784</v>
      </c>
      <c r="AV29" s="21" t="str">
        <f t="shared" si="2"/>
        <v>Reached</v>
      </c>
      <c r="AW29" s="21">
        <f t="shared" si="34"/>
        <v>1622726.4806590835</v>
      </c>
    </row>
    <row r="30" spans="1:49" ht="15" thickTop="1" thickBot="1" x14ac:dyDescent="0.6">
      <c r="A30" s="9">
        <f>COKE_MCSummary!D27</f>
        <v>2049</v>
      </c>
      <c r="C30" s="13">
        <f>COKE_MCSummary!I27</f>
        <v>-5.0298885238838943E-2</v>
      </c>
      <c r="D30" s="12">
        <f t="shared" si="18"/>
        <v>116289.11832712755</v>
      </c>
      <c r="E30" s="12">
        <f t="shared" si="3"/>
        <v>16252.058915082585</v>
      </c>
      <c r="F30" s="14">
        <f t="shared" si="4"/>
        <v>125874.50377868359</v>
      </c>
      <c r="G30" s="13">
        <f>'VTSMX-MCSummary'!I27</f>
        <v>-8.9909134385461279E-3</v>
      </c>
      <c r="H30" s="12">
        <f t="shared" si="19"/>
        <v>957385.31025700644</v>
      </c>
      <c r="I30" s="12">
        <f t="shared" si="5"/>
        <v>97512.353490495545</v>
      </c>
      <c r="J30" s="14">
        <f t="shared" si="6"/>
        <v>1045413.1701662238</v>
      </c>
      <c r="K30" s="13">
        <f>'VUSTX-MCSummary'!I27</f>
        <v>-4.2857142857142899E-2</v>
      </c>
      <c r="L30" s="12">
        <f t="shared" si="20"/>
        <v>470854.2955971327</v>
      </c>
      <c r="M30" s="12">
        <f t="shared" si="7"/>
        <v>65008.235660330341</v>
      </c>
      <c r="N30" s="14">
        <f t="shared" si="8"/>
        <v>512896.99420357175</v>
      </c>
      <c r="O30" s="27">
        <f t="shared" si="9"/>
        <v>1684184.668148479</v>
      </c>
      <c r="P30" s="21" t="str">
        <f t="shared" si="0"/>
        <v/>
      </c>
      <c r="Q30" s="21">
        <f t="shared" si="35"/>
        <v>1801499.1287249918</v>
      </c>
      <c r="R30" s="5"/>
      <c r="S30" s="13">
        <f>COKE_MCSummary!J27</f>
        <v>6.6833731508870939E-2</v>
      </c>
      <c r="T30" s="12">
        <f t="shared" si="21"/>
        <v>350409.61650708743</v>
      </c>
      <c r="U30" s="12">
        <f t="shared" si="10"/>
        <v>16252.058915082585</v>
      </c>
      <c r="V30" s="14">
        <f t="shared" si="22"/>
        <v>391167.04339192813</v>
      </c>
      <c r="W30" s="13">
        <f>'VTSMX-MCSummary'!J27</f>
        <v>9.7573515580914233E-2</v>
      </c>
      <c r="X30" s="12">
        <f t="shared" si="23"/>
        <v>1884033.3759886858</v>
      </c>
      <c r="Y30" s="12">
        <f t="shared" si="11"/>
        <v>97512.353490495545</v>
      </c>
      <c r="Z30" s="14">
        <f t="shared" si="24"/>
        <v>2174892.1125888126</v>
      </c>
      <c r="AA30" s="13">
        <f>'VUSTX-MCSummary'!J27</f>
        <v>-5.1813471502590719E-3</v>
      </c>
      <c r="AB30" s="12">
        <f t="shared" si="25"/>
        <v>594848.39400776452</v>
      </c>
      <c r="AC30" s="12">
        <f t="shared" si="12"/>
        <v>65008.235660330341</v>
      </c>
      <c r="AD30" s="14">
        <f t="shared" si="26"/>
        <v>656437.68340038462</v>
      </c>
      <c r="AE30" s="27">
        <f t="shared" si="13"/>
        <v>3222496.8393811253</v>
      </c>
      <c r="AF30" s="21" t="str">
        <f t="shared" si="1"/>
        <v>Reached</v>
      </c>
      <c r="AG30" s="21">
        <f t="shared" si="27"/>
        <v>1801499.1287249918</v>
      </c>
      <c r="AH30" s="5"/>
      <c r="AI30" s="13">
        <f>COKE_MCSummary!K27</f>
        <v>5.8247539587225491E-2</v>
      </c>
      <c r="AJ30" s="12">
        <f t="shared" si="28"/>
        <v>444437.59046544693</v>
      </c>
      <c r="AK30" s="12">
        <f t="shared" si="14"/>
        <v>16252.058915082585</v>
      </c>
      <c r="AL30" s="14">
        <f t="shared" si="29"/>
        <v>487523.68797024695</v>
      </c>
      <c r="AM30" s="13">
        <f>'VTSMX-MCSummary'!K27</f>
        <v>0.11239144068967719</v>
      </c>
      <c r="AN30" s="12">
        <f t="shared" si="30"/>
        <v>2811188.5972797484</v>
      </c>
      <c r="AO30" s="12">
        <f t="shared" si="15"/>
        <v>97512.353490495545</v>
      </c>
      <c r="AP30" s="14">
        <f t="shared" si="31"/>
        <v>3235614.0411627451</v>
      </c>
      <c r="AQ30" s="13">
        <f>'VUSTX-MCSummary'!K27</f>
        <v>4.7945205479452248E-3</v>
      </c>
      <c r="AR30" s="12">
        <f t="shared" si="32"/>
        <v>682491.87379368313</v>
      </c>
      <c r="AS30" s="12">
        <f t="shared" si="16"/>
        <v>65008.235660330341</v>
      </c>
      <c r="AT30" s="14">
        <f t="shared" si="33"/>
        <v>751084.01408838201</v>
      </c>
      <c r="AU30" s="30">
        <f t="shared" si="17"/>
        <v>4474221.7432213742</v>
      </c>
      <c r="AV30" s="21" t="str">
        <f t="shared" si="2"/>
        <v>Reached</v>
      </c>
      <c r="AW30" s="21">
        <f t="shared" si="34"/>
        <v>1801499.1287249918</v>
      </c>
    </row>
    <row r="31" spans="1:49" ht="15" thickTop="1" thickBot="1" x14ac:dyDescent="0.6">
      <c r="A31" s="9">
        <f>COKE_MCSummary!D28</f>
        <v>2050</v>
      </c>
      <c r="C31" s="13">
        <f>COKE_MCSummary!I28</f>
        <v>-6.3516609392898077E-2</v>
      </c>
      <c r="D31" s="12">
        <f t="shared" si="18"/>
        <v>125874.50377868359</v>
      </c>
      <c r="E31" s="12">
        <f t="shared" si="3"/>
        <v>17877.264806590847</v>
      </c>
      <c r="F31" s="14">
        <f t="shared" si="4"/>
        <v>134621.14365050528</v>
      </c>
      <c r="G31" s="13">
        <f>'VTSMX-MCSummary'!I28</f>
        <v>2.3353573096683792E-2</v>
      </c>
      <c r="H31" s="12">
        <f t="shared" si="19"/>
        <v>1045413.1701662238</v>
      </c>
      <c r="I31" s="12">
        <f t="shared" si="5"/>
        <v>107263.5888395451</v>
      </c>
      <c r="J31" s="14">
        <f t="shared" si="6"/>
        <v>1179595.8799540587</v>
      </c>
      <c r="K31" s="13">
        <f>'VUSTX-MCSummary'!I28</f>
        <v>-1.8181818181818118E-2</v>
      </c>
      <c r="L31" s="12">
        <f t="shared" si="20"/>
        <v>512896.99420357175</v>
      </c>
      <c r="M31" s="12">
        <f t="shared" si="7"/>
        <v>71509.059226363388</v>
      </c>
      <c r="N31" s="14">
        <f t="shared" si="8"/>
        <v>573780.48882211815</v>
      </c>
      <c r="O31" s="27">
        <f t="shared" si="9"/>
        <v>1887997.512426682</v>
      </c>
      <c r="P31" s="21" t="str">
        <f t="shared" si="0"/>
        <v/>
      </c>
      <c r="Q31" s="21">
        <f t="shared" si="35"/>
        <v>1998149.0415974911</v>
      </c>
      <c r="R31" s="5"/>
      <c r="S31" s="13">
        <f>COKE_MCSummary!J28</f>
        <v>0.10671874836809507</v>
      </c>
      <c r="T31" s="12">
        <f t="shared" si="21"/>
        <v>391167.04339192813</v>
      </c>
      <c r="U31" s="12">
        <f t="shared" si="10"/>
        <v>17877.264806590847</v>
      </c>
      <c r="V31" s="14">
        <f t="shared" si="22"/>
        <v>452697.00479655829</v>
      </c>
      <c r="W31" s="13">
        <f>'VTSMX-MCSummary'!J28</f>
        <v>9.0053287994796671E-2</v>
      </c>
      <c r="X31" s="12">
        <f t="shared" si="23"/>
        <v>2174892.1125888126</v>
      </c>
      <c r="Y31" s="12">
        <f t="shared" si="11"/>
        <v>107263.5888395451</v>
      </c>
      <c r="Z31" s="14">
        <f t="shared" si="24"/>
        <v>2487671.3260580525</v>
      </c>
      <c r="AA31" s="13">
        <f>'VUSTX-MCSummary'!J28</f>
        <v>-3.9011703511052484E-3</v>
      </c>
      <c r="AB31" s="12">
        <f t="shared" si="25"/>
        <v>656437.68340038462</v>
      </c>
      <c r="AC31" s="12">
        <f t="shared" si="12"/>
        <v>71509.059226363388</v>
      </c>
      <c r="AD31" s="14">
        <f t="shared" si="26"/>
        <v>725106.89837722888</v>
      </c>
      <c r="AE31" s="27">
        <f t="shared" si="13"/>
        <v>3665475.2292318395</v>
      </c>
      <c r="AF31" s="21" t="str">
        <f t="shared" si="1"/>
        <v>Reached</v>
      </c>
      <c r="AG31" s="21">
        <f t="shared" si="27"/>
        <v>1998149.0415974911</v>
      </c>
      <c r="AH31" s="5"/>
      <c r="AI31" s="13">
        <f>COKE_MCSummary!K28</f>
        <v>7.3408536826332763E-2</v>
      </c>
      <c r="AJ31" s="12">
        <f t="shared" si="28"/>
        <v>487523.68797024695</v>
      </c>
      <c r="AK31" s="12">
        <f t="shared" si="14"/>
        <v>17877.264806590847</v>
      </c>
      <c r="AL31" s="14">
        <f t="shared" si="29"/>
        <v>542501.69723081996</v>
      </c>
      <c r="AM31" s="13">
        <f>'VTSMX-MCSummary'!K28</f>
        <v>0.10966026140532967</v>
      </c>
      <c r="AN31" s="12">
        <f t="shared" si="30"/>
        <v>3235614.0411627451</v>
      </c>
      <c r="AO31" s="12">
        <f t="shared" si="15"/>
        <v>107263.5888395451</v>
      </c>
      <c r="AP31" s="14">
        <f t="shared" si="31"/>
        <v>3709458.46475437</v>
      </c>
      <c r="AQ31" s="13">
        <f>'VUSTX-MCSummary'!K28</f>
        <v>9.4979647218453572E-3</v>
      </c>
      <c r="AR31" s="12">
        <f t="shared" si="32"/>
        <v>751084.01408838201</v>
      </c>
      <c r="AS31" s="12">
        <f t="shared" si="16"/>
        <v>71509.059226363388</v>
      </c>
      <c r="AT31" s="14">
        <f t="shared" si="33"/>
        <v>830406.03330552322</v>
      </c>
      <c r="AU31" s="30">
        <f t="shared" si="17"/>
        <v>5082366.1952907126</v>
      </c>
      <c r="AV31" s="21" t="str">
        <f t="shared" si="2"/>
        <v>Reached</v>
      </c>
      <c r="AW31" s="21">
        <f t="shared" si="34"/>
        <v>1998149.0415974911</v>
      </c>
    </row>
    <row r="32" spans="1:49" ht="15" thickTop="1" thickBot="1" x14ac:dyDescent="0.6">
      <c r="A32" s="9">
        <f>COKE_MCSummary!D29</f>
        <v>2051</v>
      </c>
      <c r="C32" s="13">
        <f>COKE_MCSummary!I29</f>
        <v>3.1237862730954868E-2</v>
      </c>
      <c r="D32" s="12">
        <f t="shared" si="18"/>
        <v>134621.14365050528</v>
      </c>
      <c r="E32" s="12">
        <f t="shared" si="3"/>
        <v>19664.991287249934</v>
      </c>
      <c r="F32" s="14">
        <f t="shared" si="4"/>
        <v>159105.70404223038</v>
      </c>
      <c r="G32" s="13">
        <f>'VTSMX-MCSummary'!I29</f>
        <v>-2.4346848955893894E-3</v>
      </c>
      <c r="H32" s="12">
        <f t="shared" si="19"/>
        <v>1179595.8799540587</v>
      </c>
      <c r="I32" s="12">
        <f t="shared" si="5"/>
        <v>117989.94772349963</v>
      </c>
      <c r="J32" s="14">
        <f t="shared" si="6"/>
        <v>1294426.6150621809</v>
      </c>
      <c r="K32" s="13">
        <f>'VUSTX-MCSummary'!I29</f>
        <v>-1.8518518518518452E-2</v>
      </c>
      <c r="L32" s="12">
        <f t="shared" si="20"/>
        <v>573780.48882211815</v>
      </c>
      <c r="M32" s="12">
        <f t="shared" si="7"/>
        <v>78659.965148999734</v>
      </c>
      <c r="N32" s="14">
        <f t="shared" si="8"/>
        <v>640358.22334202309</v>
      </c>
      <c r="O32" s="27">
        <f t="shared" si="9"/>
        <v>2093890.5424464343</v>
      </c>
      <c r="P32" s="21" t="str">
        <f t="shared" si="0"/>
        <v>Reached</v>
      </c>
      <c r="Q32" s="21">
        <f t="shared" si="35"/>
        <v>2214463.9457572405</v>
      </c>
      <c r="R32" s="5"/>
      <c r="S32" s="13">
        <f>COKE_MCSummary!J29</f>
        <v>1.2788611571270592E-2</v>
      </c>
      <c r="T32" s="12">
        <f t="shared" si="21"/>
        <v>452697.00479655829</v>
      </c>
      <c r="U32" s="12">
        <f t="shared" si="10"/>
        <v>19664.991287249934</v>
      </c>
      <c r="V32" s="14">
        <f t="shared" si="22"/>
        <v>478402.85017275409</v>
      </c>
      <c r="W32" s="13">
        <f>'VTSMX-MCSummary'!J29</f>
        <v>5.1198492951951981E-2</v>
      </c>
      <c r="X32" s="12">
        <f t="shared" si="23"/>
        <v>2487671.3260580525</v>
      </c>
      <c r="Y32" s="12">
        <f t="shared" si="11"/>
        <v>117989.94772349963</v>
      </c>
      <c r="Z32" s="14">
        <f t="shared" si="24"/>
        <v>2739067.2041424313</v>
      </c>
      <c r="AA32" s="13">
        <f>'VUSTX-MCSummary'!J29</f>
        <v>5.1746442432082833E-3</v>
      </c>
      <c r="AB32" s="12">
        <f t="shared" si="25"/>
        <v>725106.89837722888</v>
      </c>
      <c r="AC32" s="12">
        <f t="shared" si="12"/>
        <v>78659.965148999734</v>
      </c>
      <c r="AD32" s="14">
        <f t="shared" si="26"/>
        <v>807926.07109945617</v>
      </c>
      <c r="AE32" s="27">
        <f t="shared" si="13"/>
        <v>4025396.1254146416</v>
      </c>
      <c r="AF32" s="21" t="str">
        <f t="shared" si="1"/>
        <v>Reached</v>
      </c>
      <c r="AG32" s="21">
        <f t="shared" si="27"/>
        <v>2214463.9457572405</v>
      </c>
      <c r="AH32" s="5"/>
      <c r="AI32" s="13">
        <f>COKE_MCSummary!K29</f>
        <v>7.0335008565003992E-2</v>
      </c>
      <c r="AJ32" s="12">
        <f t="shared" si="28"/>
        <v>542501.69723081996</v>
      </c>
      <c r="AK32" s="12">
        <f t="shared" si="14"/>
        <v>19664.991287249934</v>
      </c>
      <c r="AL32" s="14">
        <f t="shared" si="29"/>
        <v>601706.68736994837</v>
      </c>
      <c r="AM32" s="13">
        <f>'VTSMX-MCSummary'!K29</f>
        <v>6.0112319571121897E-2</v>
      </c>
      <c r="AN32" s="12">
        <f t="shared" si="30"/>
        <v>3709458.46475437</v>
      </c>
      <c r="AO32" s="12">
        <f t="shared" si="15"/>
        <v>117989.94772349963</v>
      </c>
      <c r="AP32" s="14">
        <f t="shared" si="31"/>
        <v>4057525.2145907227</v>
      </c>
      <c r="AQ32" s="13">
        <f>'VUSTX-MCSummary'!K29</f>
        <v>1.4046822742474855E-2</v>
      </c>
      <c r="AR32" s="12">
        <f t="shared" si="32"/>
        <v>830406.03330552322</v>
      </c>
      <c r="AS32" s="12">
        <f t="shared" si="16"/>
        <v>78659.965148999734</v>
      </c>
      <c r="AT32" s="14">
        <f t="shared" si="33"/>
        <v>921835.48739602452</v>
      </c>
      <c r="AU32" s="30">
        <f t="shared" si="17"/>
        <v>5581067.3893566951</v>
      </c>
      <c r="AV32" s="21" t="str">
        <f t="shared" si="2"/>
        <v>Reached</v>
      </c>
      <c r="AW32" s="21">
        <f t="shared" si="34"/>
        <v>2214463.9457572405</v>
      </c>
    </row>
    <row r="33" spans="1:49" ht="15" thickTop="1" thickBot="1" x14ac:dyDescent="0.6">
      <c r="A33" s="9">
        <f>COKE_MCSummary!D30</f>
        <v>2052</v>
      </c>
      <c r="C33" s="13">
        <f>COKE_MCSummary!I30</f>
        <v>1.6748499727223247E-2</v>
      </c>
      <c r="D33" s="12">
        <f t="shared" si="18"/>
        <v>159105.70404223038</v>
      </c>
      <c r="E33" s="12">
        <f t="shared" si="3"/>
        <v>21631.490415974928</v>
      </c>
      <c r="F33" s="14">
        <f t="shared" si="4"/>
        <v>183764.27131028764</v>
      </c>
      <c r="G33" s="13">
        <f>'VTSMX-MCSummary'!I30</f>
        <v>1.5488153406471767E-2</v>
      </c>
      <c r="H33" s="12">
        <f t="shared" si="19"/>
        <v>1294426.6150621809</v>
      </c>
      <c r="I33" s="12">
        <f t="shared" si="5"/>
        <v>129788.94249584961</v>
      </c>
      <c r="J33" s="14">
        <f t="shared" si="6"/>
        <v>1446274.026597373</v>
      </c>
      <c r="K33" s="13">
        <f>'VUSTX-MCSummary'!I30</f>
        <v>-4.6511627906976785E-2</v>
      </c>
      <c r="L33" s="12">
        <f t="shared" si="20"/>
        <v>640358.22334202309</v>
      </c>
      <c r="M33" s="12">
        <f t="shared" si="7"/>
        <v>86525.96166389971</v>
      </c>
      <c r="N33" s="14">
        <f t="shared" si="8"/>
        <v>693075.61826146126</v>
      </c>
      <c r="O33" s="27">
        <f t="shared" si="9"/>
        <v>2323113.9161691219</v>
      </c>
      <c r="P33" s="21" t="str">
        <f t="shared" si="0"/>
        <v>Reached</v>
      </c>
      <c r="Q33" s="21">
        <f t="shared" si="35"/>
        <v>2452410.3403329649</v>
      </c>
      <c r="R33" s="5"/>
      <c r="S33" s="13">
        <f>COKE_MCSummary!J30</f>
        <v>0.19681444266548878</v>
      </c>
      <c r="T33" s="12">
        <f t="shared" si="21"/>
        <v>478402.85017275409</v>
      </c>
      <c r="U33" s="12">
        <f t="shared" si="10"/>
        <v>21631.490415974928</v>
      </c>
      <c r="V33" s="14">
        <f t="shared" si="22"/>
        <v>598448.32064530486</v>
      </c>
      <c r="W33" s="13">
        <f>'VTSMX-MCSummary'!J30</f>
        <v>9.0348631081347261E-2</v>
      </c>
      <c r="X33" s="12">
        <f t="shared" si="23"/>
        <v>2739067.2041424313</v>
      </c>
      <c r="Y33" s="12">
        <f t="shared" si="11"/>
        <v>129788.94249584961</v>
      </c>
      <c r="Z33" s="14">
        <f t="shared" si="24"/>
        <v>3128053.3722563582</v>
      </c>
      <c r="AA33" s="13">
        <f>'VUSTX-MCSummary'!J30</f>
        <v>-1.8445322793148956E-2</v>
      </c>
      <c r="AB33" s="12">
        <f t="shared" si="25"/>
        <v>807926.07109945617</v>
      </c>
      <c r="AC33" s="12">
        <f t="shared" si="12"/>
        <v>86525.96166389971</v>
      </c>
      <c r="AD33" s="14">
        <f t="shared" si="26"/>
        <v>877953.57629604754</v>
      </c>
      <c r="AE33" s="27">
        <f t="shared" si="13"/>
        <v>4604455.2691977108</v>
      </c>
      <c r="AF33" s="21" t="str">
        <f t="shared" si="1"/>
        <v>Reached</v>
      </c>
      <c r="AG33" s="21">
        <f t="shared" si="27"/>
        <v>2452410.3403329649</v>
      </c>
      <c r="AH33" s="5"/>
      <c r="AI33" s="13">
        <f>COKE_MCSummary!K30</f>
        <v>0.10156594873579319</v>
      </c>
      <c r="AJ33" s="12">
        <f t="shared" si="28"/>
        <v>601706.68736994837</v>
      </c>
      <c r="AK33" s="12">
        <f t="shared" si="14"/>
        <v>21631.490415974928</v>
      </c>
      <c r="AL33" s="14">
        <f t="shared" si="29"/>
        <v>686648.11119599105</v>
      </c>
      <c r="AM33" s="13">
        <f>'VTSMX-MCSummary'!K30</f>
        <v>0.10657461812748692</v>
      </c>
      <c r="AN33" s="12">
        <f t="shared" si="30"/>
        <v>4057525.2145907227</v>
      </c>
      <c r="AO33" s="12">
        <f t="shared" si="15"/>
        <v>129788.94249584961</v>
      </c>
      <c r="AP33" s="14">
        <f t="shared" si="31"/>
        <v>4633575.5643578935</v>
      </c>
      <c r="AQ33" s="13">
        <f>'VUSTX-MCSummary'!K30</f>
        <v>-1.2872628726287229E-2</v>
      </c>
      <c r="AR33" s="12">
        <f t="shared" si="32"/>
        <v>921835.48739602452</v>
      </c>
      <c r="AS33" s="12">
        <f t="shared" si="16"/>
        <v>86525.96166389971</v>
      </c>
      <c r="AT33" s="14">
        <f t="shared" si="33"/>
        <v>995381.18650427484</v>
      </c>
      <c r="AU33" s="30">
        <f t="shared" si="17"/>
        <v>6315604.862058159</v>
      </c>
      <c r="AV33" s="21" t="str">
        <f t="shared" si="2"/>
        <v>Reached</v>
      </c>
      <c r="AW33" s="21">
        <f t="shared" si="34"/>
        <v>2452410.3403329649</v>
      </c>
    </row>
    <row r="34" spans="1:49" ht="15" thickTop="1" thickBot="1" x14ac:dyDescent="0.6">
      <c r="A34" s="9">
        <f>COKE_MCSummary!D31</f>
        <v>2053</v>
      </c>
      <c r="C34" s="13">
        <f>COKE_MCSummary!I31</f>
        <v>-5.8008658008658072E-2</v>
      </c>
      <c r="D34" s="12">
        <f t="shared" si="18"/>
        <v>183764.27131028764</v>
      </c>
      <c r="E34" s="12">
        <f t="shared" si="3"/>
        <v>23794.639457572423</v>
      </c>
      <c r="F34" s="14">
        <f t="shared" si="4"/>
        <v>195518.69689647769</v>
      </c>
      <c r="G34" s="13">
        <f>'VTSMX-MCSummary'!I31</f>
        <v>-2.8661242603550507E-3</v>
      </c>
      <c r="H34" s="12">
        <f t="shared" si="19"/>
        <v>1446274.026597373</v>
      </c>
      <c r="I34" s="12">
        <f t="shared" si="5"/>
        <v>142767.83674543459</v>
      </c>
      <c r="J34" s="14">
        <f t="shared" si="6"/>
        <v>1584487.4719075609</v>
      </c>
      <c r="K34" s="13">
        <f>'VUSTX-MCSummary'!I31</f>
        <v>-7.8125000000000069E-3</v>
      </c>
      <c r="L34" s="12">
        <f t="shared" si="20"/>
        <v>693075.61826146126</v>
      </c>
      <c r="M34" s="12">
        <f t="shared" si="7"/>
        <v>95178.55783028969</v>
      </c>
      <c r="N34" s="14">
        <f t="shared" si="8"/>
        <v>782095.94034103421</v>
      </c>
      <c r="O34" s="27">
        <f t="shared" si="9"/>
        <v>2562102.1091450728</v>
      </c>
      <c r="P34" s="21" t="str">
        <f t="shared" si="0"/>
        <v>Reached</v>
      </c>
      <c r="Q34" s="21">
        <f t="shared" si="35"/>
        <v>2714151.3743662615</v>
      </c>
      <c r="R34" s="5"/>
      <c r="S34" s="13">
        <f>COKE_MCSummary!J31</f>
        <v>0.12255758019081583</v>
      </c>
      <c r="T34" s="12">
        <f t="shared" si="21"/>
        <v>598448.32064530486</v>
      </c>
      <c r="U34" s="12">
        <f t="shared" si="10"/>
        <v>23794.639457572423</v>
      </c>
      <c r="V34" s="14">
        <f t="shared" si="22"/>
        <v>698503.55158385623</v>
      </c>
      <c r="W34" s="13">
        <f>'VTSMX-MCSummary'!J31</f>
        <v>8.8223409509271405E-2</v>
      </c>
      <c r="X34" s="12">
        <f t="shared" si="23"/>
        <v>3128053.3722563582</v>
      </c>
      <c r="Y34" s="12">
        <f t="shared" si="11"/>
        <v>142767.83674543459</v>
      </c>
      <c r="Z34" s="14">
        <f t="shared" si="24"/>
        <v>3559384.2079551676</v>
      </c>
      <c r="AA34" s="13">
        <f>'VUSTX-MCSummary'!J31</f>
        <v>1.3157894736841825E-3</v>
      </c>
      <c r="AB34" s="12">
        <f t="shared" si="25"/>
        <v>877953.57629604754</v>
      </c>
      <c r="AC34" s="12">
        <f t="shared" si="12"/>
        <v>95178.55783028969</v>
      </c>
      <c r="AD34" s="14">
        <f t="shared" si="26"/>
        <v>974412.5711449245</v>
      </c>
      <c r="AE34" s="27">
        <f t="shared" si="13"/>
        <v>5232300.3306839485</v>
      </c>
      <c r="AF34" s="21" t="str">
        <f t="shared" si="1"/>
        <v>Reached</v>
      </c>
      <c r="AG34" s="21">
        <f t="shared" si="27"/>
        <v>2714151.3743662615</v>
      </c>
      <c r="AH34" s="5"/>
      <c r="AI34" s="13">
        <f>COKE_MCSummary!K31</f>
        <v>7.8133024838287546E-2</v>
      </c>
      <c r="AJ34" s="12">
        <f t="shared" si="28"/>
        <v>686648.11119599105</v>
      </c>
      <c r="AK34" s="12">
        <f t="shared" si="14"/>
        <v>23794.639457572423</v>
      </c>
      <c r="AL34" s="14">
        <f t="shared" si="29"/>
        <v>765951.79173655971</v>
      </c>
      <c r="AM34" s="13">
        <f>'VTSMX-MCSummary'!K31</f>
        <v>9.9992608858402388E-2</v>
      </c>
      <c r="AN34" s="12">
        <f t="shared" si="30"/>
        <v>4633575.5643578935</v>
      </c>
      <c r="AO34" s="12">
        <f t="shared" si="15"/>
        <v>142767.83674543459</v>
      </c>
      <c r="AP34" s="14">
        <f t="shared" si="31"/>
        <v>5253942.4385832651</v>
      </c>
      <c r="AQ34" s="13">
        <f>'VUSTX-MCSummary'!K31</f>
        <v>5.3908355795148294E-3</v>
      </c>
      <c r="AR34" s="12">
        <f t="shared" si="32"/>
        <v>995381.18650427484</v>
      </c>
      <c r="AS34" s="12">
        <f t="shared" si="16"/>
        <v>95178.55783028969</v>
      </c>
      <c r="AT34" s="14">
        <f t="shared" si="33"/>
        <v>1096438.77260591</v>
      </c>
      <c r="AU34" s="30">
        <f t="shared" si="17"/>
        <v>7116333.002925735</v>
      </c>
      <c r="AV34" s="21" t="str">
        <f t="shared" si="2"/>
        <v>Reached</v>
      </c>
      <c r="AW34" s="21">
        <f t="shared" si="34"/>
        <v>2714151.3743662615</v>
      </c>
    </row>
    <row r="35" spans="1:49" ht="15" thickTop="1" thickBot="1" x14ac:dyDescent="0.6">
      <c r="A35" s="9">
        <f>COKE_MCSummary!D32</f>
        <v>2054</v>
      </c>
      <c r="C35" s="13">
        <f>COKE_MCSummary!I32</f>
        <v>-3.1925665614390461E-2</v>
      </c>
      <c r="D35" s="12">
        <f t="shared" si="18"/>
        <v>195518.69689647769</v>
      </c>
      <c r="E35" s="12">
        <f t="shared" si="3"/>
        <v>26174.103403329667</v>
      </c>
      <c r="F35" s="14">
        <f t="shared" si="4"/>
        <v>214615.11008831786</v>
      </c>
      <c r="G35" s="13">
        <f>'VTSMX-MCSummary'!I32</f>
        <v>6.065061569564387E-3</v>
      </c>
      <c r="H35" s="12">
        <f t="shared" si="19"/>
        <v>1584487.4719075609</v>
      </c>
      <c r="I35" s="12">
        <f t="shared" si="5"/>
        <v>157044.62041997805</v>
      </c>
      <c r="J35" s="14">
        <f t="shared" si="6"/>
        <v>1752094.5916928775</v>
      </c>
      <c r="K35" s="13">
        <f>'VUSTX-MCSummary'!I32</f>
        <v>-4.4897959183673418E-2</v>
      </c>
      <c r="L35" s="12">
        <f t="shared" si="20"/>
        <v>782095.94034103421</v>
      </c>
      <c r="M35" s="12">
        <f t="shared" si="7"/>
        <v>104696.41361331867</v>
      </c>
      <c r="N35" s="14">
        <f t="shared" si="8"/>
        <v>846977.18704211665</v>
      </c>
      <c r="O35" s="27">
        <f t="shared" si="9"/>
        <v>2813686.8888233118</v>
      </c>
      <c r="P35" s="21" t="str">
        <f t="shared" si="0"/>
        <v>Reached</v>
      </c>
      <c r="Q35" s="21">
        <f t="shared" si="35"/>
        <v>3002066.511802888</v>
      </c>
      <c r="R35" s="5"/>
      <c r="S35" s="13">
        <f>COKE_MCSummary!J32</f>
        <v>-2.5394423227692933E-2</v>
      </c>
      <c r="T35" s="12">
        <f t="shared" si="21"/>
        <v>698503.55158385623</v>
      </c>
      <c r="U35" s="12">
        <f t="shared" si="10"/>
        <v>26174.103403329667</v>
      </c>
      <c r="V35" s="14">
        <f t="shared" si="22"/>
        <v>706274.88391278917</v>
      </c>
      <c r="W35" s="13">
        <f>'VTSMX-MCSummary'!J32</f>
        <v>8.0175432800317109E-2</v>
      </c>
      <c r="X35" s="12">
        <f t="shared" si="23"/>
        <v>3559384.2079551676</v>
      </c>
      <c r="Y35" s="12">
        <f t="shared" si="11"/>
        <v>157044.62041997805</v>
      </c>
      <c r="Z35" s="14">
        <f t="shared" si="24"/>
        <v>4014395.1181616983</v>
      </c>
      <c r="AA35" s="13">
        <f>'VUSTX-MCSummary'!J32</f>
        <v>-1.3175230566534633E-3</v>
      </c>
      <c r="AB35" s="12">
        <f t="shared" si="25"/>
        <v>974412.5711449245</v>
      </c>
      <c r="AC35" s="12">
        <f t="shared" si="12"/>
        <v>104696.41361331867</v>
      </c>
      <c r="AD35" s="14">
        <f t="shared" si="26"/>
        <v>1077687.2337901823</v>
      </c>
      <c r="AE35" s="27">
        <f t="shared" si="13"/>
        <v>5798357.23586467</v>
      </c>
      <c r="AF35" s="21" t="str">
        <f t="shared" si="1"/>
        <v>Reached</v>
      </c>
      <c r="AG35" s="21">
        <f t="shared" si="27"/>
        <v>3002066.511802888</v>
      </c>
      <c r="AH35" s="5"/>
      <c r="AI35" s="13">
        <f>COKE_MCSummary!K32</f>
        <v>1.4341057784402783E-2</v>
      </c>
      <c r="AJ35" s="12">
        <f t="shared" si="28"/>
        <v>765951.79173655971</v>
      </c>
      <c r="AK35" s="12">
        <f t="shared" si="14"/>
        <v>26174.103403329667</v>
      </c>
      <c r="AL35" s="14">
        <f t="shared" si="29"/>
        <v>803485.81837461225</v>
      </c>
      <c r="AM35" s="13">
        <f>'VTSMX-MCSummary'!K32</f>
        <v>8.0269546034655956E-2</v>
      </c>
      <c r="AN35" s="12">
        <f t="shared" si="30"/>
        <v>5253942.4385832651</v>
      </c>
      <c r="AO35" s="12">
        <f t="shared" si="15"/>
        <v>157044.62041997805</v>
      </c>
      <c r="AP35" s="14">
        <f t="shared" si="31"/>
        <v>5845324.5338288313</v>
      </c>
      <c r="AQ35" s="13">
        <f>'VUSTX-MCSummary'!K32</f>
        <v>1.2641383898868897E-2</v>
      </c>
      <c r="AR35" s="12">
        <f t="shared" si="32"/>
        <v>1096438.77260591</v>
      </c>
      <c r="AS35" s="12">
        <f t="shared" si="16"/>
        <v>104696.41361331867</v>
      </c>
      <c r="AT35" s="14">
        <f t="shared" si="33"/>
        <v>1216319.1972226652</v>
      </c>
      <c r="AU35" s="30">
        <f t="shared" si="17"/>
        <v>7865129.5494261086</v>
      </c>
      <c r="AV35" s="21" t="str">
        <f t="shared" si="2"/>
        <v>Reached</v>
      </c>
      <c r="AW35" s="21">
        <f t="shared" si="34"/>
        <v>3002066.511802888</v>
      </c>
    </row>
    <row r="36" spans="1:49" ht="15" thickTop="1" thickBot="1" x14ac:dyDescent="0.6">
      <c r="A36" s="9">
        <f>COKE_MCSummary!D33</f>
        <v>2055</v>
      </c>
      <c r="C36" s="13">
        <f>COKE_MCSummary!I33</f>
        <v>-3.4697399235794381E-2</v>
      </c>
      <c r="D36" s="12">
        <f t="shared" si="18"/>
        <v>214615.11008831786</v>
      </c>
      <c r="E36" s="12">
        <f t="shared" si="3"/>
        <v>28791.513743662636</v>
      </c>
      <c r="F36" s="14">
        <f t="shared" si="4"/>
        <v>234961.04702824543</v>
      </c>
      <c r="G36" s="13">
        <f>'VTSMX-MCSummary'!I33</f>
        <v>1.5827077869223119E-2</v>
      </c>
      <c r="H36" s="12">
        <f t="shared" si="19"/>
        <v>1752094.5916928775</v>
      </c>
      <c r="I36" s="12">
        <f t="shared" si="5"/>
        <v>172749.08246197586</v>
      </c>
      <c r="J36" s="14">
        <f t="shared" si="6"/>
        <v>1955308.3248717838</v>
      </c>
      <c r="K36" s="13">
        <f>'VUSTX-MCSummary'!I33</f>
        <v>-2.0833333333333447E-2</v>
      </c>
      <c r="L36" s="12">
        <f t="shared" si="20"/>
        <v>846977.18704211665</v>
      </c>
      <c r="M36" s="12">
        <f t="shared" si="7"/>
        <v>115166.05497465054</v>
      </c>
      <c r="N36" s="14">
        <f t="shared" si="8"/>
        <v>942098.59114141774</v>
      </c>
      <c r="O36" s="27">
        <f t="shared" si="9"/>
        <v>3132367.9630414471</v>
      </c>
      <c r="P36" s="21" t="str">
        <f t="shared" si="0"/>
        <v>Reached</v>
      </c>
      <c r="Q36" s="21">
        <f t="shared" si="35"/>
        <v>3318773.1629831772</v>
      </c>
      <c r="R36" s="5"/>
      <c r="S36" s="13">
        <f>COKE_MCSummary!J33</f>
        <v>7.0098494331610361E-2</v>
      </c>
      <c r="T36" s="12">
        <f t="shared" si="21"/>
        <v>706274.88391278917</v>
      </c>
      <c r="U36" s="12">
        <f t="shared" si="10"/>
        <v>28791.513743662636</v>
      </c>
      <c r="V36" s="14">
        <f t="shared" si="22"/>
        <v>786593.44536592974</v>
      </c>
      <c r="W36" s="13">
        <f>'VTSMX-MCSummary'!J33</f>
        <v>0.10289126987655411</v>
      </c>
      <c r="X36" s="12">
        <f t="shared" si="23"/>
        <v>4014395.1181616983</v>
      </c>
      <c r="Y36" s="12">
        <f t="shared" si="11"/>
        <v>172749.08246197586</v>
      </c>
      <c r="Z36" s="14">
        <f t="shared" si="24"/>
        <v>4617964.7845820934</v>
      </c>
      <c r="AA36" s="13">
        <f>'VUSTX-MCSummary'!J33</f>
        <v>-6.6312997347479866E-3</v>
      </c>
      <c r="AB36" s="12">
        <f t="shared" si="25"/>
        <v>1077687.2337901823</v>
      </c>
      <c r="AC36" s="12">
        <f t="shared" si="12"/>
        <v>115166.05497465054</v>
      </c>
      <c r="AD36" s="14">
        <f t="shared" si="26"/>
        <v>1184943.1210674534</v>
      </c>
      <c r="AE36" s="27">
        <f t="shared" si="13"/>
        <v>6589501.3510154765</v>
      </c>
      <c r="AF36" s="21" t="str">
        <f t="shared" si="1"/>
        <v>Reached</v>
      </c>
      <c r="AG36" s="21">
        <f t="shared" si="27"/>
        <v>3318773.1629831772</v>
      </c>
      <c r="AH36" s="5"/>
      <c r="AI36" s="13">
        <f>COKE_MCSummary!K33</f>
        <v>6.9959704907596648E-2</v>
      </c>
      <c r="AJ36" s="12">
        <f t="shared" si="28"/>
        <v>803485.81837461225</v>
      </c>
      <c r="AK36" s="12">
        <f t="shared" si="14"/>
        <v>28791.513743662636</v>
      </c>
      <c r="AL36" s="14">
        <f t="shared" si="29"/>
        <v>890503.20867455122</v>
      </c>
      <c r="AM36" s="13">
        <f>'VTSMX-MCSummary'!K33</f>
        <v>0.11800463794800781</v>
      </c>
      <c r="AN36" s="12">
        <f t="shared" si="30"/>
        <v>5845324.5338288313</v>
      </c>
      <c r="AO36" s="12">
        <f t="shared" si="15"/>
        <v>172749.08246197586</v>
      </c>
      <c r="AP36" s="14">
        <f t="shared" si="31"/>
        <v>6728234.2145256614</v>
      </c>
      <c r="AQ36" s="13">
        <f>'VUSTX-MCSummary'!K33</f>
        <v>-2.6684456304202232E-3</v>
      </c>
      <c r="AR36" s="12">
        <f t="shared" si="32"/>
        <v>1216319.1972226652</v>
      </c>
      <c r="AS36" s="12">
        <f t="shared" si="16"/>
        <v>115166.05497465054</v>
      </c>
      <c r="AT36" s="14">
        <f t="shared" si="33"/>
        <v>1327932.2561941207</v>
      </c>
      <c r="AU36" s="30">
        <f t="shared" si="17"/>
        <v>8946669.6793943327</v>
      </c>
      <c r="AV36" s="21" t="str">
        <f t="shared" si="2"/>
        <v>Reached</v>
      </c>
      <c r="AW36" s="21">
        <f t="shared" si="34"/>
        <v>3318773.1629831772</v>
      </c>
    </row>
    <row r="37" spans="1:49" ht="15" thickTop="1" thickBot="1" x14ac:dyDescent="0.6">
      <c r="A37" s="9">
        <f>COKE_MCSummary!D34</f>
        <v>2056</v>
      </c>
      <c r="C37" s="13">
        <f>COKE_MCSummary!I34</f>
        <v>8.2513293808448296E-3</v>
      </c>
      <c r="D37" s="12">
        <f t="shared" si="18"/>
        <v>234961.04702824543</v>
      </c>
      <c r="E37" s="12">
        <f t="shared" si="3"/>
        <v>31670.665118028901</v>
      </c>
      <c r="F37" s="14">
        <f t="shared" si="4"/>
        <v>268831.77822657186</v>
      </c>
      <c r="G37" s="13">
        <f>'VTSMX-MCSummary'!I34</f>
        <v>6.4695839698087256E-3</v>
      </c>
      <c r="H37" s="12">
        <f t="shared" si="19"/>
        <v>1955308.3248717838</v>
      </c>
      <c r="I37" s="12">
        <f t="shared" si="5"/>
        <v>190023.99070817346</v>
      </c>
      <c r="J37" s="14">
        <f t="shared" si="6"/>
        <v>2159211.7231387463</v>
      </c>
      <c r="K37" s="13">
        <f>'VUSTX-MCSummary'!I34</f>
        <v>-4.3478260869565258E-2</v>
      </c>
      <c r="L37" s="12">
        <f t="shared" si="20"/>
        <v>942098.59114141774</v>
      </c>
      <c r="M37" s="12">
        <f t="shared" si="7"/>
        <v>126682.6604721156</v>
      </c>
      <c r="N37" s="14">
        <f t="shared" si="8"/>
        <v>1022312.5015433796</v>
      </c>
      <c r="O37" s="27">
        <f t="shared" si="9"/>
        <v>3450356.0029086974</v>
      </c>
      <c r="P37" s="21" t="str">
        <f t="shared" si="0"/>
        <v>Reached</v>
      </c>
      <c r="Q37" s="21">
        <f t="shared" si="35"/>
        <v>3667150.4792814953</v>
      </c>
      <c r="R37" s="5"/>
      <c r="S37" s="13">
        <f>COKE_MCSummary!J34</f>
        <v>0.12720565755656718</v>
      </c>
      <c r="T37" s="12">
        <f t="shared" si="21"/>
        <v>786593.44536592974</v>
      </c>
      <c r="U37" s="12">
        <f t="shared" si="10"/>
        <v>31670.665118028901</v>
      </c>
      <c r="V37" s="14">
        <f t="shared" si="22"/>
        <v>922351.93471301009</v>
      </c>
      <c r="W37" s="13">
        <f>'VTSMX-MCSummary'!J34</f>
        <v>6.316249817780463E-2</v>
      </c>
      <c r="X37" s="12">
        <f t="shared" si="23"/>
        <v>4617964.7845820934</v>
      </c>
      <c r="Y37" s="12">
        <f t="shared" si="11"/>
        <v>190023.99070817346</v>
      </c>
      <c r="Z37" s="14">
        <f t="shared" si="24"/>
        <v>5111673.3575484436</v>
      </c>
      <c r="AA37" s="13">
        <f>'VUSTX-MCSummary'!J34</f>
        <v>-9.3708165997323008E-3</v>
      </c>
      <c r="AB37" s="12">
        <f t="shared" si="25"/>
        <v>1184943.1210674534</v>
      </c>
      <c r="AC37" s="12">
        <f t="shared" si="12"/>
        <v>126682.6604721156</v>
      </c>
      <c r="AD37" s="14">
        <f t="shared" si="26"/>
        <v>1299334.7768932811</v>
      </c>
      <c r="AE37" s="27">
        <f t="shared" si="13"/>
        <v>7333360.0691547347</v>
      </c>
      <c r="AF37" s="21" t="str">
        <f t="shared" si="1"/>
        <v>Reached</v>
      </c>
      <c r="AG37" s="21">
        <f t="shared" si="27"/>
        <v>3667150.4792814953</v>
      </c>
      <c r="AH37" s="5"/>
      <c r="AI37" s="13">
        <f>COKE_MCSummary!K34</f>
        <v>0.13733252432861306</v>
      </c>
      <c r="AJ37" s="12">
        <f t="shared" si="28"/>
        <v>890503.20867455122</v>
      </c>
      <c r="AK37" s="12">
        <f t="shared" si="14"/>
        <v>31670.665118028901</v>
      </c>
      <c r="AL37" s="14">
        <f t="shared" si="29"/>
        <v>1048818.339750411</v>
      </c>
      <c r="AM37" s="13">
        <f>'VTSMX-MCSummary'!K34</f>
        <v>6.2278509479884843E-2</v>
      </c>
      <c r="AN37" s="12">
        <f t="shared" si="30"/>
        <v>6728234.2145256614</v>
      </c>
      <c r="AO37" s="12">
        <f t="shared" si="15"/>
        <v>190023.99070817346</v>
      </c>
      <c r="AP37" s="14">
        <f t="shared" si="31"/>
        <v>7349117.0144527806</v>
      </c>
      <c r="AQ37" s="13">
        <f>'VUSTX-MCSummary'!K34</f>
        <v>-6.6755674232308324E-4</v>
      </c>
      <c r="AR37" s="12">
        <f t="shared" si="32"/>
        <v>1327932.2561941207</v>
      </c>
      <c r="AS37" s="12">
        <f t="shared" si="16"/>
        <v>126682.6604721156</v>
      </c>
      <c r="AT37" s="14">
        <f t="shared" si="33"/>
        <v>1453643.878671132</v>
      </c>
      <c r="AU37" s="30">
        <f t="shared" si="17"/>
        <v>9851579.2328743227</v>
      </c>
      <c r="AV37" s="21" t="str">
        <f t="shared" si="2"/>
        <v>Reached</v>
      </c>
      <c r="AW37" s="21">
        <f t="shared" si="34"/>
        <v>3667150.4792814953</v>
      </c>
    </row>
    <row r="38" spans="1:49" ht="15" thickTop="1" thickBot="1" x14ac:dyDescent="0.6">
      <c r="A38" s="9">
        <f>COKE_MCSummary!D35</f>
        <v>2057</v>
      </c>
      <c r="C38" s="13">
        <f>COKE_MCSummary!I35</f>
        <v>7.6423849093224415E-3</v>
      </c>
      <c r="D38" s="12">
        <f t="shared" si="18"/>
        <v>268831.77822657186</v>
      </c>
      <c r="E38" s="12">
        <f t="shared" si="3"/>
        <v>34837.731629831796</v>
      </c>
      <c r="F38" s="14">
        <f t="shared" si="4"/>
        <v>305990.26913595153</v>
      </c>
      <c r="G38" s="13">
        <f>'VTSMX-MCSummary'!I35</f>
        <v>7.225691347011491E-3</v>
      </c>
      <c r="H38" s="12">
        <f t="shared" si="19"/>
        <v>2159211.7231387463</v>
      </c>
      <c r="I38" s="12">
        <f t="shared" si="5"/>
        <v>209026.38977899082</v>
      </c>
      <c r="J38" s="14">
        <f t="shared" si="6"/>
        <v>2385350.2705579097</v>
      </c>
      <c r="K38" s="13">
        <f>'VUSTX-MCSummary'!I35</f>
        <v>-8.7719298245614117E-3</v>
      </c>
      <c r="L38" s="12">
        <f t="shared" si="20"/>
        <v>1022312.5015433796</v>
      </c>
      <c r="M38" s="12">
        <f t="shared" si="7"/>
        <v>139350.92651932719</v>
      </c>
      <c r="N38" s="14">
        <f t="shared" si="8"/>
        <v>1151473.3979919811</v>
      </c>
      <c r="O38" s="27">
        <f t="shared" si="9"/>
        <v>3842813.9376858426</v>
      </c>
      <c r="P38" s="21" t="str">
        <f t="shared" si="0"/>
        <v>Reached</v>
      </c>
      <c r="Q38" s="21">
        <f t="shared" si="35"/>
        <v>4050365.5272096451</v>
      </c>
      <c r="R38" s="5"/>
      <c r="S38" s="13">
        <f>COKE_MCSummary!J35</f>
        <v>1.6254130615322195E-3</v>
      </c>
      <c r="T38" s="12">
        <f t="shared" si="21"/>
        <v>922351.93471301009</v>
      </c>
      <c r="U38" s="12">
        <f t="shared" si="10"/>
        <v>34837.731629831796</v>
      </c>
      <c r="V38" s="14">
        <f t="shared" si="22"/>
        <v>958745.49492887931</v>
      </c>
      <c r="W38" s="13">
        <f>'VTSMX-MCSummary'!J35</f>
        <v>8.8183354537341302E-2</v>
      </c>
      <c r="X38" s="12">
        <f t="shared" si="23"/>
        <v>5111673.3575484436</v>
      </c>
      <c r="Y38" s="12">
        <f t="shared" si="11"/>
        <v>209026.38977899082</v>
      </c>
      <c r="Z38" s="14">
        <f t="shared" si="24"/>
        <v>5789896.899532753</v>
      </c>
      <c r="AA38" s="13">
        <f>'VUSTX-MCSummary'!J35</f>
        <v>-2.6845637583892044E-3</v>
      </c>
      <c r="AB38" s="12">
        <f t="shared" si="25"/>
        <v>1299334.7768932811</v>
      </c>
      <c r="AC38" s="12">
        <f t="shared" si="12"/>
        <v>139350.92651932719</v>
      </c>
      <c r="AD38" s="14">
        <f t="shared" si="26"/>
        <v>1434823.4599135141</v>
      </c>
      <c r="AE38" s="27">
        <f t="shared" si="13"/>
        <v>8183465.8543751463</v>
      </c>
      <c r="AF38" s="21" t="str">
        <f t="shared" si="1"/>
        <v>Reached</v>
      </c>
      <c r="AG38" s="21">
        <f t="shared" si="27"/>
        <v>4050365.5272096451</v>
      </c>
      <c r="AH38" s="5"/>
      <c r="AI38" s="13">
        <f>COKE_MCSummary!K35</f>
        <v>4.4542311930264235E-2</v>
      </c>
      <c r="AJ38" s="12">
        <f t="shared" si="28"/>
        <v>1048818.339750411</v>
      </c>
      <c r="AK38" s="12">
        <f t="shared" si="14"/>
        <v>34837.731629831796</v>
      </c>
      <c r="AL38" s="14">
        <f t="shared" si="29"/>
        <v>1131924.6181367862</v>
      </c>
      <c r="AM38" s="13">
        <f>'VTSMX-MCSummary'!K35</f>
        <v>9.7155451342040136E-2</v>
      </c>
      <c r="AN38" s="12">
        <f t="shared" si="30"/>
        <v>7349117.0144527806</v>
      </c>
      <c r="AO38" s="12">
        <f t="shared" si="15"/>
        <v>209026.38977899082</v>
      </c>
      <c r="AP38" s="14">
        <f t="shared" si="31"/>
        <v>8292458.237977773</v>
      </c>
      <c r="AQ38" s="13">
        <f>'VUSTX-MCSummary'!K35</f>
        <v>-2.6773761713521369E-3</v>
      </c>
      <c r="AR38" s="12">
        <f t="shared" si="32"/>
        <v>1453643.878671132</v>
      </c>
      <c r="AS38" s="12">
        <f t="shared" si="16"/>
        <v>139350.92651932719</v>
      </c>
      <c r="AT38" s="14">
        <f t="shared" si="33"/>
        <v>1588729.7588579545</v>
      </c>
      <c r="AU38" s="30">
        <f t="shared" si="17"/>
        <v>11013112.614972513</v>
      </c>
      <c r="AV38" s="21" t="str">
        <f t="shared" si="2"/>
        <v>Reached</v>
      </c>
      <c r="AW38" s="21">
        <f t="shared" si="34"/>
        <v>4050365.5272096451</v>
      </c>
    </row>
    <row r="39" spans="1:49" ht="15" thickTop="1" thickBot="1" x14ac:dyDescent="0.6">
      <c r="A39" s="9">
        <f>COKE_MCSummary!D36</f>
        <v>2058</v>
      </c>
      <c r="C39" s="13">
        <f>COKE_MCSummary!I36</f>
        <v>-2.7355433698903385E-2</v>
      </c>
      <c r="D39" s="12">
        <f t="shared" si="18"/>
        <v>305990.26913595153</v>
      </c>
      <c r="E39" s="12">
        <f t="shared" si="3"/>
        <v>38321.50479281498</v>
      </c>
      <c r="F39" s="14">
        <f t="shared" si="4"/>
        <v>334892.97602530633</v>
      </c>
      <c r="G39" s="13">
        <f>'VTSMX-MCSummary'!I36</f>
        <v>5.2356020942408684E-3</v>
      </c>
      <c r="H39" s="12">
        <f t="shared" si="19"/>
        <v>2385350.2705579097</v>
      </c>
      <c r="I39" s="12">
        <f t="shared" si="5"/>
        <v>229929.02875688992</v>
      </c>
      <c r="J39" s="14">
        <f t="shared" si="6"/>
        <v>2628971.8610913167</v>
      </c>
      <c r="K39" s="13">
        <f>'VUSTX-MCSummary'!I36</f>
        <v>-3.6363636363636188E-2</v>
      </c>
      <c r="L39" s="12">
        <f t="shared" si="20"/>
        <v>1151473.3979919811</v>
      </c>
      <c r="M39" s="12">
        <f t="shared" si="7"/>
        <v>153286.01917125992</v>
      </c>
      <c r="N39" s="14">
        <f t="shared" si="8"/>
        <v>1257313.6201754871</v>
      </c>
      <c r="O39" s="27">
        <f t="shared" si="9"/>
        <v>4221178.4572921097</v>
      </c>
      <c r="P39" s="21" t="str">
        <f t="shared" si="0"/>
        <v>Reached</v>
      </c>
      <c r="Q39" s="21">
        <f t="shared" si="35"/>
        <v>4471902.07993061</v>
      </c>
      <c r="R39" s="5"/>
      <c r="S39" s="13">
        <f>COKE_MCSummary!J36</f>
        <v>0.16900722234981677</v>
      </c>
      <c r="T39" s="12">
        <f t="shared" si="21"/>
        <v>958745.49492887931</v>
      </c>
      <c r="U39" s="12">
        <f t="shared" si="10"/>
        <v>38321.50479281498</v>
      </c>
      <c r="V39" s="14">
        <f t="shared" si="22"/>
        <v>1165578.5238413233</v>
      </c>
      <c r="W39" s="13">
        <f>'VTSMX-MCSummary'!J36</f>
        <v>7.9017628130392176E-2</v>
      </c>
      <c r="X39" s="12">
        <f t="shared" si="23"/>
        <v>5789896.899532753</v>
      </c>
      <c r="Y39" s="12">
        <f t="shared" si="11"/>
        <v>229929.02875688992</v>
      </c>
      <c r="Z39" s="14">
        <f t="shared" si="24"/>
        <v>6495498.2949009268</v>
      </c>
      <c r="AA39" s="13">
        <f>'VUSTX-MCSummary'!J36</f>
        <v>-4.0431266846361518E-3</v>
      </c>
      <c r="AB39" s="12">
        <f t="shared" si="25"/>
        <v>1434823.4599135141</v>
      </c>
      <c r="AC39" s="12">
        <f t="shared" si="12"/>
        <v>153286.01917125992</v>
      </c>
      <c r="AD39" s="14">
        <f t="shared" si="26"/>
        <v>1581688.5512717627</v>
      </c>
      <c r="AE39" s="27">
        <f t="shared" si="13"/>
        <v>9242765.3700140119</v>
      </c>
      <c r="AF39" s="21" t="str">
        <f t="shared" si="1"/>
        <v>Reached</v>
      </c>
      <c r="AG39" s="21">
        <f t="shared" si="27"/>
        <v>4471902.07993061</v>
      </c>
      <c r="AH39" s="5"/>
      <c r="AI39" s="13">
        <f>COKE_MCSummary!K36</f>
        <v>4.1269651614205601E-2</v>
      </c>
      <c r="AJ39" s="12">
        <f t="shared" si="28"/>
        <v>1131924.6181367862</v>
      </c>
      <c r="AK39" s="12">
        <f t="shared" si="14"/>
        <v>38321.50479281498</v>
      </c>
      <c r="AL39" s="14">
        <f t="shared" si="29"/>
        <v>1218541.7727257807</v>
      </c>
      <c r="AM39" s="13">
        <f>'VTSMX-MCSummary'!K36</f>
        <v>9.1786232659956668E-2</v>
      </c>
      <c r="AN39" s="12">
        <f t="shared" si="30"/>
        <v>8292458.237977773</v>
      </c>
      <c r="AO39" s="12">
        <f t="shared" si="15"/>
        <v>229929.02875688992</v>
      </c>
      <c r="AP39" s="14">
        <f t="shared" si="31"/>
        <v>9304625.0872174222</v>
      </c>
      <c r="AQ39" s="13">
        <f>'VUSTX-MCSummary'!K36</f>
        <v>1.1904761904761887E-2</v>
      </c>
      <c r="AR39" s="12">
        <f t="shared" si="32"/>
        <v>1588729.7588579545</v>
      </c>
      <c r="AS39" s="12">
        <f t="shared" si="16"/>
        <v>153286.01917125992</v>
      </c>
      <c r="AT39" s="14">
        <f t="shared" si="33"/>
        <v>1762754.0611009907</v>
      </c>
      <c r="AU39" s="30">
        <f t="shared" si="17"/>
        <v>12285920.921044195</v>
      </c>
      <c r="AV39" s="21" t="str">
        <f t="shared" si="2"/>
        <v>Reached</v>
      </c>
      <c r="AW39" s="21">
        <f t="shared" si="34"/>
        <v>4471902.07993061</v>
      </c>
    </row>
    <row r="40" spans="1:49" ht="15" thickTop="1" thickBot="1" x14ac:dyDescent="0.6">
      <c r="A40" s="9">
        <f>COKE_MCSummary!D37</f>
        <v>2059</v>
      </c>
      <c r="C40" s="13">
        <f>COKE_MCSummary!I37</f>
        <v>-1.1471070213034118E-2</v>
      </c>
      <c r="D40" s="12">
        <f t="shared" si="18"/>
        <v>334892.97602530633</v>
      </c>
      <c r="E40" s="12">
        <f t="shared" si="3"/>
        <v>42153.655272096483</v>
      </c>
      <c r="F40" s="14">
        <f t="shared" si="4"/>
        <v>372721.5029162023</v>
      </c>
      <c r="G40" s="13">
        <f>'VTSMX-MCSummary'!I37</f>
        <v>7.2240331248348815E-3</v>
      </c>
      <c r="H40" s="12">
        <f t="shared" si="19"/>
        <v>2628971.8610913167</v>
      </c>
      <c r="I40" s="12">
        <f t="shared" si="5"/>
        <v>252921.93163257893</v>
      </c>
      <c r="J40" s="14">
        <f t="shared" si="6"/>
        <v>2902712.6889447886</v>
      </c>
      <c r="K40" s="13">
        <f>'VUSTX-MCSummary'!I37</f>
        <v>-4.566210045662206E-3</v>
      </c>
      <c r="L40" s="12">
        <f t="shared" si="20"/>
        <v>1257313.6201754871</v>
      </c>
      <c r="M40" s="12">
        <f t="shared" si="7"/>
        <v>168614.62108838593</v>
      </c>
      <c r="N40" s="14">
        <f t="shared" si="8"/>
        <v>1419417.1534042205</v>
      </c>
      <c r="O40" s="27">
        <f t="shared" si="9"/>
        <v>4694851.3452652115</v>
      </c>
      <c r="P40" s="21" t="str">
        <f t="shared" si="0"/>
        <v>Reached</v>
      </c>
      <c r="Q40" s="21">
        <f t="shared" si="35"/>
        <v>4935592.2879236713</v>
      </c>
      <c r="R40" s="5"/>
      <c r="S40" s="13">
        <f>COKE_MCSummary!J37</f>
        <v>5.0300494259056257E-2</v>
      </c>
      <c r="T40" s="12">
        <f t="shared" si="21"/>
        <v>1165578.5238413233</v>
      </c>
      <c r="U40" s="12">
        <f t="shared" si="10"/>
        <v>42153.655272096483</v>
      </c>
      <c r="V40" s="14">
        <f t="shared" si="22"/>
        <v>1268481.7046553919</v>
      </c>
      <c r="W40" s="13">
        <f>'VTSMX-MCSummary'!J37</f>
        <v>0.10143105579650925</v>
      </c>
      <c r="X40" s="12">
        <f t="shared" si="23"/>
        <v>6495498.2949009268</v>
      </c>
      <c r="Y40" s="12">
        <f t="shared" si="11"/>
        <v>252921.93163257893</v>
      </c>
      <c r="Z40" s="14">
        <f t="shared" si="24"/>
        <v>7432919.6150693176</v>
      </c>
      <c r="AA40" s="13">
        <f>'VUSTX-MCSummary'!J37</f>
        <v>9.345794392523402E-3</v>
      </c>
      <c r="AB40" s="12">
        <f t="shared" si="25"/>
        <v>1581688.5512717627</v>
      </c>
      <c r="AC40" s="12">
        <f t="shared" si="12"/>
        <v>168614.62108838593</v>
      </c>
      <c r="AD40" s="14">
        <f t="shared" si="26"/>
        <v>1766661.1459336083</v>
      </c>
      <c r="AE40" s="27">
        <f t="shared" si="13"/>
        <v>10468062.465658316</v>
      </c>
      <c r="AF40" s="21" t="str">
        <f t="shared" si="1"/>
        <v>Reached</v>
      </c>
      <c r="AG40" s="21">
        <f t="shared" si="27"/>
        <v>4935592.2879236713</v>
      </c>
      <c r="AH40" s="5"/>
      <c r="AI40" s="13">
        <f>COKE_MCSummary!K37</f>
        <v>0.12605663673732767</v>
      </c>
      <c r="AJ40" s="12">
        <f t="shared" si="28"/>
        <v>1218541.7727257807</v>
      </c>
      <c r="AK40" s="12">
        <f t="shared" si="14"/>
        <v>42153.655272096483</v>
      </c>
      <c r="AL40" s="14">
        <f t="shared" si="29"/>
        <v>1419614.4536014155</v>
      </c>
      <c r="AM40" s="13">
        <f>'VTSMX-MCSummary'!K37</f>
        <v>9.4727347383867705E-2</v>
      </c>
      <c r="AN40" s="12">
        <f t="shared" si="30"/>
        <v>9304625.0872174222</v>
      </c>
      <c r="AO40" s="12">
        <f t="shared" si="15"/>
        <v>252921.93163257893</v>
      </c>
      <c r="AP40" s="14">
        <f t="shared" si="31"/>
        <v>10462908.095442254</v>
      </c>
      <c r="AQ40" s="13">
        <f>'VUSTX-MCSummary'!K37</f>
        <v>1.9455252918287983E-2</v>
      </c>
      <c r="AR40" s="12">
        <f t="shared" si="32"/>
        <v>1762754.0611009907</v>
      </c>
      <c r="AS40" s="12">
        <f t="shared" si="16"/>
        <v>168614.62108838593</v>
      </c>
      <c r="AT40" s="14">
        <f t="shared" si="33"/>
        <v>1968943.9483798316</v>
      </c>
      <c r="AU40" s="30">
        <f t="shared" si="17"/>
        <v>13851466.497423502</v>
      </c>
      <c r="AV40" s="21" t="str">
        <f t="shared" si="2"/>
        <v>Reached</v>
      </c>
      <c r="AW40" s="21">
        <f t="shared" si="34"/>
        <v>4935592.2879236713</v>
      </c>
    </row>
    <row r="41" spans="1:49" ht="15" thickTop="1" thickBot="1" x14ac:dyDescent="0.6">
      <c r="A41" s="9">
        <f>COKE_MCSummary!D38</f>
        <v>2060</v>
      </c>
      <c r="C41" s="13">
        <f>COKE_MCSummary!I38</f>
        <v>-2.6593335490132545E-2</v>
      </c>
      <c r="D41" s="12">
        <f t="shared" si="18"/>
        <v>372721.5029162023</v>
      </c>
      <c r="E41" s="12">
        <f t="shared" si="3"/>
        <v>46369.020799306134</v>
      </c>
      <c r="F41" s="14">
        <f t="shared" si="4"/>
        <v>407945.50881760655</v>
      </c>
      <c r="G41" s="13">
        <f>'VTSMX-MCSummary'!I38</f>
        <v>1.6710642040457145E-3</v>
      </c>
      <c r="H41" s="12">
        <f t="shared" si="19"/>
        <v>2902712.6889447886</v>
      </c>
      <c r="I41" s="12">
        <f t="shared" si="5"/>
        <v>278214.12479583686</v>
      </c>
      <c r="J41" s="14">
        <f t="shared" si="6"/>
        <v>3186242.3466747561</v>
      </c>
      <c r="K41" s="13">
        <f>'VUSTX-MCSummary'!I38</f>
        <v>-2.8169014084507067E-2</v>
      </c>
      <c r="L41" s="12">
        <f t="shared" si="20"/>
        <v>1419417.1534042205</v>
      </c>
      <c r="M41" s="12">
        <f t="shared" si="7"/>
        <v>185476.08319722454</v>
      </c>
      <c r="N41" s="14">
        <f t="shared" si="8"/>
        <v>1559684.9764154886</v>
      </c>
      <c r="O41" s="27">
        <f t="shared" si="9"/>
        <v>5153872.8319078516</v>
      </c>
      <c r="P41" s="21" t="str">
        <f t="shared" si="0"/>
        <v>Reached</v>
      </c>
      <c r="Q41" s="21">
        <f t="shared" si="35"/>
        <v>5445651.5167160388</v>
      </c>
      <c r="R41" s="5"/>
      <c r="S41" s="13">
        <f>COKE_MCSummary!J38</f>
        <v>6.8952837619493015E-2</v>
      </c>
      <c r="T41" s="12">
        <f t="shared" si="21"/>
        <v>1268481.7046553919</v>
      </c>
      <c r="U41" s="12">
        <f t="shared" si="10"/>
        <v>46369.020799306134</v>
      </c>
      <c r="V41" s="14">
        <f t="shared" si="22"/>
        <v>1405513.4140208485</v>
      </c>
      <c r="W41" s="13">
        <f>'VTSMX-MCSummary'!J38</f>
        <v>6.1092804800078705E-2</v>
      </c>
      <c r="X41" s="12">
        <f t="shared" si="23"/>
        <v>7432919.6150693176</v>
      </c>
      <c r="Y41" s="12">
        <f t="shared" si="11"/>
        <v>278214.12479583686</v>
      </c>
      <c r="Z41" s="14">
        <f t="shared" si="24"/>
        <v>8182228.5282220365</v>
      </c>
      <c r="AA41" s="13">
        <f>'VUSTX-MCSummary'!J38</f>
        <v>0</v>
      </c>
      <c r="AB41" s="12">
        <f t="shared" si="25"/>
        <v>1766661.1459336083</v>
      </c>
      <c r="AC41" s="12">
        <f t="shared" si="12"/>
        <v>185476.08319722454</v>
      </c>
      <c r="AD41" s="14">
        <f t="shared" si="26"/>
        <v>1952137.2291308329</v>
      </c>
      <c r="AE41" s="27">
        <f t="shared" si="13"/>
        <v>11539879.171373717</v>
      </c>
      <c r="AF41" s="21" t="str">
        <f t="shared" si="1"/>
        <v>Reached</v>
      </c>
      <c r="AG41" s="21">
        <f t="shared" si="27"/>
        <v>5445651.5167160388</v>
      </c>
      <c r="AH41" s="5"/>
      <c r="AI41" s="13">
        <f>COKE_MCSummary!K38</f>
        <v>2.5150086508378553E-2</v>
      </c>
      <c r="AJ41" s="12">
        <f t="shared" si="28"/>
        <v>1419614.4536014155</v>
      </c>
      <c r="AK41" s="12">
        <f t="shared" si="14"/>
        <v>46369.020799306134</v>
      </c>
      <c r="AL41" s="14">
        <f t="shared" si="29"/>
        <v>1502853.0856017531</v>
      </c>
      <c r="AM41" s="13">
        <f>'VTSMX-MCSummary'!K38</f>
        <v>7.3253167778737097E-2</v>
      </c>
      <c r="AN41" s="12">
        <f t="shared" si="30"/>
        <v>10462908.095442254</v>
      </c>
      <c r="AO41" s="12">
        <f t="shared" si="15"/>
        <v>278214.12479583686</v>
      </c>
      <c r="AP41" s="14">
        <f t="shared" si="31"/>
        <v>11527943.448369114</v>
      </c>
      <c r="AQ41" s="13">
        <f>'VUSTX-MCSummary'!K38</f>
        <v>7.0830650354152891E-3</v>
      </c>
      <c r="AR41" s="12">
        <f t="shared" si="32"/>
        <v>1968943.9483798316</v>
      </c>
      <c r="AS41" s="12">
        <f t="shared" si="16"/>
        <v>185476.08319722454</v>
      </c>
      <c r="AT41" s="14">
        <f t="shared" si="33"/>
        <v>2169679.9287743177</v>
      </c>
      <c r="AU41" s="30">
        <f t="shared" si="17"/>
        <v>15200476.462745184</v>
      </c>
      <c r="AV41" s="21" t="str">
        <f t="shared" si="2"/>
        <v>Reached</v>
      </c>
      <c r="AW41" s="21">
        <f t="shared" si="34"/>
        <v>5445651.5167160388</v>
      </c>
    </row>
    <row r="42" spans="1:49" ht="15" thickTop="1" thickBot="1" x14ac:dyDescent="0.6">
      <c r="A42" s="9">
        <f>COKE_MCSummary!D39</f>
        <v>2061</v>
      </c>
      <c r="C42" s="13">
        <f>COKE_MCSummary!I39</f>
        <v>-2.7046783625731138E-2</v>
      </c>
      <c r="D42" s="12">
        <f t="shared" si="18"/>
        <v>407945.50881760655</v>
      </c>
      <c r="E42" s="12">
        <f t="shared" si="3"/>
        <v>51005.92287923675</v>
      </c>
      <c r="F42" s="14">
        <f t="shared" si="4"/>
        <v>446538.27162901929</v>
      </c>
      <c r="G42" s="13">
        <f>'VTSMX-MCSummary'!I39</f>
        <v>1.1734028683181177E-2</v>
      </c>
      <c r="H42" s="12">
        <f t="shared" si="19"/>
        <v>3186242.3466747561</v>
      </c>
      <c r="I42" s="12">
        <f t="shared" si="5"/>
        <v>306035.53727542056</v>
      </c>
      <c r="J42" s="14">
        <f t="shared" si="6"/>
        <v>3533256.3728100867</v>
      </c>
      <c r="K42" s="13">
        <f>'VUSTX-MCSummary'!I39</f>
        <v>-9.4786729857819999E-3</v>
      </c>
      <c r="L42" s="12">
        <f t="shared" si="20"/>
        <v>1559684.9764154886</v>
      </c>
      <c r="M42" s="12">
        <f t="shared" si="7"/>
        <v>204023.691516947</v>
      </c>
      <c r="N42" s="14">
        <f t="shared" si="8"/>
        <v>1746991.0502269149</v>
      </c>
      <c r="O42" s="27">
        <f t="shared" si="9"/>
        <v>5726785.6946660206</v>
      </c>
      <c r="P42" s="21" t="str">
        <f t="shared" si="0"/>
        <v>Reached</v>
      </c>
      <c r="Q42" s="21">
        <f t="shared" si="35"/>
        <v>6006716.6683876431</v>
      </c>
      <c r="R42" s="5"/>
      <c r="S42" s="13">
        <f>COKE_MCSummary!J39</f>
        <v>0.21252413825226441</v>
      </c>
      <c r="T42" s="12">
        <f t="shared" si="21"/>
        <v>1405513.4140208485</v>
      </c>
      <c r="U42" s="12">
        <f t="shared" si="10"/>
        <v>51005.92287923675</v>
      </c>
      <c r="V42" s="14">
        <f t="shared" si="22"/>
        <v>1766064.8538225354</v>
      </c>
      <c r="W42" s="13">
        <f>'VTSMX-MCSummary'!J39</f>
        <v>9.0123953998299491E-2</v>
      </c>
      <c r="X42" s="12">
        <f t="shared" si="23"/>
        <v>8182228.5282220365</v>
      </c>
      <c r="Y42" s="12">
        <f t="shared" si="11"/>
        <v>306035.53727542056</v>
      </c>
      <c r="Z42" s="14">
        <f t="shared" si="24"/>
        <v>9253259.9856617693</v>
      </c>
      <c r="AA42" s="13">
        <f>'VUSTX-MCSummary'!J39</f>
        <v>-4.0214477211796577E-3</v>
      </c>
      <c r="AB42" s="12">
        <f t="shared" si="25"/>
        <v>1952137.2291308329</v>
      </c>
      <c r="AC42" s="12">
        <f t="shared" si="12"/>
        <v>204023.691516947</v>
      </c>
      <c r="AD42" s="14">
        <f t="shared" si="26"/>
        <v>2147490.0322269443</v>
      </c>
      <c r="AE42" s="27">
        <f t="shared" si="13"/>
        <v>13166814.871711249</v>
      </c>
      <c r="AF42" s="21" t="str">
        <f t="shared" si="1"/>
        <v>Reached</v>
      </c>
      <c r="AG42" s="21">
        <f t="shared" si="27"/>
        <v>6006716.6683876431</v>
      </c>
      <c r="AH42" s="5"/>
      <c r="AI42" s="13">
        <f>COKE_MCSummary!K39</f>
        <v>8.560692636968853E-2</v>
      </c>
      <c r="AJ42" s="12">
        <f t="shared" si="28"/>
        <v>1502853.0856017531</v>
      </c>
      <c r="AK42" s="12">
        <f t="shared" si="14"/>
        <v>51005.92287923675</v>
      </c>
      <c r="AL42" s="14">
        <f t="shared" si="29"/>
        <v>1686880.1022088993</v>
      </c>
      <c r="AM42" s="13">
        <f>'VTSMX-MCSummary'!K39</f>
        <v>8.5578293225817184E-2</v>
      </c>
      <c r="AN42" s="12">
        <f t="shared" si="30"/>
        <v>11527943.448369114</v>
      </c>
      <c r="AO42" s="12">
        <f t="shared" si="15"/>
        <v>306035.53727542056</v>
      </c>
      <c r="AP42" s="14">
        <f t="shared" si="31"/>
        <v>12846710.70930618</v>
      </c>
      <c r="AQ42" s="13">
        <f>'VUSTX-MCSummary'!K39</f>
        <v>-1.2894906511927513E-3</v>
      </c>
      <c r="AR42" s="12">
        <f t="shared" si="32"/>
        <v>2169679.9287743177</v>
      </c>
      <c r="AS42" s="12">
        <f t="shared" si="16"/>
        <v>204023.691516947</v>
      </c>
      <c r="AT42" s="14">
        <f t="shared" si="33"/>
        <v>2370642.7516641966</v>
      </c>
      <c r="AU42" s="30">
        <f t="shared" si="17"/>
        <v>16904233.563179277</v>
      </c>
      <c r="AV42" s="21" t="str">
        <f t="shared" si="2"/>
        <v>Reached</v>
      </c>
      <c r="AW42" s="21">
        <f t="shared" si="34"/>
        <v>6006716.6683876431</v>
      </c>
    </row>
    <row r="43" spans="1:49" ht="15" thickTop="1" thickBot="1" x14ac:dyDescent="0.6">
      <c r="A43" s="9">
        <f>COKE_MCSummary!D40</f>
        <v>2062</v>
      </c>
      <c r="C43" s="13">
        <f>COKE_MCSummary!I40</f>
        <v>4.4085884893914358E-2</v>
      </c>
      <c r="D43" s="12">
        <f t="shared" si="18"/>
        <v>446538.27162901929</v>
      </c>
      <c r="E43" s="12">
        <f t="shared" si="3"/>
        <v>56106.515167160433</v>
      </c>
      <c r="F43" s="14">
        <f t="shared" si="4"/>
        <v>524804.32700940222</v>
      </c>
      <c r="G43" s="13">
        <f>'VTSMX-MCSummary'!I40</f>
        <v>1.2446351931330497E-2</v>
      </c>
      <c r="H43" s="12">
        <f t="shared" si="19"/>
        <v>3533256.3728100867</v>
      </c>
      <c r="I43" s="12">
        <f t="shared" si="5"/>
        <v>336639.09100296267</v>
      </c>
      <c r="J43" s="14">
        <f t="shared" si="6"/>
        <v>3918061.5446931259</v>
      </c>
      <c r="K43" s="13">
        <f>'VUSTX-MCSummary'!I40</f>
        <v>-5.4999999999999938E-2</v>
      </c>
      <c r="L43" s="12">
        <f t="shared" si="20"/>
        <v>1746991.0502269149</v>
      </c>
      <c r="M43" s="12">
        <f t="shared" si="7"/>
        <v>224426.06066864173</v>
      </c>
      <c r="N43" s="14">
        <f t="shared" si="8"/>
        <v>1862989.1697963011</v>
      </c>
      <c r="O43" s="27">
        <f t="shared" si="9"/>
        <v>6305855.0414988287</v>
      </c>
      <c r="P43" s="21" t="str">
        <f t="shared" si="0"/>
        <v>Reached</v>
      </c>
      <c r="Q43" s="21">
        <f t="shared" si="35"/>
        <v>6623888.3352264082</v>
      </c>
      <c r="R43" s="5"/>
      <c r="S43" s="13">
        <f>COKE_MCSummary!J40</f>
        <v>0.13238079393923882</v>
      </c>
      <c r="T43" s="12">
        <f t="shared" si="21"/>
        <v>1766064.8538225354</v>
      </c>
      <c r="U43" s="12">
        <f t="shared" si="10"/>
        <v>56106.515167160433</v>
      </c>
      <c r="V43" s="14">
        <f t="shared" si="22"/>
        <v>2063391.8615099012</v>
      </c>
      <c r="W43" s="13">
        <f>'VTSMX-MCSummary'!J40</f>
        <v>0.13455841062680335</v>
      </c>
      <c r="X43" s="12">
        <f t="shared" si="23"/>
        <v>9253259.9856617693</v>
      </c>
      <c r="Y43" s="12">
        <f t="shared" si="11"/>
        <v>336639.09100296267</v>
      </c>
      <c r="Z43" s="14">
        <f t="shared" si="24"/>
        <v>10880300.654492188</v>
      </c>
      <c r="AA43" s="13">
        <f>'VUSTX-MCSummary'!J40</f>
        <v>-1.3422818791946022E-3</v>
      </c>
      <c r="AB43" s="12">
        <f t="shared" si="25"/>
        <v>2147490.0322269443</v>
      </c>
      <c r="AC43" s="12">
        <f t="shared" si="12"/>
        <v>224426.06066864173</v>
      </c>
      <c r="AD43" s="14">
        <f t="shared" si="26"/>
        <v>2368732.3129051221</v>
      </c>
      <c r="AE43" s="27">
        <f t="shared" si="13"/>
        <v>15312424.82890721</v>
      </c>
      <c r="AF43" s="21" t="str">
        <f t="shared" si="1"/>
        <v>Reached</v>
      </c>
      <c r="AG43" s="21">
        <f t="shared" si="27"/>
        <v>6623888.3352264082</v>
      </c>
      <c r="AH43" s="5"/>
      <c r="AI43" s="13">
        <f>COKE_MCSummary!K40</f>
        <v>-2.0705122390993762E-3</v>
      </c>
      <c r="AJ43" s="12">
        <f t="shared" si="28"/>
        <v>1686880.1022088993</v>
      </c>
      <c r="AK43" s="12">
        <f t="shared" si="14"/>
        <v>56106.515167160433</v>
      </c>
      <c r="AL43" s="14">
        <f t="shared" si="29"/>
        <v>1739377.7422521962</v>
      </c>
      <c r="AM43" s="13">
        <f>'VTSMX-MCSummary'!K40</f>
        <v>0.1439274370924831</v>
      </c>
      <c r="AN43" s="12">
        <f t="shared" si="30"/>
        <v>12846710.70930618</v>
      </c>
      <c r="AO43" s="12">
        <f t="shared" si="15"/>
        <v>336639.09100296267</v>
      </c>
      <c r="AP43" s="14">
        <f t="shared" si="31"/>
        <v>15080795.549361337</v>
      </c>
      <c r="AQ43" s="13">
        <f>'VUSTX-MCSummary'!K40</f>
        <v>1.0841836734693874E-2</v>
      </c>
      <c r="AR43" s="12">
        <f t="shared" si="32"/>
        <v>2370642.7516641966</v>
      </c>
      <c r="AS43" s="12">
        <f t="shared" si="16"/>
        <v>224426.06066864173</v>
      </c>
      <c r="AT43" s="14">
        <f t="shared" si="33"/>
        <v>2623204.1247114469</v>
      </c>
      <c r="AU43" s="30">
        <f t="shared" si="17"/>
        <v>19443377.416324981</v>
      </c>
      <c r="AV43" s="21" t="str">
        <f t="shared" si="2"/>
        <v>Reached</v>
      </c>
      <c r="AW43" s="21">
        <f t="shared" si="34"/>
        <v>6623888.3352264082</v>
      </c>
    </row>
    <row r="44" spans="1:49" ht="15" thickTop="1" thickBot="1" x14ac:dyDescent="0.6">
      <c r="A44" s="9">
        <f>COKE_MCSummary!D41</f>
        <v>2063</v>
      </c>
      <c r="C44" s="13">
        <f>COKE_MCSummary!I41</f>
        <v>-2.74786241106976E-2</v>
      </c>
      <c r="D44" s="15">
        <f t="shared" si="18"/>
        <v>524804.32700940222</v>
      </c>
      <c r="E44" s="15">
        <f t="shared" si="3"/>
        <v>61717.16668387648</v>
      </c>
      <c r="F44" s="16">
        <f t="shared" si="4"/>
        <v>570404.69003523618</v>
      </c>
      <c r="G44" s="13">
        <f>'VTSMX-MCSummary'!I41</f>
        <v>3.592199794731455E-3</v>
      </c>
      <c r="H44" s="15">
        <f t="shared" si="19"/>
        <v>3918061.5446931259</v>
      </c>
      <c r="I44" s="15">
        <f t="shared" si="5"/>
        <v>370303.00010325899</v>
      </c>
      <c r="J44" s="16">
        <f t="shared" si="6"/>
        <v>4303769.2070339359</v>
      </c>
      <c r="K44" s="13">
        <f>'VUSTX-MCSummary'!I41</f>
        <v>-1.0101010101010111E-2</v>
      </c>
      <c r="L44" s="15">
        <f t="shared" si="20"/>
        <v>1862989.1697963011</v>
      </c>
      <c r="M44" s="15">
        <f t="shared" si="7"/>
        <v>246868.66673550592</v>
      </c>
      <c r="N44" s="16">
        <f t="shared" si="8"/>
        <v>2088546.1412133034</v>
      </c>
      <c r="O44" s="27">
        <f t="shared" si="9"/>
        <v>6962720.0382824754</v>
      </c>
      <c r="P44" s="21" t="str">
        <f t="shared" si="0"/>
        <v>Reached</v>
      </c>
      <c r="Q44" s="21">
        <f t="shared" si="35"/>
        <v>7302777.1687490493</v>
      </c>
      <c r="R44" s="5"/>
      <c r="S44" s="13">
        <f>COKE_MCSummary!J41</f>
        <v>-4.3663166344892972E-2</v>
      </c>
      <c r="T44" s="15">
        <f t="shared" si="21"/>
        <v>2063391.8615099012</v>
      </c>
      <c r="U44" s="15">
        <f t="shared" si="10"/>
        <v>61717.16668387648</v>
      </c>
      <c r="V44" s="16">
        <f t="shared" si="22"/>
        <v>2032320.0391947192</v>
      </c>
      <c r="W44" s="13">
        <f>'VTSMX-MCSummary'!J41</f>
        <v>6.464513277862502E-2</v>
      </c>
      <c r="X44" s="15">
        <f t="shared" si="23"/>
        <v>10880300.654492188</v>
      </c>
      <c r="Y44" s="15">
        <f t="shared" si="11"/>
        <v>370303.00010325899</v>
      </c>
      <c r="Z44" s="16">
        <f t="shared" si="24"/>
        <v>11977900.421686454</v>
      </c>
      <c r="AA44" s="13">
        <f>'VUSTX-MCSummary'!J41</f>
        <v>-1.0854816824966088E-2</v>
      </c>
      <c r="AB44" s="15">
        <f t="shared" si="25"/>
        <v>2368732.3129051221</v>
      </c>
      <c r="AC44" s="15">
        <f t="shared" si="12"/>
        <v>246868.66673550592</v>
      </c>
      <c r="AD44" s="16">
        <f t="shared" si="26"/>
        <v>2587209.1101194271</v>
      </c>
      <c r="AE44" s="27">
        <f t="shared" si="13"/>
        <v>16597429.5710006</v>
      </c>
      <c r="AF44" s="21" t="str">
        <f t="shared" si="1"/>
        <v>Reached</v>
      </c>
      <c r="AG44" s="21">
        <f t="shared" si="27"/>
        <v>7302777.1687490493</v>
      </c>
      <c r="AH44" s="5"/>
      <c r="AI44" s="13">
        <f>COKE_MCSummary!K41</f>
        <v>0.11071531846260209</v>
      </c>
      <c r="AJ44" s="15">
        <f t="shared" si="28"/>
        <v>1739377.7422521962</v>
      </c>
      <c r="AK44" s="15">
        <f t="shared" si="14"/>
        <v>61717.16668387648</v>
      </c>
      <c r="AL44" s="16">
        <f t="shared" si="29"/>
        <v>2000503.7053603013</v>
      </c>
      <c r="AM44" s="13">
        <f>'VTSMX-MCSummary'!K41</f>
        <v>3.707855658274635E-2</v>
      </c>
      <c r="AN44" s="15">
        <f t="shared" si="30"/>
        <v>15080795.549361337</v>
      </c>
      <c r="AO44" s="15">
        <f t="shared" si="15"/>
        <v>370303.00010325899</v>
      </c>
      <c r="AP44" s="16">
        <f t="shared" si="31"/>
        <v>16024002.981296508</v>
      </c>
      <c r="AQ44" s="13">
        <f>'VUSTX-MCSummary'!K41</f>
        <v>-7.0648683365446005E-3</v>
      </c>
      <c r="AR44" s="15">
        <f t="shared" si="32"/>
        <v>2623204.1247114469</v>
      </c>
      <c r="AS44" s="15">
        <f t="shared" si="16"/>
        <v>246868.66673550592</v>
      </c>
      <c r="AT44" s="16">
        <f t="shared" si="33"/>
        <v>2849796.1050590812</v>
      </c>
      <c r="AU44" s="31">
        <f t="shared" si="17"/>
        <v>20874302.79171589</v>
      </c>
      <c r="AV44" s="21" t="str">
        <f t="shared" si="2"/>
        <v>Reached</v>
      </c>
      <c r="AW44" s="21">
        <f t="shared" si="34"/>
        <v>7302777.1687490493</v>
      </c>
    </row>
    <row r="45" spans="1:49" ht="14.7" thickTop="1" x14ac:dyDescent="0.55000000000000004"/>
    <row r="46" spans="1:49" x14ac:dyDescent="0.55000000000000004">
      <c r="E46" t="s">
        <v>36</v>
      </c>
    </row>
    <row r="47" spans="1:49" x14ac:dyDescent="0.55000000000000004">
      <c r="E47" s="12">
        <f>SUM(E5:E44)</f>
        <v>663888.83352264063</v>
      </c>
    </row>
  </sheetData>
  <mergeCells count="10">
    <mergeCell ref="AM3:AP3"/>
    <mergeCell ref="AQ3:AT3"/>
    <mergeCell ref="A1:U1"/>
    <mergeCell ref="C3:F3"/>
    <mergeCell ref="S3:V3"/>
    <mergeCell ref="AI3:AL3"/>
    <mergeCell ref="G3:J3"/>
    <mergeCell ref="K3:N3"/>
    <mergeCell ref="W3:Z3"/>
    <mergeCell ref="AA3:A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9454-1009-4D14-8DB6-754352D63E90}">
  <dimension ref="A1:X47"/>
  <sheetViews>
    <sheetView topLeftCell="F1" workbookViewId="0">
      <selection activeCell="W23" sqref="W23"/>
    </sheetView>
  </sheetViews>
  <sheetFormatPr defaultRowHeight="14.4" x14ac:dyDescent="0.55000000000000004"/>
  <cols>
    <col min="2" max="2" width="3.20703125" customWidth="1"/>
    <col min="4" max="4" width="11.5234375" bestFit="1" customWidth="1"/>
    <col min="5" max="5" width="11.5234375" customWidth="1"/>
    <col min="6" max="6" width="11.5234375" bestFit="1" customWidth="1"/>
    <col min="7" max="7" width="7.62890625" bestFit="1" customWidth="1"/>
    <col min="8" max="8" width="10.15625" bestFit="1" customWidth="1"/>
    <col min="9" max="9" width="4.3671875" customWidth="1"/>
    <col min="11" max="11" width="11.15625" bestFit="1" customWidth="1"/>
    <col min="12" max="12" width="9.734375" bestFit="1" customWidth="1"/>
    <col min="13" max="13" width="11.5234375" bestFit="1" customWidth="1"/>
    <col min="14" max="14" width="7.62890625" bestFit="1" customWidth="1"/>
    <col min="15" max="15" width="10.15625" bestFit="1" customWidth="1"/>
    <col min="16" max="16" width="6.05078125" customWidth="1"/>
    <col min="18" max="18" width="11.15625" bestFit="1" customWidth="1"/>
    <col min="19" max="19" width="9.734375" bestFit="1" customWidth="1"/>
    <col min="20" max="20" width="11.15625" bestFit="1" customWidth="1"/>
    <col min="21" max="21" width="7.62890625" bestFit="1" customWidth="1"/>
    <col min="22" max="22" width="10.15625" bestFit="1" customWidth="1"/>
  </cols>
  <sheetData>
    <row r="1" spans="1:24" x14ac:dyDescent="0.55000000000000004">
      <c r="A1" s="49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X1" s="6"/>
    </row>
    <row r="2" spans="1:24" ht="14.7" thickBot="1" x14ac:dyDescent="0.6">
      <c r="X2" s="6"/>
    </row>
    <row r="3" spans="1:24" x14ac:dyDescent="0.55000000000000004">
      <c r="C3" s="51" t="s">
        <v>31</v>
      </c>
      <c r="D3" s="52"/>
      <c r="E3" s="52"/>
      <c r="F3" s="53"/>
      <c r="G3" s="20" t="s">
        <v>37</v>
      </c>
      <c r="H3" s="20" t="s">
        <v>40</v>
      </c>
      <c r="J3" s="51" t="s">
        <v>32</v>
      </c>
      <c r="K3" s="52"/>
      <c r="L3" s="52"/>
      <c r="M3" s="53"/>
      <c r="N3" s="20" t="s">
        <v>37</v>
      </c>
      <c r="O3" s="20" t="s">
        <v>41</v>
      </c>
      <c r="Q3" s="51" t="s">
        <v>33</v>
      </c>
      <c r="R3" s="52"/>
      <c r="S3" s="52"/>
      <c r="T3" s="53"/>
      <c r="U3" s="20" t="s">
        <v>37</v>
      </c>
      <c r="V3" s="20" t="s">
        <v>41</v>
      </c>
      <c r="X3" s="6"/>
    </row>
    <row r="4" spans="1:24" s="10" customFormat="1" x14ac:dyDescent="0.55000000000000004">
      <c r="A4" s="10" t="str">
        <f>[1]MCSummary!$D$1</f>
        <v>Year</v>
      </c>
      <c r="B4"/>
      <c r="C4" s="17" t="str">
        <f>[1]MCSummary!$I$1</f>
        <v>5Per</v>
      </c>
      <c r="D4" s="18" t="s">
        <v>35</v>
      </c>
      <c r="E4" s="18" t="s">
        <v>30</v>
      </c>
      <c r="F4" s="19" t="s">
        <v>6</v>
      </c>
      <c r="G4" s="18"/>
      <c r="H4" s="18"/>
      <c r="J4" s="17" t="str">
        <f>[1]MCSummary!$J$1</f>
        <v>Mean</v>
      </c>
      <c r="K4" s="18" t="s">
        <v>35</v>
      </c>
      <c r="L4" s="18" t="s">
        <v>30</v>
      </c>
      <c r="M4" s="19" t="s">
        <v>6</v>
      </c>
      <c r="N4" s="18"/>
      <c r="O4" s="18"/>
      <c r="Q4" s="17" t="str">
        <f>[1]MCSummary!$K$1</f>
        <v>95Per</v>
      </c>
      <c r="R4" s="18" t="s">
        <v>35</v>
      </c>
      <c r="S4" s="18" t="s">
        <v>30</v>
      </c>
      <c r="T4" s="19" t="s">
        <v>6</v>
      </c>
      <c r="U4" s="18"/>
      <c r="V4" s="18"/>
    </row>
    <row r="5" spans="1:24" ht="14.7" thickBot="1" x14ac:dyDescent="0.6">
      <c r="A5" s="9">
        <f>SWTSX_MCSummary!D2</f>
        <v>2024</v>
      </c>
      <c r="C5" s="13">
        <f>SWTSX_MCSummary!I2</f>
        <v>-0.2026408680873317</v>
      </c>
      <c r="D5" s="12">
        <f>StartingPortfolio*SWTSX_AAP</f>
        <v>50000</v>
      </c>
      <c r="E5" s="12">
        <f>FirstJob_AnnualIncome*FirstJob_TargetSavingsPercent*SWTSX_AAP</f>
        <v>15000</v>
      </c>
      <c r="F5" s="14">
        <f>(D5+E5)*(1+C5)</f>
        <v>51828.343574323437</v>
      </c>
      <c r="G5" s="21" t="str">
        <f t="shared" ref="G5:G44" si="0">IF((F5-FinancialGoal)&gt;0,"Reached","")</f>
        <v/>
      </c>
      <c r="H5" s="21">
        <f>E5</f>
        <v>15000</v>
      </c>
      <c r="I5" s="7"/>
      <c r="J5" s="13">
        <f>SWTSX_MCSummary!J2</f>
        <v>1.9923290006392549E-2</v>
      </c>
      <c r="K5" s="12">
        <f>StartingPortfolio*SWTSX_AAP</f>
        <v>50000</v>
      </c>
      <c r="L5" s="12">
        <f>FirstJob_AnnualIncome*FirstJob_TargetSavingsPercent*SWTSX_AAP</f>
        <v>15000</v>
      </c>
      <c r="M5" s="14">
        <f>(K5+L5)*(1+J5)</f>
        <v>66295.013850415518</v>
      </c>
      <c r="N5" s="21" t="str">
        <f t="shared" ref="N5:N44" si="1">IF((M5-FinancialGoal)&gt;0,"Reached","")</f>
        <v/>
      </c>
      <c r="O5" s="21">
        <f>L5</f>
        <v>15000</v>
      </c>
      <c r="P5" s="7"/>
      <c r="Q5" s="13">
        <f>SWTSX_MCSummary!K2</f>
        <v>0.1959618914430557</v>
      </c>
      <c r="R5" s="12">
        <f>StartingPortfolio*SWTSX_AAP</f>
        <v>50000</v>
      </c>
      <c r="S5" s="12">
        <f>FirstJob_AnnualIncome*FirstJob_TargetSavingsPercent*SWTSX_AAP</f>
        <v>15000</v>
      </c>
      <c r="T5" s="14">
        <f>(R5+S5)*(1+Q5)</f>
        <v>77737.522943798613</v>
      </c>
      <c r="U5" s="21" t="str">
        <f t="shared" ref="U5:U44" si="2">IF((T5-FinancialGoal)&gt;0,"Reached","")</f>
        <v/>
      </c>
      <c r="V5" s="21">
        <f>S5</f>
        <v>15000</v>
      </c>
    </row>
    <row r="6" spans="1:24" ht="15" thickTop="1" thickBot="1" x14ac:dyDescent="0.6">
      <c r="A6" s="9">
        <f>SWTSX_MCSummary!D3</f>
        <v>2025</v>
      </c>
      <c r="C6" s="13">
        <f>SWTSX_MCSummary!I3</f>
        <v>-0.11096586782861294</v>
      </c>
      <c r="D6" s="12">
        <f>F5</f>
        <v>51828.343574323437</v>
      </c>
      <c r="E6" s="12">
        <f t="shared" ref="E6:E44" si="3">E5*(1+FirstJob_IncomeYrlyIncrease)</f>
        <v>16500</v>
      </c>
      <c r="F6" s="14">
        <f t="shared" ref="F6:F44" si="4">(D6+E6)*(1+C6)</f>
        <v>60746.229632307004</v>
      </c>
      <c r="G6" s="21" t="str">
        <f t="shared" si="0"/>
        <v/>
      </c>
      <c r="H6" s="21">
        <f>H5+E6</f>
        <v>31500</v>
      </c>
      <c r="I6" s="5"/>
      <c r="J6" s="13">
        <f>SWTSX_MCSummary!J3</f>
        <v>4.253799857186577E-2</v>
      </c>
      <c r="K6" s="12">
        <f>M5</f>
        <v>66295.013850415518</v>
      </c>
      <c r="L6" s="12">
        <f t="shared" ref="L6:L44" si="5">L5*(1+FirstJob_IncomeYrlyIncrease)</f>
        <v>16500</v>
      </c>
      <c r="M6" s="14">
        <f>(K6+L6)*(1+J6)</f>
        <v>86316.948031342094</v>
      </c>
      <c r="N6" s="21" t="str">
        <f t="shared" si="1"/>
        <v/>
      </c>
      <c r="O6" s="21">
        <f>L6+O5</f>
        <v>31500</v>
      </c>
      <c r="P6" s="5"/>
      <c r="Q6" s="13">
        <f>SWTSX_MCSummary!K3</f>
        <v>0.16991946600885158</v>
      </c>
      <c r="R6" s="12">
        <f>T5</f>
        <v>77737.522943798613</v>
      </c>
      <c r="S6" s="12">
        <f t="shared" ref="S6:S44" si="6">S5*(1+FirstJob_IncomeYrlyIncrease)</f>
        <v>16500</v>
      </c>
      <c r="T6" s="14">
        <f>(R6+S6)*(1+Q6)</f>
        <v>110250.31252040577</v>
      </c>
      <c r="U6" s="21" t="str">
        <f t="shared" si="2"/>
        <v/>
      </c>
      <c r="V6" s="21">
        <f>S6+V5</f>
        <v>31500</v>
      </c>
    </row>
    <row r="7" spans="1:24" ht="15" thickTop="1" thickBot="1" x14ac:dyDescent="0.6">
      <c r="A7" s="9">
        <f>SWTSX_MCSummary!D4</f>
        <v>2026</v>
      </c>
      <c r="C7" s="13">
        <f>SWTSX_MCSummary!I4</f>
        <v>-6.0209424083769586E-2</v>
      </c>
      <c r="D7" s="12">
        <f t="shared" ref="D7:D44" si="7">F6</f>
        <v>60746.229632307004</v>
      </c>
      <c r="E7" s="12">
        <f t="shared" si="3"/>
        <v>18150</v>
      </c>
      <c r="F7" s="14">
        <f t="shared" si="4"/>
        <v>74145.933083764961</v>
      </c>
      <c r="G7" s="21" t="str">
        <f t="shared" si="0"/>
        <v/>
      </c>
      <c r="H7" s="21">
        <f t="shared" ref="H7:H44" si="8">H6+E7</f>
        <v>49650</v>
      </c>
      <c r="I7" s="5"/>
      <c r="J7" s="13">
        <f>SWTSX_MCSummary!J4</f>
        <v>4.3142996583699383E-2</v>
      </c>
      <c r="K7" s="12">
        <f t="shared" ref="K7:K44" si="9">M6</f>
        <v>86316.948031342094</v>
      </c>
      <c r="L7" s="12">
        <f t="shared" si="5"/>
        <v>18150</v>
      </c>
      <c r="M7" s="14">
        <f t="shared" ref="M7:M44" si="10">(K7+L7)*(1+J7)</f>
        <v>108973.96521336779</v>
      </c>
      <c r="N7" s="21" t="str">
        <f t="shared" si="1"/>
        <v/>
      </c>
      <c r="O7" s="21">
        <f t="shared" ref="O7:O44" si="11">L7+O6</f>
        <v>49650</v>
      </c>
      <c r="P7" s="5"/>
      <c r="Q7" s="13">
        <f>SWTSX_MCSummary!K4</f>
        <v>0.1261649654472832</v>
      </c>
      <c r="R7" s="12">
        <f t="shared" ref="R7:R44" si="12">T6</f>
        <v>110250.31252040577</v>
      </c>
      <c r="S7" s="12">
        <f t="shared" si="6"/>
        <v>18150</v>
      </c>
      <c r="T7" s="14">
        <f t="shared" ref="T7:T44" si="13">(R7+S7)*(1+Q7)</f>
        <v>144599.93351296312</v>
      </c>
      <c r="U7" s="21" t="str">
        <f t="shared" si="2"/>
        <v/>
      </c>
      <c r="V7" s="21">
        <f t="shared" ref="V7:V44" si="14">S7+V6</f>
        <v>49650</v>
      </c>
    </row>
    <row r="8" spans="1:24" ht="15" thickTop="1" thickBot="1" x14ac:dyDescent="0.6">
      <c r="A8" s="9">
        <f>SWTSX_MCSummary!D5</f>
        <v>2027</v>
      </c>
      <c r="C8" s="13">
        <f>SWTSX_MCSummary!I5</f>
        <v>-4.1873896999839559E-2</v>
      </c>
      <c r="D8" s="12">
        <f t="shared" si="7"/>
        <v>74145.933083764961</v>
      </c>
      <c r="E8" s="12">
        <f t="shared" si="3"/>
        <v>19965</v>
      </c>
      <c r="F8" s="14">
        <f t="shared" si="4"/>
        <v>90170.141565256592</v>
      </c>
      <c r="G8" s="21" t="str">
        <f t="shared" si="0"/>
        <v/>
      </c>
      <c r="H8" s="21">
        <f t="shared" si="8"/>
        <v>69615</v>
      </c>
      <c r="I8" s="5"/>
      <c r="J8" s="13">
        <f>SWTSX_MCSummary!J5</f>
        <v>4.8569836552748921E-2</v>
      </c>
      <c r="K8" s="12">
        <f t="shared" si="9"/>
        <v>108973.96521336779</v>
      </c>
      <c r="L8" s="12">
        <f t="shared" si="5"/>
        <v>19965</v>
      </c>
      <c r="M8" s="14">
        <f t="shared" si="10"/>
        <v>135201.50967906165</v>
      </c>
      <c r="N8" s="21" t="str">
        <f t="shared" si="1"/>
        <v/>
      </c>
      <c r="O8" s="21">
        <f t="shared" si="11"/>
        <v>69615</v>
      </c>
      <c r="P8" s="5"/>
      <c r="Q8" s="13">
        <f>SWTSX_MCSummary!K5</f>
        <v>0.12323513062812683</v>
      </c>
      <c r="R8" s="12">
        <f t="shared" si="12"/>
        <v>144599.93351296312</v>
      </c>
      <c r="S8" s="12">
        <f t="shared" si="6"/>
        <v>19965</v>
      </c>
      <c r="T8" s="14">
        <f t="shared" si="13"/>
        <v>184845.11459124213</v>
      </c>
      <c r="U8" s="21" t="str">
        <f t="shared" si="2"/>
        <v/>
      </c>
      <c r="V8" s="21">
        <f t="shared" si="14"/>
        <v>69615</v>
      </c>
    </row>
    <row r="9" spans="1:24" ht="15" thickTop="1" thickBot="1" x14ac:dyDescent="0.6">
      <c r="A9" s="9">
        <f>SWTSX_MCSummary!D6</f>
        <v>2028</v>
      </c>
      <c r="C9" s="13">
        <f>SWTSX_MCSummary!I6</f>
        <v>-4.0741359158457134E-2</v>
      </c>
      <c r="D9" s="12">
        <f t="shared" si="7"/>
        <v>90170.141565256592</v>
      </c>
      <c r="E9" s="12">
        <f t="shared" si="3"/>
        <v>21961.5</v>
      </c>
      <c r="F9" s="14">
        <f t="shared" si="4"/>
        <v>107563.2460832191</v>
      </c>
      <c r="G9" s="21" t="str">
        <f t="shared" si="0"/>
        <v/>
      </c>
      <c r="H9" s="21">
        <f t="shared" si="8"/>
        <v>91576.5</v>
      </c>
      <c r="I9" s="5"/>
      <c r="J9" s="13">
        <f>SWTSX_MCSummary!J6</f>
        <v>4.5897572213361625E-2</v>
      </c>
      <c r="K9" s="12">
        <f t="shared" si="9"/>
        <v>135201.50967906165</v>
      </c>
      <c r="L9" s="12">
        <f t="shared" si="5"/>
        <v>21961.5</v>
      </c>
      <c r="M9" s="14">
        <f t="shared" si="10"/>
        <v>164376.41026507565</v>
      </c>
      <c r="N9" s="21" t="str">
        <f t="shared" si="1"/>
        <v/>
      </c>
      <c r="O9" s="21">
        <f t="shared" si="11"/>
        <v>91576.5</v>
      </c>
      <c r="P9" s="5"/>
      <c r="Q9" s="13">
        <f>SWTSX_MCSummary!K6</f>
        <v>0.11164880746629789</v>
      </c>
      <c r="R9" s="12">
        <f t="shared" si="12"/>
        <v>184845.11459124213</v>
      </c>
      <c r="S9" s="12">
        <f t="shared" si="6"/>
        <v>21961.5</v>
      </c>
      <c r="T9" s="14">
        <f t="shared" si="13"/>
        <v>229896.32648649657</v>
      </c>
      <c r="U9" s="21" t="str">
        <f t="shared" si="2"/>
        <v/>
      </c>
      <c r="V9" s="21">
        <f t="shared" si="14"/>
        <v>91576.5</v>
      </c>
    </row>
    <row r="10" spans="1:24" ht="15" thickTop="1" thickBot="1" x14ac:dyDescent="0.6">
      <c r="A10" s="9">
        <f>SWTSX_MCSummary!D7</f>
        <v>2029</v>
      </c>
      <c r="C10" s="13">
        <f>SWTSX_MCSummary!I7</f>
        <v>-2.6392459297343601E-2</v>
      </c>
      <c r="D10" s="12">
        <f t="shared" si="7"/>
        <v>107563.2460832191</v>
      </c>
      <c r="E10" s="12">
        <f t="shared" si="3"/>
        <v>24157.65</v>
      </c>
      <c r="F10" s="14">
        <f t="shared" si="4"/>
        <v>128244.45769473311</v>
      </c>
      <c r="G10" s="21" t="str">
        <f t="shared" si="0"/>
        <v/>
      </c>
      <c r="H10" s="21">
        <f t="shared" si="8"/>
        <v>115734.15</v>
      </c>
      <c r="I10" s="5"/>
      <c r="J10" s="13">
        <f>SWTSX_MCSummary!J7</f>
        <v>4.1121495327102832E-2</v>
      </c>
      <c r="K10" s="12">
        <f t="shared" si="9"/>
        <v>164376.41026507565</v>
      </c>
      <c r="L10" s="12">
        <f t="shared" si="5"/>
        <v>24157.65</v>
      </c>
      <c r="M10" s="14">
        <f t="shared" si="10"/>
        <v>196286.86274326569</v>
      </c>
      <c r="N10" s="21" t="str">
        <f t="shared" si="1"/>
        <v/>
      </c>
      <c r="O10" s="21">
        <f t="shared" si="11"/>
        <v>115734.15</v>
      </c>
      <c r="P10" s="5"/>
      <c r="Q10" s="13">
        <f>SWTSX_MCSummary!K7</f>
        <v>8.8408732838172466E-2</v>
      </c>
      <c r="R10" s="12">
        <f t="shared" si="12"/>
        <v>229896.32648649657</v>
      </c>
      <c r="S10" s="12">
        <f t="shared" si="6"/>
        <v>24157.65</v>
      </c>
      <c r="T10" s="14">
        <f t="shared" si="13"/>
        <v>276514.56662016659</v>
      </c>
      <c r="U10" s="21" t="str">
        <f t="shared" si="2"/>
        <v/>
      </c>
      <c r="V10" s="21">
        <f t="shared" si="14"/>
        <v>115734.15</v>
      </c>
    </row>
    <row r="11" spans="1:24" ht="15" thickTop="1" thickBot="1" x14ac:dyDescent="0.6">
      <c r="A11" s="9">
        <f>SWTSX_MCSummary!D8</f>
        <v>2030</v>
      </c>
      <c r="C11" s="13">
        <f>SWTSX_MCSummary!I8</f>
        <v>-1.7791732077446418E-2</v>
      </c>
      <c r="D11" s="12">
        <f t="shared" si="7"/>
        <v>128244.45769473311</v>
      </c>
      <c r="E11" s="12">
        <f t="shared" si="3"/>
        <v>26573.415000000005</v>
      </c>
      <c r="F11" s="14">
        <f t="shared" si="4"/>
        <v>152063.39458294821</v>
      </c>
      <c r="G11" s="21" t="str">
        <f t="shared" si="0"/>
        <v/>
      </c>
      <c r="H11" s="21">
        <f t="shared" si="8"/>
        <v>142307.565</v>
      </c>
      <c r="I11" s="5"/>
      <c r="J11" s="13">
        <f>SWTSX_MCSummary!J8</f>
        <v>5.0500161342368434E-2</v>
      </c>
      <c r="K11" s="12">
        <f t="shared" si="9"/>
        <v>196286.86274326569</v>
      </c>
      <c r="L11" s="12">
        <f t="shared" si="5"/>
        <v>26573.415000000005</v>
      </c>
      <c r="M11" s="14">
        <f t="shared" si="10"/>
        <v>234114.75772610563</v>
      </c>
      <c r="N11" s="21" t="str">
        <f t="shared" si="1"/>
        <v/>
      </c>
      <c r="O11" s="21">
        <f t="shared" si="11"/>
        <v>142307.565</v>
      </c>
      <c r="P11" s="5"/>
      <c r="Q11" s="13">
        <f>SWTSX_MCSummary!K8</f>
        <v>0.10111677591648451</v>
      </c>
      <c r="R11" s="12">
        <f t="shared" si="12"/>
        <v>276514.56662016659</v>
      </c>
      <c r="S11" s="12">
        <f t="shared" si="6"/>
        <v>26573.415000000005</v>
      </c>
      <c r="T11" s="14">
        <f t="shared" si="13"/>
        <v>333735.26114063256</v>
      </c>
      <c r="U11" s="21" t="str">
        <f t="shared" si="2"/>
        <v/>
      </c>
      <c r="V11" s="21">
        <f t="shared" si="14"/>
        <v>142307.565</v>
      </c>
    </row>
    <row r="12" spans="1:24" ht="15" thickTop="1" thickBot="1" x14ac:dyDescent="0.6">
      <c r="A12" s="9">
        <f>SWTSX_MCSummary!D9</f>
        <v>2031</v>
      </c>
      <c r="C12" s="13">
        <f>SWTSX_MCSummary!I9</f>
        <v>-1.883774657899405E-2</v>
      </c>
      <c r="D12" s="12">
        <f t="shared" si="7"/>
        <v>152063.39458294821</v>
      </c>
      <c r="E12" s="12">
        <f t="shared" si="3"/>
        <v>29230.756500000007</v>
      </c>
      <c r="F12" s="14">
        <f t="shared" si="4"/>
        <v>177878.9778085938</v>
      </c>
      <c r="G12" s="21" t="str">
        <f t="shared" si="0"/>
        <v/>
      </c>
      <c r="H12" s="21">
        <f t="shared" si="8"/>
        <v>171538.32150000002</v>
      </c>
      <c r="I12" s="5"/>
      <c r="J12" s="13">
        <f>SWTSX_MCSummary!J9</f>
        <v>4.0854224698235957E-2</v>
      </c>
      <c r="K12" s="12">
        <f t="shared" si="9"/>
        <v>234114.75772610563</v>
      </c>
      <c r="L12" s="12">
        <f t="shared" si="5"/>
        <v>29230.756500000007</v>
      </c>
      <c r="M12" s="14">
        <f t="shared" si="10"/>
        <v>274104.29103757144</v>
      </c>
      <c r="N12" s="21" t="str">
        <f t="shared" si="1"/>
        <v/>
      </c>
      <c r="O12" s="21">
        <f t="shared" si="11"/>
        <v>171538.32150000002</v>
      </c>
      <c r="P12" s="5"/>
      <c r="Q12" s="13">
        <f>SWTSX_MCSummary!K9</f>
        <v>7.3028018453921553E-2</v>
      </c>
      <c r="R12" s="12">
        <f t="shared" si="12"/>
        <v>333735.26114063256</v>
      </c>
      <c r="S12" s="12">
        <f t="shared" si="6"/>
        <v>29230.756500000007</v>
      </c>
      <c r="T12" s="14">
        <f t="shared" si="13"/>
        <v>389472.70667503914</v>
      </c>
      <c r="U12" s="21" t="str">
        <f t="shared" si="2"/>
        <v/>
      </c>
      <c r="V12" s="21">
        <f t="shared" si="14"/>
        <v>171538.32150000002</v>
      </c>
    </row>
    <row r="13" spans="1:24" ht="15" thickTop="1" thickBot="1" x14ac:dyDescent="0.6">
      <c r="A13" s="9">
        <f>SWTSX_MCSummary!D10</f>
        <v>2032</v>
      </c>
      <c r="C13" s="13">
        <f>SWTSX_MCSummary!I10</f>
        <v>-1.7540687160940434E-2</v>
      </c>
      <c r="D13" s="12">
        <f t="shared" si="7"/>
        <v>177878.9778085938</v>
      </c>
      <c r="E13" s="12">
        <f t="shared" si="3"/>
        <v>32153.832150000009</v>
      </c>
      <c r="F13" s="14">
        <f t="shared" si="4"/>
        <v>206348.69014557684</v>
      </c>
      <c r="G13" s="21" t="str">
        <f t="shared" si="0"/>
        <v/>
      </c>
      <c r="H13" s="21">
        <f t="shared" si="8"/>
        <v>203692.15365000002</v>
      </c>
      <c r="I13" s="5"/>
      <c r="J13" s="13">
        <f>SWTSX_MCSummary!J10</f>
        <v>5.4710356933879385E-2</v>
      </c>
      <c r="K13" s="12">
        <f t="shared" si="9"/>
        <v>274104.29103757144</v>
      </c>
      <c r="L13" s="12">
        <f t="shared" si="5"/>
        <v>32153.832150000009</v>
      </c>
      <c r="M13" s="14">
        <f t="shared" si="10"/>
        <v>323013.61442106351</v>
      </c>
      <c r="N13" s="21" t="str">
        <f t="shared" si="1"/>
        <v/>
      </c>
      <c r="O13" s="21">
        <f t="shared" si="11"/>
        <v>203692.15365000002</v>
      </c>
      <c r="P13" s="5"/>
      <c r="Q13" s="13">
        <f>SWTSX_MCSummary!K10</f>
        <v>0.10704357437116917</v>
      </c>
      <c r="R13" s="12">
        <f t="shared" si="12"/>
        <v>389472.70667503914</v>
      </c>
      <c r="S13" s="12">
        <f t="shared" si="6"/>
        <v>32153.832150000009</v>
      </c>
      <c r="T13" s="14">
        <f t="shared" si="13"/>
        <v>466758.95059061586</v>
      </c>
      <c r="U13" s="21" t="str">
        <f t="shared" si="2"/>
        <v/>
      </c>
      <c r="V13" s="21">
        <f t="shared" si="14"/>
        <v>203692.15365000002</v>
      </c>
    </row>
    <row r="14" spans="1:24" ht="15" thickTop="1" thickBot="1" x14ac:dyDescent="0.6">
      <c r="A14" s="9">
        <f>SWTSX_MCSummary!D11</f>
        <v>2033</v>
      </c>
      <c r="C14" s="13">
        <f>SWTSX_MCSummary!I11</f>
        <v>-9.1240875912408769E-3</v>
      </c>
      <c r="D14" s="12">
        <f t="shared" si="7"/>
        <v>206348.69014557684</v>
      </c>
      <c r="E14" s="12">
        <f t="shared" si="3"/>
        <v>35369.215365000011</v>
      </c>
      <c r="F14" s="14">
        <f t="shared" si="4"/>
        <v>239512.45016832708</v>
      </c>
      <c r="G14" s="21" t="str">
        <f t="shared" si="0"/>
        <v/>
      </c>
      <c r="H14" s="21">
        <f t="shared" si="8"/>
        <v>239061.36901500003</v>
      </c>
      <c r="I14" s="5"/>
      <c r="J14" s="13">
        <f>SWTSX_MCSummary!J11</f>
        <v>5.0555555555555562E-2</v>
      </c>
      <c r="K14" s="12">
        <f t="shared" si="9"/>
        <v>323013.61442106351</v>
      </c>
      <c r="L14" s="12">
        <f t="shared" si="5"/>
        <v>35369.215365000011</v>
      </c>
      <c r="M14" s="14">
        <f t="shared" si="10"/>
        <v>376501.07284747006</v>
      </c>
      <c r="N14" s="21" t="str">
        <f t="shared" si="1"/>
        <v/>
      </c>
      <c r="O14" s="21">
        <f t="shared" si="11"/>
        <v>239061.36901500003</v>
      </c>
      <c r="P14" s="5"/>
      <c r="Q14" s="13">
        <f>SWTSX_MCSummary!K11</f>
        <v>8.6299231875631141E-2</v>
      </c>
      <c r="R14" s="12">
        <f t="shared" si="12"/>
        <v>466758.95059061586</v>
      </c>
      <c r="S14" s="12">
        <f t="shared" si="6"/>
        <v>35369.215365000011</v>
      </c>
      <c r="T14" s="14">
        <f t="shared" si="13"/>
        <v>545461.44098070497</v>
      </c>
      <c r="U14" s="21" t="str">
        <f t="shared" si="2"/>
        <v/>
      </c>
      <c r="V14" s="21">
        <f t="shared" si="14"/>
        <v>239061.36901500003</v>
      </c>
    </row>
    <row r="15" spans="1:24" ht="15" thickTop="1" thickBot="1" x14ac:dyDescent="0.6">
      <c r="A15" s="9">
        <f>SWTSX_MCSummary!D12</f>
        <v>2034</v>
      </c>
      <c r="C15" s="13">
        <f>SWTSX_MCSummary!I12</f>
        <v>-1.4251341847121896E-2</v>
      </c>
      <c r="D15" s="12">
        <f t="shared" si="7"/>
        <v>239512.45016832708</v>
      </c>
      <c r="E15" s="12">
        <f t="shared" si="3"/>
        <v>38906.136901500016</v>
      </c>
      <c r="F15" s="14">
        <f t="shared" si="4"/>
        <v>274450.74860890233</v>
      </c>
      <c r="G15" s="21" t="str">
        <f t="shared" si="0"/>
        <v/>
      </c>
      <c r="H15" s="21">
        <f t="shared" si="8"/>
        <v>277967.50591650006</v>
      </c>
      <c r="I15" s="5"/>
      <c r="J15" s="13">
        <f>SWTSX_MCSummary!J12</f>
        <v>5.0632911392405104E-2</v>
      </c>
      <c r="K15" s="12">
        <f t="shared" si="9"/>
        <v>376501.07284747006</v>
      </c>
      <c r="L15" s="12">
        <f t="shared" si="5"/>
        <v>38906.136901500016</v>
      </c>
      <c r="M15" s="14">
        <f t="shared" si="10"/>
        <v>436440.48619195592</v>
      </c>
      <c r="N15" s="21" t="str">
        <f t="shared" si="1"/>
        <v/>
      </c>
      <c r="O15" s="21">
        <f t="shared" si="11"/>
        <v>277967.50591650006</v>
      </c>
      <c r="P15" s="5"/>
      <c r="Q15" s="13">
        <f>SWTSX_MCSummary!K12</f>
        <v>9.3111678507992929E-2</v>
      </c>
      <c r="R15" s="12">
        <f t="shared" si="12"/>
        <v>545461.44098070497</v>
      </c>
      <c r="S15" s="12">
        <f t="shared" si="6"/>
        <v>38906.136901500016</v>
      </c>
      <c r="T15" s="14">
        <f t="shared" si="13"/>
        <v>638779.02392446739</v>
      </c>
      <c r="U15" s="21" t="str">
        <f t="shared" si="2"/>
        <v/>
      </c>
      <c r="V15" s="21">
        <f t="shared" si="14"/>
        <v>277967.50591650006</v>
      </c>
    </row>
    <row r="16" spans="1:24" ht="15" thickTop="1" thickBot="1" x14ac:dyDescent="0.6">
      <c r="A16" s="9">
        <f>SWTSX_MCSummary!D13</f>
        <v>2035</v>
      </c>
      <c r="C16" s="13">
        <f>SWTSX_MCSummary!I13</f>
        <v>9.3509350935093143E-3</v>
      </c>
      <c r="D16" s="12">
        <f t="shared" si="7"/>
        <v>274450.74860890233</v>
      </c>
      <c r="E16" s="12">
        <f t="shared" si="3"/>
        <v>42796.750591650023</v>
      </c>
      <c r="F16" s="14">
        <f t="shared" si="4"/>
        <v>320214.05997415486</v>
      </c>
      <c r="G16" s="21" t="str">
        <f t="shared" si="0"/>
        <v/>
      </c>
      <c r="H16" s="21">
        <f t="shared" si="8"/>
        <v>320764.25650815008</v>
      </c>
      <c r="I16" s="5"/>
      <c r="J16" s="13">
        <f>SWTSX_MCSummary!J13</f>
        <v>5.0754114775642942E-2</v>
      </c>
      <c r="K16" s="12">
        <f t="shared" si="9"/>
        <v>436440.48619195592</v>
      </c>
      <c r="L16" s="12">
        <f t="shared" si="5"/>
        <v>42796.750591650023</v>
      </c>
      <c r="M16" s="14">
        <f t="shared" si="10"/>
        <v>503560.49850408308</v>
      </c>
      <c r="N16" s="21" t="str">
        <f t="shared" si="1"/>
        <v/>
      </c>
      <c r="O16" s="21">
        <f t="shared" si="11"/>
        <v>320764.25650815008</v>
      </c>
      <c r="P16" s="5"/>
      <c r="Q16" s="13">
        <f>SWTSX_MCSummary!K13</f>
        <v>7.9289638431072007E-2</v>
      </c>
      <c r="R16" s="12">
        <f t="shared" si="12"/>
        <v>638779.02392446739</v>
      </c>
      <c r="S16" s="12">
        <f t="shared" si="6"/>
        <v>42796.750591650023</v>
      </c>
      <c r="T16" s="14">
        <f t="shared" si="13"/>
        <v>735617.67124087818</v>
      </c>
      <c r="U16" s="21" t="str">
        <f t="shared" si="2"/>
        <v/>
      </c>
      <c r="V16" s="21">
        <f t="shared" si="14"/>
        <v>320764.25650815008</v>
      </c>
    </row>
    <row r="17" spans="1:22" ht="15" thickTop="1" thickBot="1" x14ac:dyDescent="0.6">
      <c r="A17" s="9">
        <f>SWTSX_MCSummary!D14</f>
        <v>2036</v>
      </c>
      <c r="C17" s="13">
        <f>SWTSX_MCSummary!I14</f>
        <v>-3.1001890359168255E-2</v>
      </c>
      <c r="D17" s="12">
        <f t="shared" si="7"/>
        <v>320214.05997415486</v>
      </c>
      <c r="E17" s="12">
        <f t="shared" si="3"/>
        <v>47076.425650815028</v>
      </c>
      <c r="F17" s="14">
        <f t="shared" si="4"/>
        <v>355903.78625965893</v>
      </c>
      <c r="G17" s="21" t="str">
        <f t="shared" si="0"/>
        <v/>
      </c>
      <c r="H17" s="21">
        <f t="shared" si="8"/>
        <v>367840.68215896509</v>
      </c>
      <c r="I17" s="5"/>
      <c r="J17" s="13">
        <f>SWTSX_MCSummary!J14</f>
        <v>3.7235644996083672E-2</v>
      </c>
      <c r="K17" s="12">
        <f t="shared" si="9"/>
        <v>503560.49850408308</v>
      </c>
      <c r="L17" s="12">
        <f t="shared" si="5"/>
        <v>47076.425650815028</v>
      </c>
      <c r="M17" s="14">
        <f t="shared" si="10"/>
        <v>571140.24518446531</v>
      </c>
      <c r="N17" s="21" t="str">
        <f t="shared" si="1"/>
        <v/>
      </c>
      <c r="O17" s="21">
        <f t="shared" si="11"/>
        <v>367840.68215896509</v>
      </c>
      <c r="P17" s="5"/>
      <c r="Q17" s="13">
        <f>SWTSX_MCSummary!K14</f>
        <v>7.3135494872462861E-2</v>
      </c>
      <c r="R17" s="12">
        <f t="shared" si="12"/>
        <v>735617.67124087818</v>
      </c>
      <c r="S17" s="12">
        <f t="shared" si="6"/>
        <v>47076.425650815028</v>
      </c>
      <c r="T17" s="14">
        <f t="shared" si="13"/>
        <v>839936.81700162264</v>
      </c>
      <c r="U17" s="21" t="str">
        <f t="shared" si="2"/>
        <v/>
      </c>
      <c r="V17" s="21">
        <f t="shared" si="14"/>
        <v>367840.68215896509</v>
      </c>
    </row>
    <row r="18" spans="1:22" ht="15" thickTop="1" thickBot="1" x14ac:dyDescent="0.6">
      <c r="A18" s="9">
        <f>SWTSX_MCSummary!D15</f>
        <v>2037</v>
      </c>
      <c r="C18" s="13">
        <f>SWTSX_MCSummary!I15</f>
        <v>1.0289990645463128E-2</v>
      </c>
      <c r="D18" s="12">
        <f t="shared" si="7"/>
        <v>355903.78625965893</v>
      </c>
      <c r="E18" s="12">
        <f t="shared" si="3"/>
        <v>51784.068215896536</v>
      </c>
      <c r="F18" s="14">
        <f t="shared" si="4"/>
        <v>411882.9586843779</v>
      </c>
      <c r="G18" s="21" t="str">
        <f t="shared" si="0"/>
        <v/>
      </c>
      <c r="H18" s="21">
        <f t="shared" si="8"/>
        <v>419624.75037486164</v>
      </c>
      <c r="I18" s="5"/>
      <c r="J18" s="13">
        <f>SWTSX_MCSummary!J15</f>
        <v>5.8219372411053689E-2</v>
      </c>
      <c r="K18" s="12">
        <f t="shared" si="9"/>
        <v>571140.24518446531</v>
      </c>
      <c r="L18" s="12">
        <f t="shared" si="5"/>
        <v>51784.068215896536</v>
      </c>
      <c r="M18" s="14">
        <f t="shared" si="10"/>
        <v>659190.57598611747</v>
      </c>
      <c r="N18" s="21" t="str">
        <f t="shared" si="1"/>
        <v/>
      </c>
      <c r="O18" s="21">
        <f t="shared" si="11"/>
        <v>419624.75037486164</v>
      </c>
      <c r="P18" s="5"/>
      <c r="Q18" s="13">
        <f>SWTSX_MCSummary!K15</f>
        <v>8.3105320304017335E-2</v>
      </c>
      <c r="R18" s="12">
        <f t="shared" si="12"/>
        <v>839936.81700162264</v>
      </c>
      <c r="S18" s="12">
        <f t="shared" si="6"/>
        <v>51784.068215896536</v>
      </c>
      <c r="T18" s="14">
        <f t="shared" si="13"/>
        <v>965827.63500530284</v>
      </c>
      <c r="U18" s="21" t="str">
        <f t="shared" si="2"/>
        <v/>
      </c>
      <c r="V18" s="21">
        <f t="shared" si="14"/>
        <v>419624.75037486164</v>
      </c>
    </row>
    <row r="19" spans="1:22" ht="15" thickTop="1" thickBot="1" x14ac:dyDescent="0.6">
      <c r="A19" s="9">
        <f>SWTSX_MCSummary!D16</f>
        <v>2038</v>
      </c>
      <c r="C19" s="13">
        <f>SWTSX_MCSummary!I16</f>
        <v>-8.6808831855067145E-3</v>
      </c>
      <c r="D19" s="12">
        <f t="shared" si="7"/>
        <v>411882.9586843779</v>
      </c>
      <c r="E19" s="12">
        <f t="shared" si="3"/>
        <v>56962.475037486191</v>
      </c>
      <c r="F19" s="14">
        <f t="shared" si="4"/>
        <v>464775.44127966632</v>
      </c>
      <c r="G19" s="21" t="str">
        <f t="shared" si="0"/>
        <v/>
      </c>
      <c r="H19" s="21">
        <f t="shared" si="8"/>
        <v>476587.22541234782</v>
      </c>
      <c r="I19" s="5"/>
      <c r="J19" s="13">
        <f>SWTSX_MCSummary!J16</f>
        <v>5.9052805809172958E-2</v>
      </c>
      <c r="K19" s="12">
        <f t="shared" si="9"/>
        <v>659190.57598611747</v>
      </c>
      <c r="L19" s="12">
        <f t="shared" si="5"/>
        <v>56962.475037486191</v>
      </c>
      <c r="M19" s="14">
        <f t="shared" si="10"/>
        <v>758443.8980753473</v>
      </c>
      <c r="N19" s="21" t="str">
        <f t="shared" si="1"/>
        <v/>
      </c>
      <c r="O19" s="21">
        <f t="shared" si="11"/>
        <v>476587.22541234782</v>
      </c>
      <c r="P19" s="5"/>
      <c r="Q19" s="13">
        <f>SWTSX_MCSummary!K16</f>
        <v>8.8660201860281035E-2</v>
      </c>
      <c r="R19" s="12">
        <f t="shared" si="12"/>
        <v>965827.63500530284</v>
      </c>
      <c r="S19" s="12">
        <f t="shared" si="6"/>
        <v>56962.475037486191</v>
      </c>
      <c r="T19" s="14">
        <f t="shared" si="13"/>
        <v>1113470.8876598817</v>
      </c>
      <c r="U19" s="21" t="str">
        <f t="shared" si="2"/>
        <v/>
      </c>
      <c r="V19" s="21">
        <f t="shared" si="14"/>
        <v>476587.22541234782</v>
      </c>
    </row>
    <row r="20" spans="1:22" ht="15" thickTop="1" thickBot="1" x14ac:dyDescent="0.6">
      <c r="A20" s="9">
        <f>SWTSX_MCSummary!D17</f>
        <v>2039</v>
      </c>
      <c r="C20" s="13">
        <f>SWTSX_MCSummary!I17</f>
        <v>8.0494196929988705E-3</v>
      </c>
      <c r="D20" s="12">
        <f t="shared" si="7"/>
        <v>464775.44127966632</v>
      </c>
      <c r="E20" s="12">
        <f t="shared" si="3"/>
        <v>62658.722541234813</v>
      </c>
      <c r="F20" s="14">
        <f t="shared" si="4"/>
        <v>531679.70276592148</v>
      </c>
      <c r="G20" s="21" t="str">
        <f t="shared" si="0"/>
        <v/>
      </c>
      <c r="H20" s="21">
        <f t="shared" si="8"/>
        <v>539245.94795358262</v>
      </c>
      <c r="I20" s="5"/>
      <c r="J20" s="13">
        <f>SWTSX_MCSummary!J17</f>
        <v>4.5996332518337416E-2</v>
      </c>
      <c r="K20" s="12">
        <f t="shared" si="9"/>
        <v>758443.8980753473</v>
      </c>
      <c r="L20" s="12">
        <f t="shared" si="5"/>
        <v>62658.722541234813</v>
      </c>
      <c r="M20" s="14">
        <f t="shared" si="10"/>
        <v>858870.3297861407</v>
      </c>
      <c r="N20" s="21" t="str">
        <f t="shared" si="1"/>
        <v/>
      </c>
      <c r="O20" s="21">
        <f t="shared" si="11"/>
        <v>539245.94795358262</v>
      </c>
      <c r="P20" s="5"/>
      <c r="Q20" s="13">
        <f>SWTSX_MCSummary!K17</f>
        <v>5.7645325525447162E-2</v>
      </c>
      <c r="R20" s="12">
        <f t="shared" si="12"/>
        <v>1113470.8876598817</v>
      </c>
      <c r="S20" s="12">
        <f t="shared" si="6"/>
        <v>62658.722541234813</v>
      </c>
      <c r="T20" s="14">
        <f t="shared" si="13"/>
        <v>1243927.9844412773</v>
      </c>
      <c r="U20" s="21" t="str">
        <f t="shared" si="2"/>
        <v/>
      </c>
      <c r="V20" s="21">
        <f t="shared" si="14"/>
        <v>539245.94795358262</v>
      </c>
    </row>
    <row r="21" spans="1:22" ht="15" thickTop="1" thickBot="1" x14ac:dyDescent="0.6">
      <c r="A21" s="9">
        <f>SWTSX_MCSummary!D18</f>
        <v>2040</v>
      </c>
      <c r="C21" s="13">
        <f>SWTSX_MCSummary!I18</f>
        <v>-2.4394820791893892E-3</v>
      </c>
      <c r="D21" s="12">
        <f t="shared" si="7"/>
        <v>531679.70276592148</v>
      </c>
      <c r="E21" s="12">
        <f t="shared" si="3"/>
        <v>68924.594795358295</v>
      </c>
      <c r="F21" s="14">
        <f t="shared" si="4"/>
        <v>599139.13414069486</v>
      </c>
      <c r="G21" s="21" t="str">
        <f t="shared" si="0"/>
        <v/>
      </c>
      <c r="H21" s="21">
        <f t="shared" si="8"/>
        <v>608170.54274894088</v>
      </c>
      <c r="I21" s="5"/>
      <c r="J21" s="13">
        <f>SWTSX_MCSummary!J18</f>
        <v>6.0759735910439268E-2</v>
      </c>
      <c r="K21" s="12">
        <f t="shared" si="9"/>
        <v>858870.3297861407</v>
      </c>
      <c r="L21" s="12">
        <f t="shared" si="5"/>
        <v>68924.594795358295</v>
      </c>
      <c r="M21" s="14">
        <f t="shared" si="10"/>
        <v>984167.49917811679</v>
      </c>
      <c r="N21" s="21" t="str">
        <f t="shared" si="1"/>
        <v/>
      </c>
      <c r="O21" s="21">
        <f t="shared" si="11"/>
        <v>608170.54274894088</v>
      </c>
      <c r="P21" s="5"/>
      <c r="Q21" s="13">
        <f>SWTSX_MCSummary!K18</f>
        <v>9.1015426343447947E-2</v>
      </c>
      <c r="R21" s="12">
        <f t="shared" si="12"/>
        <v>1243927.9844412773</v>
      </c>
      <c r="S21" s="12">
        <f t="shared" si="6"/>
        <v>68924.594795358295</v>
      </c>
      <c r="T21" s="14">
        <f t="shared" si="13"/>
        <v>1432342.4164619534</v>
      </c>
      <c r="U21" s="21" t="str">
        <f t="shared" si="2"/>
        <v/>
      </c>
      <c r="V21" s="21">
        <f t="shared" si="14"/>
        <v>608170.54274894088</v>
      </c>
    </row>
    <row r="22" spans="1:22" ht="15" thickTop="1" thickBot="1" x14ac:dyDescent="0.6">
      <c r="A22" s="9">
        <f>SWTSX_MCSummary!D19</f>
        <v>2041</v>
      </c>
      <c r="C22" s="13">
        <f>SWTSX_MCSummary!I19</f>
        <v>-2.2252062152311462E-2</v>
      </c>
      <c r="D22" s="12">
        <f t="shared" si="7"/>
        <v>599139.13414069486</v>
      </c>
      <c r="E22" s="12">
        <f t="shared" si="3"/>
        <v>75817.054274894137</v>
      </c>
      <c r="F22" s="14">
        <f t="shared" si="4"/>
        <v>659937.02136087813</v>
      </c>
      <c r="G22" s="21" t="str">
        <f t="shared" si="0"/>
        <v/>
      </c>
      <c r="H22" s="21">
        <f t="shared" si="8"/>
        <v>683987.59702383506</v>
      </c>
      <c r="I22" s="5"/>
      <c r="J22" s="13">
        <f>SWTSX_MCSummary!J19</f>
        <v>2.8582051401217539E-2</v>
      </c>
      <c r="K22" s="12">
        <f t="shared" si="9"/>
        <v>984167.49917811679</v>
      </c>
      <c r="L22" s="12">
        <f t="shared" si="5"/>
        <v>75817.054274894137</v>
      </c>
      <c r="M22" s="14">
        <f t="shared" si="10"/>
        <v>1090281.0864443015</v>
      </c>
      <c r="N22" s="21" t="str">
        <f t="shared" si="1"/>
        <v/>
      </c>
      <c r="O22" s="21">
        <f t="shared" si="11"/>
        <v>683987.59702383506</v>
      </c>
      <c r="P22" s="5"/>
      <c r="Q22" s="13">
        <f>SWTSX_MCSummary!K19</f>
        <v>4.085979545713217E-2</v>
      </c>
      <c r="R22" s="12">
        <f t="shared" si="12"/>
        <v>1432342.4164619534</v>
      </c>
      <c r="S22" s="12">
        <f t="shared" si="6"/>
        <v>75817.054274894137</v>
      </c>
      <c r="T22" s="14">
        <f t="shared" si="13"/>
        <v>1569782.5582278918</v>
      </c>
      <c r="U22" s="21" t="str">
        <f t="shared" si="2"/>
        <v/>
      </c>
      <c r="V22" s="21">
        <f t="shared" si="14"/>
        <v>683987.59702383506</v>
      </c>
    </row>
    <row r="23" spans="1:22" ht="15" thickTop="1" thickBot="1" x14ac:dyDescent="0.6">
      <c r="A23" s="9">
        <f>SWTSX_MCSummary!D20</f>
        <v>2042</v>
      </c>
      <c r="C23" s="13">
        <f>SWTSX_MCSummary!I20</f>
        <v>2.3417010116148371E-2</v>
      </c>
      <c r="D23" s="12">
        <f t="shared" si="7"/>
        <v>659937.02136087813</v>
      </c>
      <c r="E23" s="12">
        <f t="shared" si="3"/>
        <v>83398.759702383555</v>
      </c>
      <c r="F23" s="14">
        <f t="shared" si="4"/>
        <v>760742.48256811511</v>
      </c>
      <c r="G23" s="21" t="str">
        <f t="shared" si="0"/>
        <v/>
      </c>
      <c r="H23" s="21">
        <f t="shared" si="8"/>
        <v>767386.3567262186</v>
      </c>
      <c r="I23" s="5"/>
      <c r="J23" s="13">
        <f>SWTSX_MCSummary!J20</f>
        <v>7.0258825562805244E-2</v>
      </c>
      <c r="K23" s="12">
        <f t="shared" si="9"/>
        <v>1090281.0864443015</v>
      </c>
      <c r="L23" s="12">
        <f t="shared" si="5"/>
        <v>83398.759702383555</v>
      </c>
      <c r="M23" s="14">
        <f t="shared" si="10"/>
        <v>1256141.2137236851</v>
      </c>
      <c r="N23" s="21" t="str">
        <f t="shared" si="1"/>
        <v/>
      </c>
      <c r="O23" s="21">
        <f t="shared" si="11"/>
        <v>767386.3567262186</v>
      </c>
      <c r="P23" s="5"/>
      <c r="Q23" s="13">
        <f>SWTSX_MCSummary!K20</f>
        <v>0.10889754995001387</v>
      </c>
      <c r="R23" s="12">
        <f t="shared" si="12"/>
        <v>1569782.5582278918</v>
      </c>
      <c r="S23" s="12">
        <f t="shared" si="6"/>
        <v>83398.759702383555</v>
      </c>
      <c r="T23" s="14">
        <f t="shared" si="13"/>
        <v>1833208.7130760171</v>
      </c>
      <c r="U23" s="21" t="str">
        <f t="shared" si="2"/>
        <v/>
      </c>
      <c r="V23" s="21">
        <f t="shared" si="14"/>
        <v>767386.3567262186</v>
      </c>
    </row>
    <row r="24" spans="1:22" ht="15" thickTop="1" thickBot="1" x14ac:dyDescent="0.6">
      <c r="A24" s="9">
        <f>SWTSX_MCSummary!D21</f>
        <v>2043</v>
      </c>
      <c r="C24" s="13">
        <f>SWTSX_MCSummary!I21</f>
        <v>-6.2205466541000081E-3</v>
      </c>
      <c r="D24" s="12">
        <f t="shared" si="7"/>
        <v>760742.48256811511</v>
      </c>
      <c r="E24" s="12">
        <f t="shared" si="3"/>
        <v>91738.635672621924</v>
      </c>
      <c r="F24" s="14">
        <f t="shared" si="4"/>
        <v>847178.21967298118</v>
      </c>
      <c r="G24" s="21" t="str">
        <f t="shared" si="0"/>
        <v/>
      </c>
      <c r="H24" s="21">
        <f t="shared" si="8"/>
        <v>859124.99239884049</v>
      </c>
      <c r="I24" s="5"/>
      <c r="J24" s="13">
        <f>SWTSX_MCSummary!J21</f>
        <v>6.3718747471478279E-2</v>
      </c>
      <c r="K24" s="12">
        <f t="shared" si="9"/>
        <v>1256141.2137236851</v>
      </c>
      <c r="L24" s="12">
        <f t="shared" si="5"/>
        <v>91738.635672621924</v>
      </c>
      <c r="M24" s="14">
        <f t="shared" si="10"/>
        <v>1433765.0651418844</v>
      </c>
      <c r="N24" s="21" t="str">
        <f t="shared" si="1"/>
        <v/>
      </c>
      <c r="O24" s="21">
        <f t="shared" si="11"/>
        <v>859124.99239884049</v>
      </c>
      <c r="P24" s="5"/>
      <c r="Q24" s="13">
        <f>SWTSX_MCSummary!K21</f>
        <v>8.3753717077315104E-2</v>
      </c>
      <c r="R24" s="12">
        <f t="shared" si="12"/>
        <v>1833208.7130760171</v>
      </c>
      <c r="S24" s="12">
        <f t="shared" si="6"/>
        <v>91738.635672621924</v>
      </c>
      <c r="T24" s="14">
        <f t="shared" si="13"/>
        <v>2086168.8443844602</v>
      </c>
      <c r="U24" s="21" t="str">
        <f t="shared" si="2"/>
        <v>Reached</v>
      </c>
      <c r="V24" s="21">
        <f t="shared" si="14"/>
        <v>859124.99239884049</v>
      </c>
    </row>
    <row r="25" spans="1:22" ht="15" thickTop="1" thickBot="1" x14ac:dyDescent="0.6">
      <c r="A25" s="9">
        <f>SWTSX_MCSummary!D22</f>
        <v>2044</v>
      </c>
      <c r="C25" s="13">
        <f>SWTSX_MCSummary!I22</f>
        <v>-1.6673054810272085E-2</v>
      </c>
      <c r="D25" s="12">
        <f t="shared" si="7"/>
        <v>847178.21967298118</v>
      </c>
      <c r="E25" s="12">
        <f t="shared" si="3"/>
        <v>100912.49923988413</v>
      </c>
      <c r="F25" s="14">
        <f t="shared" si="4"/>
        <v>932283.15039132081</v>
      </c>
      <c r="G25" s="21" t="str">
        <f t="shared" si="0"/>
        <v/>
      </c>
      <c r="H25" s="21">
        <f t="shared" si="8"/>
        <v>960037.49163872458</v>
      </c>
      <c r="I25" s="5"/>
      <c r="J25" s="13">
        <f>SWTSX_MCSummary!J22</f>
        <v>4.8575827559661292E-2</v>
      </c>
      <c r="K25" s="12">
        <f t="shared" si="9"/>
        <v>1433765.0651418844</v>
      </c>
      <c r="L25" s="12">
        <f t="shared" si="5"/>
        <v>100912.49923988413</v>
      </c>
      <c r="M25" s="14">
        <f t="shared" si="10"/>
        <v>1609225.7971088581</v>
      </c>
      <c r="N25" s="21" t="str">
        <f t="shared" si="1"/>
        <v/>
      </c>
      <c r="O25" s="21">
        <f t="shared" si="11"/>
        <v>960037.49163872458</v>
      </c>
      <c r="P25" s="5"/>
      <c r="Q25" s="13">
        <f>SWTSX_MCSummary!K22</f>
        <v>6.2676538294033482E-2</v>
      </c>
      <c r="R25" s="12">
        <f t="shared" si="12"/>
        <v>2086168.8443844602</v>
      </c>
      <c r="S25" s="12">
        <f t="shared" si="6"/>
        <v>100912.49923988413</v>
      </c>
      <c r="T25" s="14">
        <f t="shared" si="13"/>
        <v>2324160.0312101822</v>
      </c>
      <c r="U25" s="21" t="str">
        <f t="shared" si="2"/>
        <v>Reached</v>
      </c>
      <c r="V25" s="21">
        <f t="shared" si="14"/>
        <v>960037.49163872458</v>
      </c>
    </row>
    <row r="26" spans="1:22" ht="15" thickTop="1" thickBot="1" x14ac:dyDescent="0.6">
      <c r="A26" s="9">
        <f>SWTSX_MCSummary!D23</f>
        <v>2045</v>
      </c>
      <c r="C26" s="13">
        <f>SWTSX_MCSummary!I23</f>
        <v>1.1180595035057863E-2</v>
      </c>
      <c r="D26" s="12">
        <f t="shared" si="7"/>
        <v>932283.15039132081</v>
      </c>
      <c r="E26" s="12">
        <f t="shared" si="3"/>
        <v>111003.74916387255</v>
      </c>
      <c r="F26" s="14">
        <f t="shared" si="4"/>
        <v>1054951.467884501</v>
      </c>
      <c r="G26" s="21" t="str">
        <f t="shared" si="0"/>
        <v/>
      </c>
      <c r="H26" s="21">
        <f t="shared" si="8"/>
        <v>1071041.240802597</v>
      </c>
      <c r="I26" s="5"/>
      <c r="J26" s="13">
        <f>SWTSX_MCSummary!J23</f>
        <v>5.2481855647543624E-2</v>
      </c>
      <c r="K26" s="12">
        <f t="shared" si="9"/>
        <v>1609225.7971088581</v>
      </c>
      <c r="L26" s="12">
        <f t="shared" si="5"/>
        <v>111003.74916387255</v>
      </c>
      <c r="M26" s="14">
        <f t="shared" si="10"/>
        <v>1810510.3850008557</v>
      </c>
      <c r="N26" s="21" t="str">
        <f t="shared" si="1"/>
        <v/>
      </c>
      <c r="O26" s="21">
        <f t="shared" si="11"/>
        <v>1071041.240802597</v>
      </c>
      <c r="P26" s="5"/>
      <c r="Q26" s="13">
        <f>SWTSX_MCSummary!K23</f>
        <v>7.2447542762170761E-2</v>
      </c>
      <c r="R26" s="12">
        <f t="shared" si="12"/>
        <v>2324160.0312101822</v>
      </c>
      <c r="S26" s="12">
        <f t="shared" si="6"/>
        <v>111003.74916387255</v>
      </c>
      <c r="T26" s="14">
        <f t="shared" si="13"/>
        <v>2611585.4124855935</v>
      </c>
      <c r="U26" s="21" t="str">
        <f t="shared" si="2"/>
        <v>Reached</v>
      </c>
      <c r="V26" s="21">
        <f t="shared" si="14"/>
        <v>1071041.240802597</v>
      </c>
    </row>
    <row r="27" spans="1:22" ht="15" thickTop="1" thickBot="1" x14ac:dyDescent="0.6">
      <c r="A27" s="9">
        <f>SWTSX_MCSummary!D24</f>
        <v>2046</v>
      </c>
      <c r="C27" s="13">
        <f>SWTSX_MCSummary!I24</f>
        <v>2.0801815431164793E-3</v>
      </c>
      <c r="D27" s="12">
        <f t="shared" si="7"/>
        <v>1054951.467884501</v>
      </c>
      <c r="E27" s="12">
        <f t="shared" si="3"/>
        <v>122104.12408025982</v>
      </c>
      <c r="F27" s="14">
        <f t="shared" si="4"/>
        <v>1179504.081282388</v>
      </c>
      <c r="G27" s="21" t="str">
        <f t="shared" si="0"/>
        <v/>
      </c>
      <c r="H27" s="21">
        <f t="shared" si="8"/>
        <v>1193145.3648828568</v>
      </c>
      <c r="I27" s="5"/>
      <c r="J27" s="13">
        <f>SWTSX_MCSummary!J24</f>
        <v>7.3432008650986813E-2</v>
      </c>
      <c r="K27" s="12">
        <f t="shared" si="9"/>
        <v>1810510.3850008557</v>
      </c>
      <c r="L27" s="12">
        <f t="shared" si="5"/>
        <v>122104.12408025982</v>
      </c>
      <c r="M27" s="14">
        <f t="shared" si="10"/>
        <v>2074530.2744309825</v>
      </c>
      <c r="N27" s="21" t="str">
        <f t="shared" si="1"/>
        <v>Reached</v>
      </c>
      <c r="O27" s="21">
        <f t="shared" si="11"/>
        <v>1193145.3648828568</v>
      </c>
      <c r="P27" s="5"/>
      <c r="Q27" s="13">
        <f>SWTSX_MCSummary!K24</f>
        <v>8.8468295967428043E-2</v>
      </c>
      <c r="R27" s="12">
        <f t="shared" si="12"/>
        <v>2611585.4124855935</v>
      </c>
      <c r="S27" s="12">
        <f t="shared" si="6"/>
        <v>122104.12408025982</v>
      </c>
      <c r="T27" s="14">
        <f t="shared" si="13"/>
        <v>2975534.3915698226</v>
      </c>
      <c r="U27" s="21" t="str">
        <f t="shared" si="2"/>
        <v>Reached</v>
      </c>
      <c r="V27" s="21">
        <f t="shared" si="14"/>
        <v>1193145.3648828568</v>
      </c>
    </row>
    <row r="28" spans="1:22" ht="15" thickTop="1" thickBot="1" x14ac:dyDescent="0.6">
      <c r="A28" s="9">
        <f>SWTSX_MCSummary!D25</f>
        <v>2047</v>
      </c>
      <c r="C28" s="13">
        <f>SWTSX_MCSummary!I25</f>
        <v>1.177350028032135E-2</v>
      </c>
      <c r="D28" s="12">
        <f t="shared" si="7"/>
        <v>1179504.081282388</v>
      </c>
      <c r="E28" s="12">
        <f t="shared" si="3"/>
        <v>134314.53648828581</v>
      </c>
      <c r="F28" s="14">
        <f t="shared" si="4"/>
        <v>1329286.8616352882</v>
      </c>
      <c r="G28" s="21" t="str">
        <f t="shared" si="0"/>
        <v/>
      </c>
      <c r="H28" s="21">
        <f t="shared" si="8"/>
        <v>1327459.9013711426</v>
      </c>
      <c r="I28" s="5"/>
      <c r="J28" s="13">
        <f>SWTSX_MCSummary!J25</f>
        <v>5.7189282186892627E-2</v>
      </c>
      <c r="K28" s="12">
        <f t="shared" si="9"/>
        <v>2074530.2744309825</v>
      </c>
      <c r="L28" s="12">
        <f t="shared" si="5"/>
        <v>134314.53648828581</v>
      </c>
      <c r="M28" s="14">
        <f t="shared" si="10"/>
        <v>2335167.0601179842</v>
      </c>
      <c r="N28" s="21" t="str">
        <f t="shared" si="1"/>
        <v>Reached</v>
      </c>
      <c r="O28" s="21">
        <f t="shared" si="11"/>
        <v>1327459.9013711426</v>
      </c>
      <c r="P28" s="5"/>
      <c r="Q28" s="13">
        <f>SWTSX_MCSummary!K25</f>
        <v>7.6574082169955163E-2</v>
      </c>
      <c r="R28" s="12">
        <f t="shared" si="12"/>
        <v>2975534.3915698226</v>
      </c>
      <c r="S28" s="12">
        <f t="shared" si="6"/>
        <v>134314.53648828581</v>
      </c>
      <c r="T28" s="14">
        <f t="shared" si="13"/>
        <v>3347982.7554113772</v>
      </c>
      <c r="U28" s="21" t="str">
        <f t="shared" si="2"/>
        <v>Reached</v>
      </c>
      <c r="V28" s="21">
        <f t="shared" si="14"/>
        <v>1327459.9013711426</v>
      </c>
    </row>
    <row r="29" spans="1:22" ht="15" thickTop="1" thickBot="1" x14ac:dyDescent="0.6">
      <c r="A29" s="9">
        <f>SWTSX_MCSummary!D26</f>
        <v>2048</v>
      </c>
      <c r="C29" s="13">
        <f>SWTSX_MCSummary!I26</f>
        <v>-7.4808303721711521E-4</v>
      </c>
      <c r="D29" s="12">
        <f t="shared" si="7"/>
        <v>1329286.8616352882</v>
      </c>
      <c r="E29" s="12">
        <f t="shared" si="3"/>
        <v>147745.99013711439</v>
      </c>
      <c r="F29" s="14">
        <f t="shared" si="4"/>
        <v>1475927.9085505793</v>
      </c>
      <c r="G29" s="21" t="str">
        <f t="shared" si="0"/>
        <v/>
      </c>
      <c r="H29" s="21">
        <f t="shared" si="8"/>
        <v>1475205.891508257</v>
      </c>
      <c r="I29" s="5"/>
      <c r="J29" s="13">
        <f>SWTSX_MCSummary!J26</f>
        <v>4.5349473812275595E-2</v>
      </c>
      <c r="K29" s="12">
        <f t="shared" si="9"/>
        <v>2335167.0601179842</v>
      </c>
      <c r="L29" s="12">
        <f t="shared" si="5"/>
        <v>147745.99013711439</v>
      </c>
      <c r="M29" s="14">
        <f t="shared" si="10"/>
        <v>2595511.8506057989</v>
      </c>
      <c r="N29" s="21" t="str">
        <f t="shared" si="1"/>
        <v>Reached</v>
      </c>
      <c r="O29" s="21">
        <f t="shared" si="11"/>
        <v>1475205.891508257</v>
      </c>
      <c r="P29" s="5"/>
      <c r="Q29" s="13">
        <f>SWTSX_MCSummary!K26</f>
        <v>4.8546471322272022E-2</v>
      </c>
      <c r="R29" s="12">
        <f t="shared" si="12"/>
        <v>3347982.7554113772</v>
      </c>
      <c r="S29" s="12">
        <f t="shared" si="6"/>
        <v>147745.99013711439</v>
      </c>
      <c r="T29" s="14">
        <f t="shared" si="13"/>
        <v>3665434.0408447036</v>
      </c>
      <c r="U29" s="21" t="str">
        <f t="shared" si="2"/>
        <v>Reached</v>
      </c>
      <c r="V29" s="21">
        <f t="shared" si="14"/>
        <v>1475205.891508257</v>
      </c>
    </row>
    <row r="30" spans="1:22" ht="15" thickTop="1" thickBot="1" x14ac:dyDescent="0.6">
      <c r="A30" s="9">
        <f>SWTSX_MCSummary!D27</f>
        <v>2049</v>
      </c>
      <c r="C30" s="13">
        <f>SWTSX_MCSummary!I27</f>
        <v>-6.3993977037454597E-3</v>
      </c>
      <c r="D30" s="12">
        <f t="shared" si="7"/>
        <v>1475927.9085505793</v>
      </c>
      <c r="E30" s="12">
        <f t="shared" si="3"/>
        <v>162520.58915082584</v>
      </c>
      <c r="F30" s="14">
        <f t="shared" si="4"/>
        <v>1627963.4141475095</v>
      </c>
      <c r="G30" s="21" t="str">
        <f t="shared" si="0"/>
        <v/>
      </c>
      <c r="H30" s="21">
        <f t="shared" si="8"/>
        <v>1637726.4806590828</v>
      </c>
      <c r="I30" s="5"/>
      <c r="J30" s="13">
        <f>SWTSX_MCSummary!J27</f>
        <v>4.2741512839923154E-2</v>
      </c>
      <c r="K30" s="12">
        <f t="shared" si="9"/>
        <v>2595511.8506057989</v>
      </c>
      <c r="L30" s="12">
        <f t="shared" si="5"/>
        <v>162520.58915082584</v>
      </c>
      <c r="M30" s="14">
        <f t="shared" si="10"/>
        <v>2875914.918693407</v>
      </c>
      <c r="N30" s="21" t="str">
        <f t="shared" si="1"/>
        <v>Reached</v>
      </c>
      <c r="O30" s="21">
        <f t="shared" si="11"/>
        <v>1637726.4806590828</v>
      </c>
      <c r="P30" s="5"/>
      <c r="Q30" s="13">
        <f>SWTSX_MCSummary!K27</f>
        <v>4.7642103224557086E-2</v>
      </c>
      <c r="R30" s="12">
        <f t="shared" si="12"/>
        <v>3665434.0408447036</v>
      </c>
      <c r="S30" s="12">
        <f t="shared" si="6"/>
        <v>162520.58915082584</v>
      </c>
      <c r="T30" s="14">
        <f t="shared" si="13"/>
        <v>4010326.4396166978</v>
      </c>
      <c r="U30" s="21" t="str">
        <f t="shared" si="2"/>
        <v>Reached</v>
      </c>
      <c r="V30" s="21">
        <f t="shared" si="14"/>
        <v>1637726.4806590828</v>
      </c>
    </row>
    <row r="31" spans="1:22" ht="15" thickTop="1" thickBot="1" x14ac:dyDescent="0.6">
      <c r="A31" s="9">
        <f>SWTSX_MCSummary!D28</f>
        <v>2050</v>
      </c>
      <c r="C31" s="13">
        <f>SWTSX_MCSummary!I28</f>
        <v>-1.2000000000000049E-2</v>
      </c>
      <c r="D31" s="12">
        <f t="shared" si="7"/>
        <v>1627963.4141475095</v>
      </c>
      <c r="E31" s="12">
        <f t="shared" si="3"/>
        <v>178772.64806590843</v>
      </c>
      <c r="F31" s="14">
        <f t="shared" si="4"/>
        <v>1785055.2294668569</v>
      </c>
      <c r="G31" s="21" t="str">
        <f t="shared" si="0"/>
        <v/>
      </c>
      <c r="H31" s="21">
        <f t="shared" si="8"/>
        <v>1816499.1287249911</v>
      </c>
      <c r="I31" s="5"/>
      <c r="J31" s="13">
        <f>SWTSX_MCSummary!J28</f>
        <v>6.4447592067988738E-2</v>
      </c>
      <c r="K31" s="12">
        <f t="shared" si="9"/>
        <v>2875914.918693407</v>
      </c>
      <c r="L31" s="12">
        <f t="shared" si="5"/>
        <v>178772.64806590843</v>
      </c>
      <c r="M31" s="14">
        <f t="shared" si="10"/>
        <v>3251554.8249569768</v>
      </c>
      <c r="N31" s="21" t="str">
        <f t="shared" si="1"/>
        <v>Reached</v>
      </c>
      <c r="O31" s="21">
        <f t="shared" si="11"/>
        <v>1816499.1287249911</v>
      </c>
      <c r="P31" s="5"/>
      <c r="Q31" s="13">
        <f>SWTSX_MCSummary!K28</f>
        <v>8.6679316277798277E-2</v>
      </c>
      <c r="R31" s="12">
        <f t="shared" si="12"/>
        <v>4010326.4396166978</v>
      </c>
      <c r="S31" s="12">
        <f t="shared" si="6"/>
        <v>178772.64806590843</v>
      </c>
      <c r="T31" s="14">
        <f t="shared" si="13"/>
        <v>4552207.3324228832</v>
      </c>
      <c r="U31" s="21" t="str">
        <f t="shared" si="2"/>
        <v>Reached</v>
      </c>
      <c r="V31" s="21">
        <f t="shared" si="14"/>
        <v>1816499.1287249911</v>
      </c>
    </row>
    <row r="32" spans="1:22" ht="15" thickTop="1" thickBot="1" x14ac:dyDescent="0.6">
      <c r="A32" s="9">
        <f>SWTSX_MCSummary!D29</f>
        <v>2051</v>
      </c>
      <c r="C32" s="13">
        <f>SWTSX_MCSummary!I29</f>
        <v>1.960784313725485E-2</v>
      </c>
      <c r="D32" s="12">
        <f t="shared" si="7"/>
        <v>1785055.2294668569</v>
      </c>
      <c r="E32" s="12">
        <f t="shared" si="3"/>
        <v>196649.91287249929</v>
      </c>
      <c r="F32" s="14">
        <f t="shared" si="4"/>
        <v>2020562.1059146377</v>
      </c>
      <c r="G32" s="21" t="str">
        <f t="shared" si="0"/>
        <v>Reached</v>
      </c>
      <c r="H32" s="21">
        <f t="shared" si="8"/>
        <v>2013149.0415974904</v>
      </c>
      <c r="I32" s="5"/>
      <c r="J32" s="13">
        <f>SWTSX_MCSummary!J29</f>
        <v>3.8197537332983977E-2</v>
      </c>
      <c r="K32" s="12">
        <f t="shared" si="9"/>
        <v>3251554.8249569768</v>
      </c>
      <c r="L32" s="12">
        <f t="shared" si="5"/>
        <v>196649.91287249929</v>
      </c>
      <c r="M32" s="14">
        <f t="shared" si="10"/>
        <v>3579917.6670344896</v>
      </c>
      <c r="N32" s="21" t="str">
        <f t="shared" si="1"/>
        <v>Reached</v>
      </c>
      <c r="O32" s="21">
        <f t="shared" si="11"/>
        <v>2013149.0415974904</v>
      </c>
      <c r="P32" s="5"/>
      <c r="Q32" s="13">
        <f>SWTSX_MCSummary!K29</f>
        <v>4.7736442773690317E-2</v>
      </c>
      <c r="R32" s="12">
        <f t="shared" si="12"/>
        <v>4552207.3324228832</v>
      </c>
      <c r="S32" s="12">
        <f t="shared" si="6"/>
        <v>196649.91287249929</v>
      </c>
      <c r="T32" s="14">
        <f t="shared" si="13"/>
        <v>4975550.7974258503</v>
      </c>
      <c r="U32" s="21" t="str">
        <f t="shared" si="2"/>
        <v>Reached</v>
      </c>
      <c r="V32" s="21">
        <f t="shared" si="14"/>
        <v>2013149.0415974904</v>
      </c>
    </row>
    <row r="33" spans="1:22" ht="15" thickTop="1" thickBot="1" x14ac:dyDescent="0.6">
      <c r="A33" s="9">
        <f>SWTSX_MCSummary!D30</f>
        <v>2052</v>
      </c>
      <c r="C33" s="13">
        <f>SWTSX_MCSummary!I30</f>
        <v>-1.6707803303588294E-2</v>
      </c>
      <c r="D33" s="12">
        <f t="shared" si="7"/>
        <v>2020562.1059146377</v>
      </c>
      <c r="E33" s="12">
        <f t="shared" si="3"/>
        <v>216314.90415974925</v>
      </c>
      <c r="F33" s="14">
        <f t="shared" si="4"/>
        <v>2199503.7089757454</v>
      </c>
      <c r="G33" s="21" t="str">
        <f t="shared" si="0"/>
        <v>Reached</v>
      </c>
      <c r="H33" s="21">
        <f t="shared" si="8"/>
        <v>2229463.9457572396</v>
      </c>
      <c r="I33" s="5"/>
      <c r="J33" s="13">
        <f>SWTSX_MCSummary!J30</f>
        <v>6.7751074638530695E-2</v>
      </c>
      <c r="K33" s="12">
        <f t="shared" si="9"/>
        <v>3579917.6670344896</v>
      </c>
      <c r="L33" s="12">
        <f t="shared" si="5"/>
        <v>216314.90415974925</v>
      </c>
      <c r="M33" s="14">
        <f t="shared" si="10"/>
        <v>4053431.4074704414</v>
      </c>
      <c r="N33" s="21" t="str">
        <f t="shared" si="1"/>
        <v>Reached</v>
      </c>
      <c r="O33" s="21">
        <f t="shared" si="11"/>
        <v>2229463.9457572396</v>
      </c>
      <c r="P33" s="5"/>
      <c r="Q33" s="13">
        <f>SWTSX_MCSummary!K30</f>
        <v>7.1671748509207669E-2</v>
      </c>
      <c r="R33" s="12">
        <f t="shared" si="12"/>
        <v>4975550.7974258503</v>
      </c>
      <c r="S33" s="12">
        <f t="shared" si="6"/>
        <v>216314.90415974925</v>
      </c>
      <c r="T33" s="14">
        <f t="shared" si="13"/>
        <v>5563975.7944432236</v>
      </c>
      <c r="U33" s="21" t="str">
        <f t="shared" si="2"/>
        <v>Reached</v>
      </c>
      <c r="V33" s="21">
        <f t="shared" si="14"/>
        <v>2229463.9457572396</v>
      </c>
    </row>
    <row r="34" spans="1:22" ht="15" thickTop="1" thickBot="1" x14ac:dyDescent="0.6">
      <c r="A34" s="9">
        <f>SWTSX_MCSummary!D31</f>
        <v>2053</v>
      </c>
      <c r="C34" s="13">
        <f>SWTSX_MCSummary!I31</f>
        <v>3.9219263042685124E-2</v>
      </c>
      <c r="D34" s="12">
        <f t="shared" si="7"/>
        <v>2199503.7089757454</v>
      </c>
      <c r="E34" s="12">
        <f t="shared" si="3"/>
        <v>237946.3945757242</v>
      </c>
      <c r="F34" s="14">
        <f t="shared" si="4"/>
        <v>2533045.1003160747</v>
      </c>
      <c r="G34" s="21" t="str">
        <f t="shared" si="0"/>
        <v>Reached</v>
      </c>
      <c r="H34" s="21">
        <f t="shared" si="8"/>
        <v>2467410.340332964</v>
      </c>
      <c r="I34" s="5"/>
      <c r="J34" s="13">
        <f>SWTSX_MCSummary!J31</f>
        <v>7.5401395569405838E-2</v>
      </c>
      <c r="K34" s="12">
        <f t="shared" si="9"/>
        <v>4053431.4074704414</v>
      </c>
      <c r="L34" s="12">
        <f t="shared" si="5"/>
        <v>237946.3945757242</v>
      </c>
      <c r="M34" s="14">
        <f t="shared" si="10"/>
        <v>4614953.6772360168</v>
      </c>
      <c r="N34" s="21" t="str">
        <f t="shared" si="1"/>
        <v>Reached</v>
      </c>
      <c r="O34" s="21">
        <f t="shared" si="11"/>
        <v>2467410.340332964</v>
      </c>
      <c r="P34" s="5"/>
      <c r="Q34" s="13">
        <f>SWTSX_MCSummary!K31</f>
        <v>9.3306954683713958E-2</v>
      </c>
      <c r="R34" s="12">
        <f t="shared" si="12"/>
        <v>5563975.7944432236</v>
      </c>
      <c r="S34" s="12">
        <f t="shared" si="6"/>
        <v>237946.3945757242</v>
      </c>
      <c r="T34" s="14">
        <f t="shared" si="13"/>
        <v>6343281.8797881734</v>
      </c>
      <c r="U34" s="21" t="str">
        <f t="shared" si="2"/>
        <v>Reached</v>
      </c>
      <c r="V34" s="21">
        <f t="shared" si="14"/>
        <v>2467410.340332964</v>
      </c>
    </row>
    <row r="35" spans="1:22" ht="15" thickTop="1" thickBot="1" x14ac:dyDescent="0.6">
      <c r="A35" s="9">
        <f>SWTSX_MCSummary!D32</f>
        <v>2054</v>
      </c>
      <c r="C35" s="13">
        <f>SWTSX_MCSummary!I32</f>
        <v>-2.5631431244153364E-2</v>
      </c>
      <c r="D35" s="12">
        <f t="shared" si="7"/>
        <v>2533045.1003160747</v>
      </c>
      <c r="E35" s="12">
        <f t="shared" si="3"/>
        <v>261741.03403329666</v>
      </c>
      <c r="F35" s="14">
        <f t="shared" si="4"/>
        <v>2723151.7657046821</v>
      </c>
      <c r="G35" s="21" t="str">
        <f t="shared" si="0"/>
        <v>Reached</v>
      </c>
      <c r="H35" s="21">
        <f t="shared" si="8"/>
        <v>2729151.3743662606</v>
      </c>
      <c r="I35" s="5"/>
      <c r="J35" s="13">
        <f>SWTSX_MCSummary!J32</f>
        <v>4.4574855983947927E-2</v>
      </c>
      <c r="K35" s="12">
        <f t="shared" si="9"/>
        <v>4614953.6772360168</v>
      </c>
      <c r="L35" s="12">
        <f t="shared" si="5"/>
        <v>261741.03403329666</v>
      </c>
      <c r="M35" s="14">
        <f t="shared" si="10"/>
        <v>5094072.6757018231</v>
      </c>
      <c r="N35" s="21" t="str">
        <f t="shared" si="1"/>
        <v>Reached</v>
      </c>
      <c r="O35" s="21">
        <f t="shared" si="11"/>
        <v>2729151.3743662606</v>
      </c>
      <c r="P35" s="5"/>
      <c r="Q35" s="13">
        <f>SWTSX_MCSummary!K32</f>
        <v>5.5601538536442806E-2</v>
      </c>
      <c r="R35" s="12">
        <f t="shared" si="12"/>
        <v>6343281.8797881734</v>
      </c>
      <c r="S35" s="12">
        <f t="shared" si="6"/>
        <v>261741.03403329666</v>
      </c>
      <c r="T35" s="14">
        <f t="shared" si="13"/>
        <v>6972272.3498984016</v>
      </c>
      <c r="U35" s="21" t="str">
        <f t="shared" si="2"/>
        <v>Reached</v>
      </c>
      <c r="V35" s="21">
        <f t="shared" si="14"/>
        <v>2729151.3743662606</v>
      </c>
    </row>
    <row r="36" spans="1:22" ht="15" thickTop="1" thickBot="1" x14ac:dyDescent="0.6">
      <c r="A36" s="9">
        <f>SWTSX_MCSummary!D33</f>
        <v>2055</v>
      </c>
      <c r="C36" s="13">
        <f>SWTSX_MCSummary!I33</f>
        <v>9.8184512782510946E-3</v>
      </c>
      <c r="D36" s="12">
        <f t="shared" si="7"/>
        <v>2723151.7657046821</v>
      </c>
      <c r="E36" s="12">
        <f t="shared" si="3"/>
        <v>287915.13743662636</v>
      </c>
      <c r="F36" s="14">
        <f t="shared" si="4"/>
        <v>3040630.916825356</v>
      </c>
      <c r="G36" s="21" t="str">
        <f t="shared" si="0"/>
        <v>Reached</v>
      </c>
      <c r="H36" s="21">
        <f t="shared" si="8"/>
        <v>3017066.5118028871</v>
      </c>
      <c r="I36" s="5"/>
      <c r="J36" s="13">
        <f>SWTSX_MCSummary!J33</f>
        <v>8.0996946504342249E-2</v>
      </c>
      <c r="K36" s="12">
        <f t="shared" si="9"/>
        <v>5094072.6757018231</v>
      </c>
      <c r="L36" s="12">
        <f t="shared" si="5"/>
        <v>287915.13743662636</v>
      </c>
      <c r="M36" s="14">
        <f t="shared" si="10"/>
        <v>5817912.3921262464</v>
      </c>
      <c r="N36" s="21" t="str">
        <f t="shared" si="1"/>
        <v>Reached</v>
      </c>
      <c r="O36" s="21">
        <f t="shared" si="11"/>
        <v>3017066.5118028871</v>
      </c>
      <c r="P36" s="5"/>
      <c r="Q36" s="13">
        <f>SWTSX_MCSummary!K33</f>
        <v>8.6719210289360582E-2</v>
      </c>
      <c r="R36" s="12">
        <f t="shared" si="12"/>
        <v>6972272.3498984016</v>
      </c>
      <c r="S36" s="12">
        <f t="shared" si="6"/>
        <v>287915.13743662636</v>
      </c>
      <c r="T36" s="14">
        <f t="shared" si="13"/>
        <v>7889785.2127894191</v>
      </c>
      <c r="U36" s="21" t="str">
        <f t="shared" si="2"/>
        <v>Reached</v>
      </c>
      <c r="V36" s="21">
        <f t="shared" si="14"/>
        <v>3017066.5118028871</v>
      </c>
    </row>
    <row r="37" spans="1:22" ht="15" thickTop="1" thickBot="1" x14ac:dyDescent="0.6">
      <c r="A37" s="9">
        <f>SWTSX_MCSummary!D34</f>
        <v>2056</v>
      </c>
      <c r="C37" s="13">
        <f>SWTSX_MCSummary!I34</f>
        <v>1.8366975813784416E-2</v>
      </c>
      <c r="D37" s="12">
        <f t="shared" si="7"/>
        <v>3040630.916825356</v>
      </c>
      <c r="E37" s="12">
        <f t="shared" si="3"/>
        <v>316706.65118028905</v>
      </c>
      <c r="F37" s="14">
        <f t="shared" si="4"/>
        <v>3419001.7059159144</v>
      </c>
      <c r="G37" s="21" t="str">
        <f t="shared" si="0"/>
        <v>Reached</v>
      </c>
      <c r="H37" s="21">
        <f t="shared" si="8"/>
        <v>3333773.1629831763</v>
      </c>
      <c r="I37" s="5"/>
      <c r="J37" s="13">
        <f>SWTSX_MCSummary!J34</f>
        <v>6.1588270318547328E-2</v>
      </c>
      <c r="K37" s="12">
        <f t="shared" si="9"/>
        <v>5817912.3921262464</v>
      </c>
      <c r="L37" s="12">
        <f t="shared" si="5"/>
        <v>316706.65118028905</v>
      </c>
      <c r="M37" s="14">
        <f t="shared" si="10"/>
        <v>6512439.6192470063</v>
      </c>
      <c r="N37" s="21" t="str">
        <f t="shared" si="1"/>
        <v>Reached</v>
      </c>
      <c r="O37" s="21">
        <f t="shared" si="11"/>
        <v>3333773.1629831763</v>
      </c>
      <c r="P37" s="5"/>
      <c r="Q37" s="13">
        <f>SWTSX_MCSummary!K34</f>
        <v>7.5605382548335487E-2</v>
      </c>
      <c r="R37" s="12">
        <f t="shared" si="12"/>
        <v>7889785.2127894191</v>
      </c>
      <c r="S37" s="12">
        <f t="shared" si="6"/>
        <v>316706.65118028905</v>
      </c>
      <c r="T37" s="14">
        <f t="shared" si="13"/>
        <v>8826946.8207249418</v>
      </c>
      <c r="U37" s="21" t="str">
        <f t="shared" si="2"/>
        <v>Reached</v>
      </c>
      <c r="V37" s="21">
        <f t="shared" si="14"/>
        <v>3333773.1629831763</v>
      </c>
    </row>
    <row r="38" spans="1:22" ht="15" thickTop="1" thickBot="1" x14ac:dyDescent="0.6">
      <c r="A38" s="9">
        <f>SWTSX_MCSummary!D35</f>
        <v>2057</v>
      </c>
      <c r="C38" s="13">
        <f>SWTSX_MCSummary!I35</f>
        <v>-4.9342105263158464E-3</v>
      </c>
      <c r="D38" s="12">
        <f t="shared" si="7"/>
        <v>3419001.7059159144</v>
      </c>
      <c r="E38" s="12">
        <f t="shared" si="3"/>
        <v>348377.31629831798</v>
      </c>
      <c r="F38" s="14">
        <f t="shared" si="4"/>
        <v>3748789.9809862017</v>
      </c>
      <c r="G38" s="21" t="str">
        <f t="shared" si="0"/>
        <v>Reached</v>
      </c>
      <c r="H38" s="21">
        <f t="shared" si="8"/>
        <v>3682150.4792814944</v>
      </c>
      <c r="I38" s="5"/>
      <c r="J38" s="13">
        <f>SWTSX_MCSummary!J35</f>
        <v>6.8674510891226351E-2</v>
      </c>
      <c r="K38" s="12">
        <f t="shared" si="9"/>
        <v>6512439.6192470063</v>
      </c>
      <c r="L38" s="12">
        <f t="shared" si="5"/>
        <v>348377.31629831798</v>
      </c>
      <c r="M38" s="14">
        <f t="shared" si="10"/>
        <v>7331980.182908142</v>
      </c>
      <c r="N38" s="21" t="str">
        <f t="shared" si="1"/>
        <v>Reached</v>
      </c>
      <c r="O38" s="21">
        <f t="shared" si="11"/>
        <v>3682150.4792814944</v>
      </c>
      <c r="P38" s="5"/>
      <c r="Q38" s="13">
        <f>SWTSX_MCSummary!K35</f>
        <v>5.7568831772533087E-2</v>
      </c>
      <c r="R38" s="12">
        <f t="shared" si="12"/>
        <v>8826946.8207249418</v>
      </c>
      <c r="S38" s="12">
        <f t="shared" si="6"/>
        <v>348377.31629831798</v>
      </c>
      <c r="T38" s="14">
        <f t="shared" si="13"/>
        <v>9703536.8287260141</v>
      </c>
      <c r="U38" s="21" t="str">
        <f t="shared" si="2"/>
        <v>Reached</v>
      </c>
      <c r="V38" s="21">
        <f t="shared" si="14"/>
        <v>3682150.4792814944</v>
      </c>
    </row>
    <row r="39" spans="1:22" ht="15" thickTop="1" thickBot="1" x14ac:dyDescent="0.6">
      <c r="A39" s="9">
        <f>SWTSX_MCSummary!D36</f>
        <v>2058</v>
      </c>
      <c r="C39" s="13">
        <f>SWTSX_MCSummary!I36</f>
        <v>1.1560693641618507E-2</v>
      </c>
      <c r="D39" s="12">
        <f t="shared" si="7"/>
        <v>3748789.9809862017</v>
      </c>
      <c r="E39" s="12">
        <f t="shared" si="3"/>
        <v>383215.04792814981</v>
      </c>
      <c r="F39" s="14">
        <f t="shared" si="4"/>
        <v>4179773.8731792578</v>
      </c>
      <c r="G39" s="21" t="str">
        <f t="shared" si="0"/>
        <v>Reached</v>
      </c>
      <c r="H39" s="21">
        <f t="shared" si="8"/>
        <v>4065365.5272096442</v>
      </c>
      <c r="I39" s="5"/>
      <c r="J39" s="13">
        <f>SWTSX_MCSummary!J36</f>
        <v>4.7472063120017151E-2</v>
      </c>
      <c r="K39" s="12">
        <f t="shared" si="9"/>
        <v>7331980.182908142</v>
      </c>
      <c r="L39" s="12">
        <f t="shared" si="5"/>
        <v>383215.04792814981</v>
      </c>
      <c r="M39" s="14">
        <f t="shared" si="10"/>
        <v>8081451.4658178072</v>
      </c>
      <c r="N39" s="21" t="str">
        <f t="shared" si="1"/>
        <v>Reached</v>
      </c>
      <c r="O39" s="21">
        <f t="shared" si="11"/>
        <v>4065365.5272096442</v>
      </c>
      <c r="P39" s="5"/>
      <c r="Q39" s="13">
        <f>SWTSX_MCSummary!K36</f>
        <v>7.453697272250645E-2</v>
      </c>
      <c r="R39" s="12">
        <f t="shared" si="12"/>
        <v>9703536.8287260141</v>
      </c>
      <c r="S39" s="12">
        <f t="shared" si="6"/>
        <v>383215.04792814981</v>
      </c>
      <c r="T39" s="14">
        <f t="shared" si="13"/>
        <v>10838587.826143024</v>
      </c>
      <c r="U39" s="21" t="str">
        <f t="shared" si="2"/>
        <v>Reached</v>
      </c>
      <c r="V39" s="21">
        <f t="shared" si="14"/>
        <v>4065365.5272096442</v>
      </c>
    </row>
    <row r="40" spans="1:22" ht="15" thickTop="1" thickBot="1" x14ac:dyDescent="0.6">
      <c r="A40" s="9">
        <f>SWTSX_MCSummary!D37</f>
        <v>2059</v>
      </c>
      <c r="C40" s="13">
        <f>SWTSX_MCSummary!I37</f>
        <v>-1.1880826174373946E-2</v>
      </c>
      <c r="D40" s="12">
        <f t="shared" si="7"/>
        <v>4179773.8731792578</v>
      </c>
      <c r="E40" s="12">
        <f t="shared" si="3"/>
        <v>421536.55272096483</v>
      </c>
      <c r="F40" s="14">
        <f t="shared" si="4"/>
        <v>4546643.0565557675</v>
      </c>
      <c r="G40" s="21" t="str">
        <f t="shared" si="0"/>
        <v>Reached</v>
      </c>
      <c r="H40" s="21">
        <f t="shared" si="8"/>
        <v>4486902.0799306091</v>
      </c>
      <c r="I40" s="5"/>
      <c r="J40" s="13">
        <f>SWTSX_MCSummary!J37</f>
        <v>6.1208993848108718E-2</v>
      </c>
      <c r="K40" s="12">
        <f t="shared" si="9"/>
        <v>8081451.4658178072</v>
      </c>
      <c r="L40" s="12">
        <f t="shared" si="5"/>
        <v>421536.55272096483</v>
      </c>
      <c r="M40" s="14">
        <f t="shared" si="10"/>
        <v>9023447.3598560523</v>
      </c>
      <c r="N40" s="21" t="str">
        <f t="shared" si="1"/>
        <v>Reached</v>
      </c>
      <c r="O40" s="21">
        <f t="shared" si="11"/>
        <v>4486902.0799306091</v>
      </c>
      <c r="P40" s="5"/>
      <c r="Q40" s="13">
        <f>SWTSX_MCSummary!K37</f>
        <v>6.2941966910220817E-2</v>
      </c>
      <c r="R40" s="12">
        <f t="shared" si="12"/>
        <v>10838587.826143024</v>
      </c>
      <c r="S40" s="12">
        <f t="shared" si="6"/>
        <v>421536.55272096483</v>
      </c>
      <c r="T40" s="14">
        <f t="shared" si="13"/>
        <v>11968858.754923418</v>
      </c>
      <c r="U40" s="21" t="str">
        <f t="shared" si="2"/>
        <v>Reached</v>
      </c>
      <c r="V40" s="21">
        <f t="shared" si="14"/>
        <v>4486902.0799306091</v>
      </c>
    </row>
    <row r="41" spans="1:22" ht="15" thickTop="1" thickBot="1" x14ac:dyDescent="0.6">
      <c r="A41" s="9">
        <f>SWTSX_MCSummary!D38</f>
        <v>2060</v>
      </c>
      <c r="C41" s="13">
        <f>SWTSX_MCSummary!I38</f>
        <v>-5.3289231900036597E-3</v>
      </c>
      <c r="D41" s="12">
        <f t="shared" si="7"/>
        <v>4546643.0565557675</v>
      </c>
      <c r="E41" s="12">
        <f t="shared" si="3"/>
        <v>463690.20799306134</v>
      </c>
      <c r="F41" s="14">
        <f t="shared" si="4"/>
        <v>4983633.5834257277</v>
      </c>
      <c r="G41" s="21" t="str">
        <f t="shared" si="0"/>
        <v>Reached</v>
      </c>
      <c r="H41" s="21">
        <f t="shared" si="8"/>
        <v>4950592.2879236704</v>
      </c>
      <c r="I41" s="5"/>
      <c r="J41" s="13">
        <f>SWTSX_MCSummary!J38</f>
        <v>5.4752383881882485E-2</v>
      </c>
      <c r="K41" s="12">
        <f t="shared" si="9"/>
        <v>9023447.3598560523</v>
      </c>
      <c r="L41" s="12">
        <f t="shared" si="5"/>
        <v>463690.20799306134</v>
      </c>
      <c r="M41" s="14">
        <f t="shared" si="10"/>
        <v>10006580.965904217</v>
      </c>
      <c r="N41" s="21" t="str">
        <f t="shared" si="1"/>
        <v>Reached</v>
      </c>
      <c r="O41" s="21">
        <f t="shared" si="11"/>
        <v>4950592.2879236704</v>
      </c>
      <c r="P41" s="5"/>
      <c r="Q41" s="13">
        <f>SWTSX_MCSummary!K38</f>
        <v>5.7237191109985007E-2</v>
      </c>
      <c r="R41" s="12">
        <f t="shared" si="12"/>
        <v>11968858.754923418</v>
      </c>
      <c r="S41" s="12">
        <f t="shared" si="6"/>
        <v>463690.20799306134</v>
      </c>
      <c r="T41" s="14">
        <f t="shared" si="13"/>
        <v>13144153.143891176</v>
      </c>
      <c r="U41" s="21" t="str">
        <f t="shared" si="2"/>
        <v>Reached</v>
      </c>
      <c r="V41" s="21">
        <f t="shared" si="14"/>
        <v>4950592.2879236704</v>
      </c>
    </row>
    <row r="42" spans="1:22" ht="15" thickTop="1" thickBot="1" x14ac:dyDescent="0.6">
      <c r="A42" s="9">
        <f>SWTSX_MCSummary!D39</f>
        <v>2061</v>
      </c>
      <c r="C42" s="13">
        <f>SWTSX_MCSummary!I39</f>
        <v>3.3735795454545428E-2</v>
      </c>
      <c r="D42" s="12">
        <f t="shared" si="7"/>
        <v>4983633.5834257277</v>
      </c>
      <c r="E42" s="12">
        <f t="shared" si="3"/>
        <v>510059.2287923675</v>
      </c>
      <c r="F42" s="14">
        <f t="shared" si="4"/>
        <v>5679026.909221191</v>
      </c>
      <c r="G42" s="21" t="str">
        <f t="shared" si="0"/>
        <v>Reached</v>
      </c>
      <c r="H42" s="21">
        <f t="shared" si="8"/>
        <v>5460651.5167160379</v>
      </c>
      <c r="I42" s="5"/>
      <c r="J42" s="13">
        <f>SWTSX_MCSummary!J39</f>
        <v>3.8978040540540458E-2</v>
      </c>
      <c r="K42" s="12">
        <f t="shared" si="9"/>
        <v>10006580.965904217</v>
      </c>
      <c r="L42" s="12">
        <f t="shared" si="5"/>
        <v>510059.2287923675</v>
      </c>
      <c r="M42" s="14">
        <f t="shared" si="10"/>
        <v>10926558.222555745</v>
      </c>
      <c r="N42" s="21" t="str">
        <f t="shared" si="1"/>
        <v>Reached</v>
      </c>
      <c r="O42" s="21">
        <f t="shared" si="11"/>
        <v>5460651.5167160379</v>
      </c>
      <c r="P42" s="5"/>
      <c r="Q42" s="13">
        <f>SWTSX_MCSummary!K39</f>
        <v>4.2921121829603823E-2</v>
      </c>
      <c r="R42" s="12">
        <f t="shared" si="12"/>
        <v>13144153.143891176</v>
      </c>
      <c r="S42" s="12">
        <f t="shared" si="6"/>
        <v>510059.2287923675</v>
      </c>
      <c r="T42" s="14">
        <f t="shared" si="13"/>
        <v>14240266.485418776</v>
      </c>
      <c r="U42" s="21" t="str">
        <f t="shared" si="2"/>
        <v>Reached</v>
      </c>
      <c r="V42" s="21">
        <f t="shared" si="14"/>
        <v>5460651.5167160379</v>
      </c>
    </row>
    <row r="43" spans="1:22" ht="15" thickTop="1" thickBot="1" x14ac:dyDescent="0.6">
      <c r="A43" s="9">
        <f>SWTSX_MCSummary!D40</f>
        <v>2062</v>
      </c>
      <c r="C43" s="13">
        <f>SWTSX_MCSummary!I40</f>
        <v>-2.8490028490029151E-3</v>
      </c>
      <c r="D43" s="12">
        <f t="shared" si="7"/>
        <v>5679026.909221191</v>
      </c>
      <c r="E43" s="12">
        <f t="shared" si="3"/>
        <v>561065.15167160425</v>
      </c>
      <c r="F43" s="14">
        <f t="shared" si="4"/>
        <v>6222314.0208332716</v>
      </c>
      <c r="G43" s="21" t="str">
        <f t="shared" si="0"/>
        <v>Reached</v>
      </c>
      <c r="H43" s="21">
        <f t="shared" si="8"/>
        <v>6021716.6683876421</v>
      </c>
      <c r="I43" s="5"/>
      <c r="J43" s="13">
        <f>SWTSX_MCSummary!J40</f>
        <v>0.11035415518709614</v>
      </c>
      <c r="K43" s="12">
        <f t="shared" si="9"/>
        <v>10926558.222555745</v>
      </c>
      <c r="L43" s="12">
        <f t="shared" si="5"/>
        <v>561065.15167160425</v>
      </c>
      <c r="M43" s="14">
        <f t="shared" si="10"/>
        <v>12755330.346797746</v>
      </c>
      <c r="N43" s="21" t="str">
        <f t="shared" si="1"/>
        <v>Reached</v>
      </c>
      <c r="O43" s="21">
        <f t="shared" si="11"/>
        <v>6021716.6683876421</v>
      </c>
      <c r="P43" s="5"/>
      <c r="Q43" s="13">
        <f>SWTSX_MCSummary!K40</f>
        <v>0.11231968142176295</v>
      </c>
      <c r="R43" s="12">
        <f t="shared" si="12"/>
        <v>14240266.485418776</v>
      </c>
      <c r="S43" s="12">
        <f t="shared" si="6"/>
        <v>561065.15167160425</v>
      </c>
      <c r="T43" s="14">
        <f t="shared" si="13"/>
        <v>16463812.491186233</v>
      </c>
      <c r="U43" s="21" t="str">
        <f t="shared" si="2"/>
        <v>Reached</v>
      </c>
      <c r="V43" s="21">
        <f t="shared" si="14"/>
        <v>6021716.6683876421</v>
      </c>
    </row>
    <row r="44" spans="1:22" ht="15" thickTop="1" thickBot="1" x14ac:dyDescent="0.6">
      <c r="A44" s="9">
        <f>SWTSX_MCSummary!D41</f>
        <v>2063</v>
      </c>
      <c r="C44" s="13">
        <f>SWTSX_MCSummary!I41</f>
        <v>-8.0775444264942695E-3</v>
      </c>
      <c r="D44" s="15">
        <f t="shared" si="7"/>
        <v>6222314.0208332716</v>
      </c>
      <c r="E44" s="15">
        <f t="shared" si="3"/>
        <v>617171.66683876468</v>
      </c>
      <c r="F44" s="16">
        <f t="shared" si="4"/>
        <v>6784239.4381754939</v>
      </c>
      <c r="G44" s="21" t="str">
        <f t="shared" si="0"/>
        <v>Reached</v>
      </c>
      <c r="H44" s="21">
        <f t="shared" si="8"/>
        <v>6638888.3352264073</v>
      </c>
      <c r="I44" s="5"/>
      <c r="J44" s="13">
        <f>SWTSX_MCSummary!J41</f>
        <v>1.9113600628930888E-2</v>
      </c>
      <c r="K44" s="15">
        <f t="shared" si="9"/>
        <v>12755330.346797746</v>
      </c>
      <c r="L44" s="15">
        <f t="shared" si="5"/>
        <v>617171.66683876468</v>
      </c>
      <c r="M44" s="16">
        <f t="shared" si="10"/>
        <v>13628098.676534735</v>
      </c>
      <c r="N44" s="21" t="str">
        <f t="shared" si="1"/>
        <v>Reached</v>
      </c>
      <c r="O44" s="21">
        <f t="shared" si="11"/>
        <v>6638888.3352264073</v>
      </c>
      <c r="P44" s="5"/>
      <c r="Q44" s="13">
        <f>SWTSX_MCSummary!K41</f>
        <v>1.7084918790435302E-2</v>
      </c>
      <c r="R44" s="15">
        <f t="shared" si="12"/>
        <v>16463812.491186233</v>
      </c>
      <c r="S44" s="15">
        <f t="shared" si="6"/>
        <v>617171.66683876468</v>
      </c>
      <c r="T44" s="16">
        <f t="shared" si="13"/>
        <v>17372811.385225568</v>
      </c>
      <c r="U44" s="21" t="str">
        <f t="shared" si="2"/>
        <v>Reached</v>
      </c>
      <c r="V44" s="21">
        <f t="shared" si="14"/>
        <v>6638888.3352264073</v>
      </c>
    </row>
    <row r="45" spans="1:22" ht="14.7" thickTop="1" x14ac:dyDescent="0.55000000000000004"/>
    <row r="46" spans="1:22" x14ac:dyDescent="0.55000000000000004">
      <c r="E46" t="s">
        <v>36</v>
      </c>
    </row>
    <row r="47" spans="1:22" x14ac:dyDescent="0.55000000000000004">
      <c r="E47" s="12">
        <f>SUM(E5:E44)</f>
        <v>6638888.3352264073</v>
      </c>
    </row>
  </sheetData>
  <mergeCells count="4">
    <mergeCell ref="C3:F3"/>
    <mergeCell ref="J3:M3"/>
    <mergeCell ref="Q3:T3"/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HeadingPairs>
  <TitlesOfParts>
    <vt:vector size="42" baseType="lpstr">
      <vt:lpstr>Summary</vt:lpstr>
      <vt:lpstr>VUSTX</vt:lpstr>
      <vt:lpstr>VUSTX-MCSummary</vt:lpstr>
      <vt:lpstr>VTSMX</vt:lpstr>
      <vt:lpstr>VTSMX-MCSummary</vt:lpstr>
      <vt:lpstr>COKE</vt:lpstr>
      <vt:lpstr>COKE_MCSummary</vt:lpstr>
      <vt:lpstr>MixedAAP</vt:lpstr>
      <vt:lpstr>SWTSX</vt:lpstr>
      <vt:lpstr>SWTSX_MCSummary</vt:lpstr>
      <vt:lpstr>MSFT</vt:lpstr>
      <vt:lpstr>MSFT_MCSummary</vt:lpstr>
      <vt:lpstr>Quotes</vt:lpstr>
      <vt:lpstr>AAPL_LastPrice</vt:lpstr>
      <vt:lpstr>AMZN_LastPrice</vt:lpstr>
      <vt:lpstr>COKE_AAP</vt:lpstr>
      <vt:lpstr>Coke_LastPrice</vt:lpstr>
      <vt:lpstr>COKE_MixAAP</vt:lpstr>
      <vt:lpstr>FinancialGoal</vt:lpstr>
      <vt:lpstr>FirstJob_AnnualIncome</vt:lpstr>
      <vt:lpstr>FirstJob_IncomeYrlyIncrease</vt:lpstr>
      <vt:lpstr>FirstJob_TargetSavingsPercent</vt:lpstr>
      <vt:lpstr>INR_LastPrice</vt:lpstr>
      <vt:lpstr>META_LastPrice</vt:lpstr>
      <vt:lpstr>MSFT_AAP</vt:lpstr>
      <vt:lpstr>MSFT_LastPrice</vt:lpstr>
      <vt:lpstr>NVDA_LastPrice</vt:lpstr>
      <vt:lpstr>SP500_LastPrice</vt:lpstr>
      <vt:lpstr>StartingPortfolio</vt:lpstr>
      <vt:lpstr>SWTSX_AAP</vt:lpstr>
      <vt:lpstr>SWTSX_LastPrice</vt:lpstr>
      <vt:lpstr>SWTSX_YourContributions</vt:lpstr>
      <vt:lpstr>Treasury10Yr_LastPrice</vt:lpstr>
      <vt:lpstr>TSLA_LastPrice</vt:lpstr>
      <vt:lpstr>Quotes!v1?guccounter_1</vt:lpstr>
      <vt:lpstr>VBMFX_LastPrice</vt:lpstr>
      <vt:lpstr>VTSMX_AAP</vt:lpstr>
      <vt:lpstr>VTSMX_LastPrice</vt:lpstr>
      <vt:lpstr>VTSMX_MixAAP</vt:lpstr>
      <vt:lpstr>VUSTX_AAP</vt:lpstr>
      <vt:lpstr>VUSTX_LastPrice</vt:lpstr>
      <vt:lpstr>VUSTX_MixAAP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Sreeguru</dc:creator>
  <cp:lastModifiedBy>Ravi Shanker</cp:lastModifiedBy>
  <dcterms:created xsi:type="dcterms:W3CDTF">2015-06-05T18:17:20Z</dcterms:created>
  <dcterms:modified xsi:type="dcterms:W3CDTF">2024-06-29T10:18:30Z</dcterms:modified>
</cp:coreProperties>
</file>