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\projects\FinalFinanceProjects\Final\"/>
    </mc:Choice>
  </mc:AlternateContent>
  <xr:revisionPtr revIDLastSave="0" documentId="8_{B6B3103B-35FE-488C-8512-0AB81A12BF5B}" xr6:coauthVersionLast="47" xr6:coauthVersionMax="47" xr10:uidLastSave="{00000000-0000-0000-0000-000000000000}"/>
  <bookViews>
    <workbookView xWindow="-110" yWindow="-110" windowWidth="19420" windowHeight="11500" activeTab="4" xr2:uid="{9D4E9100-CF7F-4F45-B79A-968FBA0106B5}"/>
  </bookViews>
  <sheets>
    <sheet name="BS-LongCall" sheetId="11" r:id="rId1"/>
    <sheet name="BS-ShortCall" sheetId="12" r:id="rId2"/>
    <sheet name="BS-LongPut" sheetId="13" r:id="rId3"/>
    <sheet name="BS-ShortPut" sheetId="14" r:id="rId4"/>
    <sheet name="BS-LongStraddle" sheetId="15" r:id="rId5"/>
    <sheet name="BS-ShortStraddle" sheetId="16" r:id="rId6"/>
  </sheets>
  <definedNames>
    <definedName name="CallPrice">#REF!</definedName>
    <definedName name="DaysTillExpiration">#REF!</definedName>
    <definedName name="DeltaChange">#REF!</definedName>
    <definedName name="HigherRange">#REF!</definedName>
    <definedName name="LongCall_CallPrice">'BS-LongCall'!$E$9</definedName>
    <definedName name="LongCall_PutPrice">'BS-LongCall'!$E$10</definedName>
    <definedName name="LongCall_StrikePrice">'BS-LongCall'!$B$8</definedName>
    <definedName name="LongPut_CallPrice">'BS-LongPut'!$E$9</definedName>
    <definedName name="LongPut_PutPrice">'BS-LongPut'!$E$10</definedName>
    <definedName name="LongPut_StrikePrice">'BS-LongPut'!$B$8</definedName>
    <definedName name="LongStraddle_CallPrice">'BS-LongStraddle'!$E$9</definedName>
    <definedName name="LongStraddle_PutPrice">'BS-LongStraddle'!$E$10</definedName>
    <definedName name="LongStraddle_StrikePrice">'BS-LongStraddle'!$B$8</definedName>
    <definedName name="LowerRange">#REF!</definedName>
    <definedName name="OptionPrice">#REF!</definedName>
    <definedName name="PutPrice">#REF!</definedName>
    <definedName name="ShortCall_CallPrice">'BS-ShortCall'!$E$9</definedName>
    <definedName name="ShortCall_PutPrice">'BS-ShortCall'!$E$10</definedName>
    <definedName name="ShortCall_StrikePrice">'BS-ShortCall'!$B$8</definedName>
    <definedName name="ShortPut_CallPrice">'BS-ShortPut'!$E$9</definedName>
    <definedName name="ShortPut_PutPrice">'BS-ShortPut'!$E$10</definedName>
    <definedName name="ShortPut_StrikePrice">'BS-ShortPut'!$B$8</definedName>
    <definedName name="ShortStraddle_CallPrice">'BS-ShortStraddle'!$E$9</definedName>
    <definedName name="ShortStraddle_PutPrice">'BS-ShortStraddle'!$E$10</definedName>
    <definedName name="ShortStraddle_StrikePrice">'BS-ShortStraddle'!$B$8</definedName>
    <definedName name="StrikePrice">#REF!</definedName>
    <definedName name="ULCurrentPr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6" l="1"/>
  <c r="G44" i="16" s="1"/>
  <c r="E44" i="16"/>
  <c r="D44" i="16"/>
  <c r="C44" i="16"/>
  <c r="B44" i="16"/>
  <c r="A44" i="16"/>
  <c r="N3" i="16"/>
  <c r="F44" i="15"/>
  <c r="G44" i="15" s="1"/>
  <c r="E44" i="15"/>
  <c r="D44" i="15"/>
  <c r="C44" i="15"/>
  <c r="B44" i="15"/>
  <c r="A44" i="15"/>
  <c r="N3" i="15"/>
  <c r="N4" i="15" s="1"/>
  <c r="N3" i="14"/>
  <c r="N4" i="14" s="1"/>
  <c r="N3" i="13"/>
  <c r="N4" i="13" s="1"/>
  <c r="F44" i="14"/>
  <c r="G44" i="14" s="1"/>
  <c r="E44" i="14"/>
  <c r="D44" i="14"/>
  <c r="C44" i="14"/>
  <c r="B44" i="14"/>
  <c r="A44" i="14"/>
  <c r="F44" i="13"/>
  <c r="G44" i="13" s="1"/>
  <c r="E44" i="13"/>
  <c r="D44" i="13"/>
  <c r="C44" i="13"/>
  <c r="B44" i="13"/>
  <c r="A44" i="13"/>
  <c r="F44" i="12"/>
  <c r="G44" i="12" s="1"/>
  <c r="E44" i="12"/>
  <c r="D44" i="12"/>
  <c r="C44" i="12"/>
  <c r="B44" i="12"/>
  <c r="A44" i="12"/>
  <c r="N3" i="12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F44" i="11"/>
  <c r="G44" i="11" s="1"/>
  <c r="E44" i="11"/>
  <c r="D44" i="11"/>
  <c r="C44" i="11"/>
  <c r="B44" i="11"/>
  <c r="A44" i="11"/>
  <c r="J44" i="12" l="1"/>
  <c r="I44" i="12"/>
  <c r="H44" i="15"/>
  <c r="S44" i="14"/>
  <c r="T44" i="14" s="1"/>
  <c r="I44" i="15"/>
  <c r="J44" i="14"/>
  <c r="S44" i="16"/>
  <c r="T44" i="16" s="1"/>
  <c r="Q44" i="16"/>
  <c r="R44" i="16" s="1"/>
  <c r="J44" i="16"/>
  <c r="I44" i="16"/>
  <c r="H44" i="16"/>
  <c r="N4" i="16"/>
  <c r="S44" i="15"/>
  <c r="Q44" i="15"/>
  <c r="R44" i="15" s="1"/>
  <c r="N5" i="15"/>
  <c r="J44" i="15"/>
  <c r="N5" i="14"/>
  <c r="H44" i="14"/>
  <c r="I44" i="14"/>
  <c r="Q44" i="14"/>
  <c r="R44" i="14" s="1"/>
  <c r="N5" i="13"/>
  <c r="J44" i="13"/>
  <c r="I44" i="13"/>
  <c r="S44" i="13"/>
  <c r="T44" i="13" s="1"/>
  <c r="Q44" i="13"/>
  <c r="R44" i="13" s="1"/>
  <c r="H44" i="13"/>
  <c r="S44" i="12"/>
  <c r="T44" i="12" s="1"/>
  <c r="Q44" i="12"/>
  <c r="R44" i="12" s="1"/>
  <c r="H44" i="12"/>
  <c r="N4" i="12"/>
  <c r="J44" i="11"/>
  <c r="I44" i="11"/>
  <c r="S44" i="11"/>
  <c r="T44" i="11" s="1"/>
  <c r="Q44" i="11"/>
  <c r="R44" i="11" s="1"/>
  <c r="H44" i="11"/>
  <c r="K44" i="15" l="1"/>
  <c r="K44" i="12"/>
  <c r="K44" i="13"/>
  <c r="AE44" i="13" s="1"/>
  <c r="J10" i="13" s="1"/>
  <c r="N5" i="16"/>
  <c r="K44" i="16"/>
  <c r="AE44" i="15"/>
  <c r="J10" i="15" s="1"/>
  <c r="AC44" i="15"/>
  <c r="H10" i="15" s="1"/>
  <c r="L44" i="15"/>
  <c r="N44" i="15"/>
  <c r="M44" i="15"/>
  <c r="V44" i="15" s="1"/>
  <c r="G9" i="15" s="1"/>
  <c r="Y44" i="15"/>
  <c r="J9" i="15" s="1"/>
  <c r="W44" i="15"/>
  <c r="H9" i="15" s="1"/>
  <c r="N6" i="15"/>
  <c r="T44" i="15"/>
  <c r="N6" i="14"/>
  <c r="K44" i="14"/>
  <c r="W44" i="13"/>
  <c r="H9" i="13" s="1"/>
  <c r="N6" i="13"/>
  <c r="N5" i="12"/>
  <c r="N44" i="12"/>
  <c r="AC44" i="12"/>
  <c r="H10" i="12" s="1"/>
  <c r="Y44" i="12"/>
  <c r="J9" i="12" s="1"/>
  <c r="AE44" i="12"/>
  <c r="J10" i="12" s="1"/>
  <c r="M44" i="12"/>
  <c r="V44" i="12" s="1"/>
  <c r="G9" i="12" s="1"/>
  <c r="L44" i="12"/>
  <c r="W44" i="12"/>
  <c r="H9" i="12" s="1"/>
  <c r="K44" i="11"/>
  <c r="AB44" i="15" l="1"/>
  <c r="G10" i="15" s="1"/>
  <c r="M44" i="13"/>
  <c r="AC44" i="13"/>
  <c r="H10" i="13" s="1"/>
  <c r="Y44" i="13"/>
  <c r="J9" i="13" s="1"/>
  <c r="L44" i="13"/>
  <c r="N44" i="13"/>
  <c r="N44" i="16"/>
  <c r="M44" i="16"/>
  <c r="L44" i="16"/>
  <c r="W44" i="16"/>
  <c r="H9" i="16" s="1"/>
  <c r="AE44" i="16"/>
  <c r="J10" i="16" s="1"/>
  <c r="AC44" i="16"/>
  <c r="H10" i="16" s="1"/>
  <c r="Y44" i="16"/>
  <c r="J9" i="16" s="1"/>
  <c r="N6" i="16"/>
  <c r="U44" i="15"/>
  <c r="E9" i="15" s="1"/>
  <c r="N7" i="15"/>
  <c r="P44" i="15"/>
  <c r="O44" i="15"/>
  <c r="AB44" i="12"/>
  <c r="G10" i="12" s="1"/>
  <c r="N7" i="14"/>
  <c r="AE44" i="14"/>
  <c r="J10" i="14" s="1"/>
  <c r="N44" i="14"/>
  <c r="AC44" i="14"/>
  <c r="H10" i="14" s="1"/>
  <c r="M44" i="14"/>
  <c r="L44" i="14"/>
  <c r="Y44" i="14"/>
  <c r="J9" i="14" s="1"/>
  <c r="W44" i="14"/>
  <c r="H9" i="14" s="1"/>
  <c r="P44" i="13"/>
  <c r="O44" i="13"/>
  <c r="N7" i="13"/>
  <c r="P44" i="12"/>
  <c r="O44" i="12"/>
  <c r="N6" i="12"/>
  <c r="AE44" i="11"/>
  <c r="J10" i="11" s="1"/>
  <c r="M44" i="11"/>
  <c r="V44" i="11" s="1"/>
  <c r="G9" i="11" s="1"/>
  <c r="Y44" i="11"/>
  <c r="J9" i="11" s="1"/>
  <c r="AC44" i="11"/>
  <c r="H10" i="11" s="1"/>
  <c r="W44" i="11"/>
  <c r="H9" i="11" s="1"/>
  <c r="L44" i="11"/>
  <c r="P44" i="11" s="1"/>
  <c r="N44" i="11"/>
  <c r="O3" i="15" l="1"/>
  <c r="O5" i="15"/>
  <c r="V44" i="13"/>
  <c r="G9" i="13" s="1"/>
  <c r="AB44" i="13"/>
  <c r="G10" i="13" s="1"/>
  <c r="O6" i="15"/>
  <c r="O7" i="15"/>
  <c r="N7" i="16"/>
  <c r="P44" i="16"/>
  <c r="O44" i="16"/>
  <c r="V44" i="16"/>
  <c r="G9" i="16" s="1"/>
  <c r="AB44" i="16"/>
  <c r="G10" i="16" s="1"/>
  <c r="U44" i="16"/>
  <c r="E9" i="16" s="1"/>
  <c r="Z44" i="15"/>
  <c r="K9" i="15" s="1"/>
  <c r="X44" i="15"/>
  <c r="I9" i="15" s="1"/>
  <c r="AF44" i="15"/>
  <c r="K10" i="15" s="1"/>
  <c r="AD44" i="15"/>
  <c r="I10" i="15" s="1"/>
  <c r="AA44" i="15"/>
  <c r="E10" i="15" s="1"/>
  <c r="E29" i="15" s="1"/>
  <c r="N8" i="15"/>
  <c r="N8" i="14"/>
  <c r="P44" i="14"/>
  <c r="O44" i="14"/>
  <c r="V44" i="14"/>
  <c r="G9" i="14" s="1"/>
  <c r="AB44" i="14"/>
  <c r="G10" i="14" s="1"/>
  <c r="N8" i="13"/>
  <c r="Z44" i="13"/>
  <c r="K9" i="13" s="1"/>
  <c r="X44" i="13"/>
  <c r="I9" i="13" s="1"/>
  <c r="U44" i="13"/>
  <c r="E9" i="13" s="1"/>
  <c r="AF44" i="13"/>
  <c r="K10" i="13" s="1"/>
  <c r="AA44" i="13"/>
  <c r="E10" i="13" s="1"/>
  <c r="D29" i="13" s="1"/>
  <c r="AD44" i="13"/>
  <c r="I10" i="13" s="1"/>
  <c r="N7" i="12"/>
  <c r="Z44" i="12"/>
  <c r="K9" i="12" s="1"/>
  <c r="X44" i="12"/>
  <c r="I9" i="12" s="1"/>
  <c r="U44" i="12"/>
  <c r="E9" i="12" s="1"/>
  <c r="D29" i="12" s="1"/>
  <c r="AA44" i="12"/>
  <c r="E10" i="12" s="1"/>
  <c r="AD44" i="12"/>
  <c r="I10" i="12" s="1"/>
  <c r="AF44" i="12"/>
  <c r="K10" i="12" s="1"/>
  <c r="O44" i="11"/>
  <c r="U44" i="11" s="1"/>
  <c r="E9" i="11" s="1"/>
  <c r="AB44" i="11"/>
  <c r="G10" i="11" s="1"/>
  <c r="Z44" i="11"/>
  <c r="K9" i="11" s="1"/>
  <c r="X44" i="11"/>
  <c r="I9" i="11" s="1"/>
  <c r="AF44" i="11"/>
  <c r="K10" i="11" s="1"/>
  <c r="AA44" i="11"/>
  <c r="E10" i="11" s="1"/>
  <c r="AD44" i="11"/>
  <c r="I10" i="11" s="1"/>
  <c r="O8" i="15" l="1"/>
  <c r="O4" i="15"/>
  <c r="D29" i="15"/>
  <c r="Z44" i="16"/>
  <c r="K9" i="16" s="1"/>
  <c r="X44" i="16"/>
  <c r="I9" i="16" s="1"/>
  <c r="AF44" i="16"/>
  <c r="K10" i="16" s="1"/>
  <c r="AA44" i="16"/>
  <c r="E10" i="16" s="1"/>
  <c r="O6" i="16" s="1"/>
  <c r="AD44" i="16"/>
  <c r="I10" i="16" s="1"/>
  <c r="N8" i="16"/>
  <c r="O8" i="16" s="1"/>
  <c r="N9" i="15"/>
  <c r="O9" i="15" s="1"/>
  <c r="O4" i="13"/>
  <c r="O6" i="13"/>
  <c r="O5" i="13"/>
  <c r="O7" i="13"/>
  <c r="O8" i="13"/>
  <c r="O3" i="13"/>
  <c r="O7" i="12"/>
  <c r="O3" i="12"/>
  <c r="O4" i="12"/>
  <c r="O6" i="12"/>
  <c r="O5" i="12"/>
  <c r="Z44" i="14"/>
  <c r="K9" i="14" s="1"/>
  <c r="X44" i="14"/>
  <c r="I9" i="14" s="1"/>
  <c r="N9" i="14"/>
  <c r="U44" i="14"/>
  <c r="E9" i="14" s="1"/>
  <c r="AF44" i="14"/>
  <c r="K10" i="14" s="1"/>
  <c r="AA44" i="14"/>
  <c r="E10" i="14" s="1"/>
  <c r="O8" i="14" s="1"/>
  <c r="AD44" i="14"/>
  <c r="I10" i="14" s="1"/>
  <c r="N9" i="13"/>
  <c r="O9" i="13" s="1"/>
  <c r="N8" i="12"/>
  <c r="O8" i="12" s="1"/>
  <c r="D29" i="11"/>
  <c r="O30" i="11"/>
  <c r="O9" i="11"/>
  <c r="O15" i="11"/>
  <c r="O10" i="11"/>
  <c r="O16" i="11"/>
  <c r="O32" i="11"/>
  <c r="O11" i="11"/>
  <c r="O17" i="11"/>
  <c r="O33" i="11"/>
  <c r="O12" i="11"/>
  <c r="O3" i="11"/>
  <c r="O37" i="11"/>
  <c r="O38" i="11"/>
  <c r="O39" i="11"/>
  <c r="O24" i="11"/>
  <c r="O25" i="11"/>
  <c r="O5" i="11"/>
  <c r="O6" i="11"/>
  <c r="O28" i="11"/>
  <c r="O29" i="11"/>
  <c r="O31" i="11"/>
  <c r="O18" i="11"/>
  <c r="O34" i="11"/>
  <c r="O13" i="11"/>
  <c r="O19" i="11"/>
  <c r="O35" i="11"/>
  <c r="O14" i="11"/>
  <c r="O20" i="11"/>
  <c r="O36" i="11"/>
  <c r="O21" i="11"/>
  <c r="O22" i="11"/>
  <c r="O23" i="11"/>
  <c r="O40" i="11"/>
  <c r="O4" i="11"/>
  <c r="O26" i="11"/>
  <c r="O27" i="11"/>
  <c r="O7" i="11"/>
  <c r="O8" i="11"/>
  <c r="O5" i="16" l="1"/>
  <c r="O4" i="16"/>
  <c r="O3" i="16"/>
  <c r="E29" i="16"/>
  <c r="D29" i="16"/>
  <c r="O3" i="14"/>
  <c r="D29" i="14"/>
  <c r="O4" i="14"/>
  <c r="O5" i="14"/>
  <c r="O6" i="14"/>
  <c r="O7" i="14"/>
  <c r="O9" i="14"/>
  <c r="O7" i="16"/>
  <c r="N9" i="16"/>
  <c r="O9" i="16" s="1"/>
  <c r="N10" i="15"/>
  <c r="O10" i="15" s="1"/>
  <c r="N10" i="14"/>
  <c r="O10" i="14" s="1"/>
  <c r="N10" i="13"/>
  <c r="O10" i="13" s="1"/>
  <c r="N9" i="12"/>
  <c r="O9" i="12" s="1"/>
  <c r="N10" i="16" l="1"/>
  <c r="O10" i="16" s="1"/>
  <c r="N11" i="15"/>
  <c r="O11" i="15" s="1"/>
  <c r="N11" i="14"/>
  <c r="O11" i="14" s="1"/>
  <c r="N11" i="13"/>
  <c r="O11" i="13" s="1"/>
  <c r="N10" i="12"/>
  <c r="O10" i="12" s="1"/>
  <c r="N11" i="16" l="1"/>
  <c r="O11" i="16" s="1"/>
  <c r="N12" i="15"/>
  <c r="O12" i="15" s="1"/>
  <c r="N12" i="14"/>
  <c r="O12" i="14" s="1"/>
  <c r="N12" i="13"/>
  <c r="O12" i="13" s="1"/>
  <c r="N11" i="12"/>
  <c r="O11" i="12" s="1"/>
  <c r="N12" i="16" l="1"/>
  <c r="O12" i="16" s="1"/>
  <c r="N13" i="15"/>
  <c r="O13" i="15" s="1"/>
  <c r="N13" i="14"/>
  <c r="O13" i="14" s="1"/>
  <c r="N13" i="13"/>
  <c r="O13" i="13" s="1"/>
  <c r="N12" i="12"/>
  <c r="O12" i="12" s="1"/>
  <c r="N13" i="16" l="1"/>
  <c r="O13" i="16" s="1"/>
  <c r="N14" i="15"/>
  <c r="O14" i="15" s="1"/>
  <c r="N14" i="14"/>
  <c r="O14" i="14" s="1"/>
  <c r="N14" i="13"/>
  <c r="O14" i="13" s="1"/>
  <c r="N13" i="12"/>
  <c r="O13" i="12" s="1"/>
  <c r="N14" i="16" l="1"/>
  <c r="O14" i="16" s="1"/>
  <c r="N15" i="15"/>
  <c r="O15" i="15" s="1"/>
  <c r="N15" i="14"/>
  <c r="O15" i="14" s="1"/>
  <c r="N15" i="13"/>
  <c r="O15" i="13" s="1"/>
  <c r="N14" i="12"/>
  <c r="O14" i="12" s="1"/>
  <c r="N15" i="16" l="1"/>
  <c r="O15" i="16" s="1"/>
  <c r="N16" i="15"/>
  <c r="O16" i="15" s="1"/>
  <c r="N16" i="14"/>
  <c r="O16" i="14" s="1"/>
  <c r="N16" i="13"/>
  <c r="O16" i="13" s="1"/>
  <c r="N15" i="12"/>
  <c r="O15" i="12" s="1"/>
  <c r="N16" i="16" l="1"/>
  <c r="O16" i="16" s="1"/>
  <c r="N17" i="15"/>
  <c r="O17" i="15" s="1"/>
  <c r="N17" i="14"/>
  <c r="O17" i="14" s="1"/>
  <c r="N17" i="13"/>
  <c r="O17" i="13" s="1"/>
  <c r="N16" i="12"/>
  <c r="O16" i="12" s="1"/>
  <c r="N17" i="16" l="1"/>
  <c r="O17" i="16" s="1"/>
  <c r="N18" i="15"/>
  <c r="O18" i="15" s="1"/>
  <c r="N18" i="14"/>
  <c r="O18" i="14" s="1"/>
  <c r="N18" i="13"/>
  <c r="O18" i="13" s="1"/>
  <c r="N17" i="12"/>
  <c r="O17" i="12" s="1"/>
  <c r="N18" i="16" l="1"/>
  <c r="O18" i="16" s="1"/>
  <c r="N19" i="15"/>
  <c r="O19" i="15" s="1"/>
  <c r="N19" i="14"/>
  <c r="O19" i="14" s="1"/>
  <c r="N19" i="13"/>
  <c r="O19" i="13" s="1"/>
  <c r="N18" i="12"/>
  <c r="O18" i="12" s="1"/>
  <c r="N19" i="16" l="1"/>
  <c r="O19" i="16" s="1"/>
  <c r="N20" i="15"/>
  <c r="O20" i="15" s="1"/>
  <c r="N20" i="14"/>
  <c r="O20" i="14" s="1"/>
  <c r="N20" i="13"/>
  <c r="O20" i="13" s="1"/>
  <c r="N19" i="12"/>
  <c r="O19" i="12" s="1"/>
  <c r="N20" i="16" l="1"/>
  <c r="O20" i="16" s="1"/>
  <c r="N21" i="15"/>
  <c r="O21" i="15" s="1"/>
  <c r="N21" i="14"/>
  <c r="O21" i="14" s="1"/>
  <c r="N21" i="13"/>
  <c r="O21" i="13" s="1"/>
  <c r="N20" i="12"/>
  <c r="O20" i="12" s="1"/>
  <c r="N21" i="16" l="1"/>
  <c r="O21" i="16" s="1"/>
  <c r="N22" i="15"/>
  <c r="O22" i="15" s="1"/>
  <c r="N22" i="14"/>
  <c r="O22" i="14" s="1"/>
  <c r="N22" i="13"/>
  <c r="O22" i="13" s="1"/>
  <c r="N21" i="12"/>
  <c r="O21" i="12" s="1"/>
  <c r="N22" i="16" l="1"/>
  <c r="O22" i="16" s="1"/>
  <c r="N23" i="15"/>
  <c r="O23" i="15" s="1"/>
  <c r="N23" i="14"/>
  <c r="O23" i="14" s="1"/>
  <c r="N23" i="13"/>
  <c r="O23" i="13" s="1"/>
  <c r="N22" i="12"/>
  <c r="O22" i="12" s="1"/>
  <c r="N23" i="16" l="1"/>
  <c r="O23" i="16" s="1"/>
  <c r="N24" i="15"/>
  <c r="O24" i="15" s="1"/>
  <c r="N24" i="14"/>
  <c r="O24" i="14" s="1"/>
  <c r="N24" i="13"/>
  <c r="O24" i="13" s="1"/>
  <c r="N23" i="12"/>
  <c r="O23" i="12" s="1"/>
  <c r="N24" i="16" l="1"/>
  <c r="O24" i="16" s="1"/>
  <c r="N25" i="15"/>
  <c r="O25" i="15" s="1"/>
  <c r="N25" i="14"/>
  <c r="O25" i="14" s="1"/>
  <c r="N25" i="13"/>
  <c r="O25" i="13" s="1"/>
  <c r="N24" i="12"/>
  <c r="O24" i="12" s="1"/>
  <c r="N25" i="16" l="1"/>
  <c r="O25" i="16" s="1"/>
  <c r="N26" i="15"/>
  <c r="O26" i="15" s="1"/>
  <c r="N26" i="14"/>
  <c r="O26" i="14" s="1"/>
  <c r="N26" i="13"/>
  <c r="O26" i="13" s="1"/>
  <c r="N25" i="12"/>
  <c r="O25" i="12" s="1"/>
  <c r="N26" i="16" l="1"/>
  <c r="O26" i="16" s="1"/>
  <c r="N27" i="15"/>
  <c r="O27" i="15" s="1"/>
  <c r="N27" i="14"/>
  <c r="O27" i="14" s="1"/>
  <c r="N27" i="13"/>
  <c r="O27" i="13" s="1"/>
  <c r="N26" i="12"/>
  <c r="O26" i="12" s="1"/>
  <c r="N27" i="16" l="1"/>
  <c r="O27" i="16" s="1"/>
  <c r="N28" i="15"/>
  <c r="O28" i="15" s="1"/>
  <c r="N28" i="14"/>
  <c r="O28" i="14" s="1"/>
  <c r="N28" i="13"/>
  <c r="O28" i="13" s="1"/>
  <c r="N27" i="12"/>
  <c r="O27" i="12" s="1"/>
  <c r="N28" i="16" l="1"/>
  <c r="O28" i="16" s="1"/>
  <c r="N29" i="15"/>
  <c r="O29" i="15" s="1"/>
  <c r="N29" i="14"/>
  <c r="O29" i="14" s="1"/>
  <c r="N29" i="13"/>
  <c r="O29" i="13" s="1"/>
  <c r="N28" i="12"/>
  <c r="O28" i="12" s="1"/>
  <c r="N29" i="16" l="1"/>
  <c r="O29" i="16" s="1"/>
  <c r="N30" i="15"/>
  <c r="O30" i="15" s="1"/>
  <c r="N30" i="14"/>
  <c r="O30" i="14" s="1"/>
  <c r="N30" i="13"/>
  <c r="O30" i="13" s="1"/>
  <c r="N29" i="12"/>
  <c r="O29" i="12" s="1"/>
  <c r="N30" i="16" l="1"/>
  <c r="O30" i="16" s="1"/>
  <c r="N31" i="15"/>
  <c r="O31" i="15" s="1"/>
  <c r="N31" i="14"/>
  <c r="O31" i="14" s="1"/>
  <c r="N31" i="13"/>
  <c r="O31" i="13" s="1"/>
  <c r="N30" i="12"/>
  <c r="O30" i="12" s="1"/>
  <c r="N31" i="16" l="1"/>
  <c r="O31" i="16" s="1"/>
  <c r="N32" i="15"/>
  <c r="O32" i="15" s="1"/>
  <c r="N32" i="14"/>
  <c r="O32" i="14" s="1"/>
  <c r="N32" i="13"/>
  <c r="O32" i="13" s="1"/>
  <c r="N31" i="12"/>
  <c r="O31" i="12" s="1"/>
  <c r="N32" i="16" l="1"/>
  <c r="O32" i="16" s="1"/>
  <c r="N33" i="15"/>
  <c r="O33" i="15" s="1"/>
  <c r="N33" i="14"/>
  <c r="O33" i="14" s="1"/>
  <c r="N33" i="13"/>
  <c r="O33" i="13" s="1"/>
  <c r="N32" i="12"/>
  <c r="O32" i="12" s="1"/>
  <c r="N33" i="16" l="1"/>
  <c r="O33" i="16" s="1"/>
  <c r="N34" i="15"/>
  <c r="O34" i="15" s="1"/>
  <c r="N34" i="14"/>
  <c r="O34" i="14" s="1"/>
  <c r="N34" i="13"/>
  <c r="O34" i="13" s="1"/>
  <c r="N33" i="12"/>
  <c r="O33" i="12" s="1"/>
  <c r="N34" i="16" l="1"/>
  <c r="O34" i="16" s="1"/>
  <c r="N35" i="15"/>
  <c r="O35" i="15" s="1"/>
  <c r="N35" i="14"/>
  <c r="O35" i="14" s="1"/>
  <c r="N35" i="13"/>
  <c r="O35" i="13" s="1"/>
  <c r="N34" i="12"/>
  <c r="O34" i="12" s="1"/>
  <c r="N35" i="16" l="1"/>
  <c r="O35" i="16" s="1"/>
  <c r="N36" i="15"/>
  <c r="O36" i="15" s="1"/>
  <c r="N36" i="14"/>
  <c r="O36" i="14" s="1"/>
  <c r="N36" i="13"/>
  <c r="O36" i="13" s="1"/>
  <c r="N35" i="12"/>
  <c r="O35" i="12" s="1"/>
  <c r="N36" i="16" l="1"/>
  <c r="O36" i="16" s="1"/>
  <c r="N37" i="15"/>
  <c r="O37" i="15" s="1"/>
  <c r="N37" i="14"/>
  <c r="O37" i="14" s="1"/>
  <c r="N37" i="13"/>
  <c r="O37" i="13" s="1"/>
  <c r="N36" i="12"/>
  <c r="O36" i="12" s="1"/>
  <c r="N37" i="16" l="1"/>
  <c r="O37" i="16" s="1"/>
  <c r="N38" i="15"/>
  <c r="O38" i="15" s="1"/>
  <c r="N38" i="14"/>
  <c r="O38" i="14" s="1"/>
  <c r="N38" i="13"/>
  <c r="O38" i="13" s="1"/>
  <c r="N37" i="12"/>
  <c r="O37" i="12" s="1"/>
  <c r="N38" i="16" l="1"/>
  <c r="O38" i="16" s="1"/>
  <c r="N39" i="15"/>
  <c r="O39" i="15" s="1"/>
  <c r="N39" i="14"/>
  <c r="O39" i="14" s="1"/>
  <c r="N39" i="13"/>
  <c r="O39" i="13" s="1"/>
  <c r="N38" i="12"/>
  <c r="O38" i="12" s="1"/>
  <c r="N39" i="16" l="1"/>
  <c r="O39" i="16" s="1"/>
  <c r="N40" i="15"/>
  <c r="O40" i="15" s="1"/>
  <c r="N40" i="14"/>
  <c r="O40" i="14" s="1"/>
  <c r="N40" i="13"/>
  <c r="O40" i="13" s="1"/>
  <c r="N39" i="12"/>
  <c r="O39" i="12" s="1"/>
  <c r="N40" i="16" l="1"/>
  <c r="O40" i="16" s="1"/>
  <c r="N40" i="12"/>
  <c r="O40" i="12" s="1"/>
</calcChain>
</file>

<file path=xl/sharedStrings.xml><?xml version="1.0" encoding="utf-8"?>
<sst xmlns="http://schemas.openxmlformats.org/spreadsheetml/2006/main" count="361" uniqueCount="78">
  <si>
    <t>Stock Ticker</t>
  </si>
  <si>
    <t>TSLA</t>
  </si>
  <si>
    <t>Strike Price</t>
  </si>
  <si>
    <t>Underlying</t>
  </si>
  <si>
    <t>Strike</t>
  </si>
  <si>
    <t>Interest Rate</t>
  </si>
  <si>
    <t>Stock Price</t>
  </si>
  <si>
    <t>Long Call</t>
  </si>
  <si>
    <t>Long Call Profit</t>
  </si>
  <si>
    <t>Long Put</t>
  </si>
  <si>
    <t>Put Price</t>
  </si>
  <si>
    <t>Short Call</t>
  </si>
  <si>
    <t>Short Call Profit</t>
  </si>
  <si>
    <t>Short Put</t>
  </si>
  <si>
    <t>Price</t>
  </si>
  <si>
    <t>Long Straddle</t>
  </si>
  <si>
    <t>Short Straddle</t>
  </si>
  <si>
    <t>Long Put Profit</t>
  </si>
  <si>
    <t>Short Put Profit</t>
  </si>
  <si>
    <t>Long Straddle Profit</t>
  </si>
  <si>
    <t>Short Straddle Profit</t>
  </si>
  <si>
    <t>Long Call Break Even</t>
  </si>
  <si>
    <t>Profit Potential</t>
  </si>
  <si>
    <t>Unlimited</t>
  </si>
  <si>
    <t>Loss Potential</t>
  </si>
  <si>
    <t>Fixed</t>
  </si>
  <si>
    <t>Volatality</t>
  </si>
  <si>
    <t>Dividend Yield</t>
  </si>
  <si>
    <t>Days to Exp</t>
  </si>
  <si>
    <t>Time to Exp</t>
  </si>
  <si>
    <t>d1 Numerator - NL</t>
  </si>
  <si>
    <t>d1 numerator - rest</t>
  </si>
  <si>
    <t>d1 denom</t>
  </si>
  <si>
    <t>d1</t>
  </si>
  <si>
    <t>d2</t>
  </si>
  <si>
    <t>N(d1)</t>
  </si>
  <si>
    <t>N(-d1)</t>
  </si>
  <si>
    <t>N(d2)</t>
  </si>
  <si>
    <t>N(-d2)</t>
  </si>
  <si>
    <t>K eRT</t>
  </si>
  <si>
    <t>eRT</t>
  </si>
  <si>
    <t>e-qt</t>
  </si>
  <si>
    <t>S e-qt</t>
  </si>
  <si>
    <t>Call Option Price</t>
  </si>
  <si>
    <t>Call Delta</t>
  </si>
  <si>
    <t>Call Gamma</t>
  </si>
  <si>
    <t>Call Theta</t>
  </si>
  <si>
    <t>Call Vega</t>
  </si>
  <si>
    <t>Call Rho</t>
  </si>
  <si>
    <t>Put Delta</t>
  </si>
  <si>
    <t>Put Gamma</t>
  </si>
  <si>
    <t>Put Theta</t>
  </si>
  <si>
    <t>Put Vega</t>
  </si>
  <si>
    <t>Put Rho</t>
  </si>
  <si>
    <t>Underlying Price</t>
  </si>
  <si>
    <t>Volatility (p.a)</t>
  </si>
  <si>
    <t>Interest Rate (p.a)</t>
  </si>
  <si>
    <t>Dividend Yield (p.a)</t>
  </si>
  <si>
    <t>Days to Expiry</t>
  </si>
  <si>
    <t>Call Option</t>
  </si>
  <si>
    <t>Put Option</t>
  </si>
  <si>
    <t>Delta</t>
  </si>
  <si>
    <t>Gamma</t>
  </si>
  <si>
    <t>Theta</t>
  </si>
  <si>
    <t>Vega</t>
  </si>
  <si>
    <t>Rho</t>
  </si>
  <si>
    <t>Input Parameters</t>
  </si>
  <si>
    <t>Black Scholes Calculations</t>
  </si>
  <si>
    <t>OPTIONS STRATEGIES ANALYZER</t>
  </si>
  <si>
    <t>Option Strategy</t>
  </si>
  <si>
    <t>Short Call Break Even</t>
  </si>
  <si>
    <t>Long Put Break Even</t>
  </si>
  <si>
    <t>Short Put Break Even</t>
  </si>
  <si>
    <t>Significant</t>
  </si>
  <si>
    <t>Limited</t>
  </si>
  <si>
    <t>Long Straddle Break Even</t>
  </si>
  <si>
    <t>IF(N3&lt;=ShortStraddle_StrikePrice,-100*(ShortStraddle_StrikePrice-N3)+(ShortStraddle_CallPrice*100+ShortStraddle_PutPrice*100),-100*(-ShortStraddle_StrikePrice+N3)+(ShortStraddle_CallPrice*100+PutPrice*100))</t>
  </si>
  <si>
    <t>Short Straddle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</si>
</sst>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4" fontId="1" fillId="2" borderId="1" xfId="1" applyNumberFormat="1"/>
    <xf numFmtId="0" fontId="3" fillId="0" borderId="0" xfId="0" applyFont="1"/>
    <xf numFmtId="164" fontId="3" fillId="0" borderId="0" xfId="0" applyNumberFormat="1" applyFont="1"/>
    <xf numFmtId="10" fontId="0" fillId="0" borderId="0" xfId="2" applyNumberFormat="1" applyFont="1"/>
    <xf numFmtId="165" fontId="0" fillId="0" borderId="0" xfId="0" applyNumberFormat="1"/>
    <xf numFmtId="2" fontId="1" fillId="2" borderId="1" xfId="1" applyNumberFormat="1"/>
    <xf numFmtId="10" fontId="1" fillId="2" borderId="1" xfId="1" applyNumberFormat="1"/>
    <xf numFmtId="0" fontId="0" fillId="3" borderId="0" xfId="0" applyFill="1"/>
    <xf numFmtId="164" fontId="0" fillId="4" borderId="0" xfId="0" applyNumberFormat="1" applyFill="1"/>
    <xf numFmtId="10" fontId="0" fillId="4" borderId="0" xfId="0" applyNumberFormat="1" applyFill="1"/>
    <xf numFmtId="2" fontId="0" fillId="4" borderId="0" xfId="0" applyNumberFormat="1" applyFill="1"/>
    <xf numFmtId="165" fontId="0" fillId="5" borderId="0" xfId="0" applyNumberFormat="1" applyFill="1"/>
    <xf numFmtId="164" fontId="0" fillId="5" borderId="0" xfId="0" applyNumberFormat="1" applyFill="1"/>
    <xf numFmtId="0" fontId="0" fillId="0" borderId="2" xfId="0" applyBorder="1"/>
    <xf numFmtId="0" fontId="3" fillId="0" borderId="3" xfId="0" applyFont="1" applyBorder="1"/>
    <xf numFmtId="0" fontId="3" fillId="0" borderId="2" xfId="0" applyFont="1" applyBorder="1"/>
    <xf numFmtId="165" fontId="3" fillId="5" borderId="0" xfId="0" applyNumberFormat="1" applyFont="1" applyFill="1"/>
    <xf numFmtId="165" fontId="0" fillId="5" borderId="3" xfId="0" applyNumberFormat="1" applyFill="1" applyBorder="1"/>
    <xf numFmtId="0" fontId="3" fillId="0" borderId="4" xfId="0" applyFont="1" applyBorder="1"/>
    <xf numFmtId="165" fontId="3" fillId="5" borderId="5" xfId="0" applyNumberFormat="1" applyFont="1" applyFill="1" applyBorder="1"/>
    <xf numFmtId="0" fontId="0" fillId="0" borderId="5" xfId="0" applyBorder="1"/>
    <xf numFmtId="165" fontId="0" fillId="5" borderId="5" xfId="0" applyNumberFormat="1" applyFill="1" applyBorder="1"/>
    <xf numFmtId="165" fontId="0" fillId="5" borderId="6" xfId="0" applyNumberFormat="1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Input" xfId="1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Long Call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'BS-LongCall'!$O$2</c:f>
              <c:strCache>
                <c:ptCount val="1"/>
                <c:pt idx="0">
                  <c:v>Long Call Profit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'BS-LongCall'!$O$3:$O$40</c:f>
              <c:numCache>
                <c:formatCode>_-[$$-409]* #,##0.00_ ;_-[$$-409]* \-#,##0.00\ ;_-[$$-409]* "-"??_ ;_-@_ </c:formatCode>
                <c:ptCount val="38"/>
                <c:pt idx="0">
                  <c:v>-524.80044734199828</c:v>
                </c:pt>
                <c:pt idx="1">
                  <c:v>-524.80044734199828</c:v>
                </c:pt>
                <c:pt idx="2">
                  <c:v>-524.80044734199828</c:v>
                </c:pt>
                <c:pt idx="3">
                  <c:v>-524.80044734199828</c:v>
                </c:pt>
                <c:pt idx="4">
                  <c:v>-524.80044734199828</c:v>
                </c:pt>
                <c:pt idx="5">
                  <c:v>-524.80044734199828</c:v>
                </c:pt>
                <c:pt idx="6">
                  <c:v>-524.80044734199828</c:v>
                </c:pt>
                <c:pt idx="7">
                  <c:v>-524.80044734199828</c:v>
                </c:pt>
                <c:pt idx="8">
                  <c:v>-524.80044734199828</c:v>
                </c:pt>
                <c:pt idx="9">
                  <c:v>-524.80044734199828</c:v>
                </c:pt>
                <c:pt idx="10">
                  <c:v>-524.80044734199828</c:v>
                </c:pt>
                <c:pt idx="11">
                  <c:v>-519.65044734199785</c:v>
                </c:pt>
                <c:pt idx="12">
                  <c:v>-419.65044734199785</c:v>
                </c:pt>
                <c:pt idx="13">
                  <c:v>-319.65044734199785</c:v>
                </c:pt>
                <c:pt idx="14">
                  <c:v>-219.65044734199785</c:v>
                </c:pt>
                <c:pt idx="15">
                  <c:v>-119.65044734199785</c:v>
                </c:pt>
                <c:pt idx="16">
                  <c:v>-19.650447341997847</c:v>
                </c:pt>
                <c:pt idx="17">
                  <c:v>80.349552658002153</c:v>
                </c:pt>
                <c:pt idx="18">
                  <c:v>180.34955265800215</c:v>
                </c:pt>
                <c:pt idx="19">
                  <c:v>280.34955265800215</c:v>
                </c:pt>
                <c:pt idx="20">
                  <c:v>380.34955265800215</c:v>
                </c:pt>
                <c:pt idx="21">
                  <c:v>480.34955265800215</c:v>
                </c:pt>
                <c:pt idx="22">
                  <c:v>580.34955265800227</c:v>
                </c:pt>
                <c:pt idx="23">
                  <c:v>680.34955265800227</c:v>
                </c:pt>
                <c:pt idx="24">
                  <c:v>780.34955265800227</c:v>
                </c:pt>
                <c:pt idx="25">
                  <c:v>880.34955265800227</c:v>
                </c:pt>
                <c:pt idx="26">
                  <c:v>980.34955265800227</c:v>
                </c:pt>
                <c:pt idx="27">
                  <c:v>1080.3495526580023</c:v>
                </c:pt>
                <c:pt idx="28">
                  <c:v>1180.3495526580023</c:v>
                </c:pt>
                <c:pt idx="29">
                  <c:v>1280.3495526580023</c:v>
                </c:pt>
                <c:pt idx="30">
                  <c:v>1380.3495526580023</c:v>
                </c:pt>
                <c:pt idx="31">
                  <c:v>1480.3495526580023</c:v>
                </c:pt>
                <c:pt idx="32">
                  <c:v>1580.3495526580023</c:v>
                </c:pt>
                <c:pt idx="33">
                  <c:v>1680.3495526580023</c:v>
                </c:pt>
                <c:pt idx="34">
                  <c:v>1780.3495526580023</c:v>
                </c:pt>
                <c:pt idx="35">
                  <c:v>1880.3495526580023</c:v>
                </c:pt>
                <c:pt idx="36">
                  <c:v>1980.3495526580023</c:v>
                </c:pt>
                <c:pt idx="37">
                  <c:v>2080.3495526580023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A-4927-A0AD-E16DC81F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87824"/>
        <c:axId val="367358960"/>
      </c:lineChart>
      <c:lineChart>
        <c:grouping val="standard"/>
        <c:varyColors val="0"/>
        <c:ser>
          <c:idx val="0"/>
          <c:order val="0"/>
          <c:tx>
            <c:strRef>
              <c:f>'BS-LongCall'!$N$2</c:f>
              <c:strCache>
                <c:ptCount val="1"/>
                <c:pt idx="0">
                  <c:v> 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'BS-LongCall'!$N$3:$N$40</c:f>
              <c:numCache>
                <c:formatCode>_-[$$-409]* #,##0.00_ ;_-[$$-409]* \-#,##0.00\ ;_-[$$-409]* "-"??_ ;_-@_ </c:formatCode>
                <c:ptCount val="38"/>
                <c:pt idx="0">
                  <c:v>186.5515</c:v>
                </c:pt>
                <c:pt idx="1">
                  <c:v>187.5515</c:v>
                </c:pt>
                <c:pt idx="2">
                  <c:v>188.5515</c:v>
                </c:pt>
                <c:pt idx="3">
                  <c:v>189.5515</c:v>
                </c:pt>
                <c:pt idx="4">
                  <c:v>190.5515</c:v>
                </c:pt>
                <c:pt idx="5">
                  <c:v>191.5515</c:v>
                </c:pt>
                <c:pt idx="6">
                  <c:v>192.5515</c:v>
                </c:pt>
                <c:pt idx="7">
                  <c:v>193.5515</c:v>
                </c:pt>
                <c:pt idx="8">
                  <c:v>194.5515</c:v>
                </c:pt>
                <c:pt idx="9">
                  <c:v>195.5515</c:v>
                </c:pt>
                <c:pt idx="10">
                  <c:v>196.5515</c:v>
                </c:pt>
                <c:pt idx="11">
                  <c:v>197.5515</c:v>
                </c:pt>
                <c:pt idx="12">
                  <c:v>198.5515</c:v>
                </c:pt>
                <c:pt idx="13">
                  <c:v>199.5515</c:v>
                </c:pt>
                <c:pt idx="14">
                  <c:v>200.5515</c:v>
                </c:pt>
                <c:pt idx="15">
                  <c:v>201.5515</c:v>
                </c:pt>
                <c:pt idx="16">
                  <c:v>202.5515</c:v>
                </c:pt>
                <c:pt idx="17">
                  <c:v>203.5515</c:v>
                </c:pt>
                <c:pt idx="18">
                  <c:v>204.5515</c:v>
                </c:pt>
                <c:pt idx="19">
                  <c:v>205.5515</c:v>
                </c:pt>
                <c:pt idx="20">
                  <c:v>206.5515</c:v>
                </c:pt>
                <c:pt idx="21">
                  <c:v>207.5515</c:v>
                </c:pt>
                <c:pt idx="22">
                  <c:v>208.5515</c:v>
                </c:pt>
                <c:pt idx="23">
                  <c:v>209.5515</c:v>
                </c:pt>
                <c:pt idx="24">
                  <c:v>210.5515</c:v>
                </c:pt>
                <c:pt idx="25">
                  <c:v>211.5515</c:v>
                </c:pt>
                <c:pt idx="26">
                  <c:v>212.5515</c:v>
                </c:pt>
                <c:pt idx="27">
                  <c:v>213.5515</c:v>
                </c:pt>
                <c:pt idx="28">
                  <c:v>214.5515</c:v>
                </c:pt>
                <c:pt idx="29">
                  <c:v>215.5515</c:v>
                </c:pt>
                <c:pt idx="30">
                  <c:v>216.5515</c:v>
                </c:pt>
                <c:pt idx="31">
                  <c:v>217.5515</c:v>
                </c:pt>
                <c:pt idx="32">
                  <c:v>218.5515</c:v>
                </c:pt>
                <c:pt idx="33">
                  <c:v>219.5515</c:v>
                </c:pt>
                <c:pt idx="34">
                  <c:v>220.5515</c:v>
                </c:pt>
                <c:pt idx="35">
                  <c:v>221.5515</c:v>
                </c:pt>
                <c:pt idx="36">
                  <c:v>222.5515</c:v>
                </c:pt>
                <c:pt idx="37">
                  <c:v>223.5515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A-4927-A0AD-E16DC81F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71840"/>
        <c:axId val="366881440"/>
      </c:lineChart>
      <c:catAx>
        <c:axId val="203988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7358960"/>
        <c:crosses val="autoZero"/>
        <c:auto val="1"/>
        <c:lblAlgn val="ctr"/>
        <c:lblOffset val="100"/>
        <c:noMultiLvlLbl val="0"/>
      </c:catAx>
      <c:valAx>
        <c:axId val="3673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7824"/>
        <c:crosses val="autoZero"/>
        <c:crossBetween val="between"/>
      </c:valAx>
      <c:valAx>
        <c:axId val="36688144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840"/>
        <c:crosses val="max"/>
        <c:crossBetween val="between"/>
      </c:valAx>
      <c:catAx>
        <c:axId val="3668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6688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Short Call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'BS-ShortCall'!$O$2</c:f>
              <c:strCache>
                <c:ptCount val="1"/>
                <c:pt idx="0">
                  <c:v>Short Call Profit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'BS-ShortCall'!$O$3:$O$40</c:f>
              <c:numCache>
                <c:formatCode>_-[$$-409]* #,##0.00_ ;_-[$$-409]* \-#,##0.00\ ;_-[$$-409]* "-"??_ ;_-@_ </c:formatCode>
                <c:ptCount val="38"/>
                <c:pt idx="0">
                  <c:v>934.93402272917047</c:v>
                </c:pt>
                <c:pt idx="1">
                  <c:v>934.93402272917047</c:v>
                </c:pt>
                <c:pt idx="2">
                  <c:v>934.93402272917047</c:v>
                </c:pt>
                <c:pt idx="3">
                  <c:v>934.93402272917047</c:v>
                </c:pt>
                <c:pt idx="4">
                  <c:v>894.7840227291706</c:v>
                </c:pt>
                <c:pt idx="5">
                  <c:v>794.7840227291706</c:v>
                </c:pt>
                <c:pt idx="6">
                  <c:v>694.7840227291706</c:v>
                </c:pt>
                <c:pt idx="7">
                  <c:v>594.7840227291706</c:v>
                </c:pt>
                <c:pt idx="8">
                  <c:v>494.7840227291706</c:v>
                </c:pt>
                <c:pt idx="9">
                  <c:v>394.7840227291706</c:v>
                </c:pt>
                <c:pt idx="10">
                  <c:v>294.7840227291706</c:v>
                </c:pt>
                <c:pt idx="11">
                  <c:v>194.7840227291706</c:v>
                </c:pt>
                <c:pt idx="12">
                  <c:v>94.784022729170601</c:v>
                </c:pt>
                <c:pt idx="13">
                  <c:v>-5.2159772708293985</c:v>
                </c:pt>
                <c:pt idx="14">
                  <c:v>-105.2159772708294</c:v>
                </c:pt>
                <c:pt idx="15">
                  <c:v>-205.2159772708294</c:v>
                </c:pt>
                <c:pt idx="16">
                  <c:v>-305.2159772708294</c:v>
                </c:pt>
                <c:pt idx="17">
                  <c:v>-405.2159772708294</c:v>
                </c:pt>
                <c:pt idx="18">
                  <c:v>-505.2159772708294</c:v>
                </c:pt>
                <c:pt idx="19">
                  <c:v>-605.2159772708294</c:v>
                </c:pt>
                <c:pt idx="20">
                  <c:v>-705.2159772708294</c:v>
                </c:pt>
                <c:pt idx="21">
                  <c:v>-805.2159772708294</c:v>
                </c:pt>
                <c:pt idx="22">
                  <c:v>-905.2159772708294</c:v>
                </c:pt>
                <c:pt idx="23">
                  <c:v>-1005.2159772708294</c:v>
                </c:pt>
                <c:pt idx="24">
                  <c:v>-1105.2159772708294</c:v>
                </c:pt>
                <c:pt idx="25">
                  <c:v>-1205.2159772708292</c:v>
                </c:pt>
                <c:pt idx="26">
                  <c:v>-1305.2159772708292</c:v>
                </c:pt>
                <c:pt idx="27">
                  <c:v>-1405.2159772708292</c:v>
                </c:pt>
                <c:pt idx="28">
                  <c:v>-1505.2159772708292</c:v>
                </c:pt>
                <c:pt idx="29">
                  <c:v>-1605.2159772708292</c:v>
                </c:pt>
                <c:pt idx="30">
                  <c:v>-1705.2159772708292</c:v>
                </c:pt>
                <c:pt idx="31">
                  <c:v>-1805.2159772708292</c:v>
                </c:pt>
                <c:pt idx="32">
                  <c:v>-1905.2159772708292</c:v>
                </c:pt>
                <c:pt idx="33">
                  <c:v>-2005.2159772708292</c:v>
                </c:pt>
                <c:pt idx="34">
                  <c:v>-2105.2159772708292</c:v>
                </c:pt>
                <c:pt idx="35">
                  <c:v>-2205.2159772708292</c:v>
                </c:pt>
                <c:pt idx="36">
                  <c:v>-2305.2159772708292</c:v>
                </c:pt>
                <c:pt idx="37">
                  <c:v>-2405.2159772708292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C-4FA5-9B01-3947BE76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87824"/>
        <c:axId val="367358960"/>
      </c:lineChart>
      <c:lineChart>
        <c:grouping val="standard"/>
        <c:varyColors val="0"/>
        <c:ser>
          <c:idx val="0"/>
          <c:order val="0"/>
          <c:tx>
            <c:strRef>
              <c:f>'BS-ShortCall'!$N$2</c:f>
              <c:strCache>
                <c:ptCount val="1"/>
                <c:pt idx="0">
                  <c:v> 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'BS-ShortCall'!$N$3:$N$40</c:f>
              <c:numCache>
                <c:formatCode>_-[$$-409]* #,##0.00_ ;_-[$$-409]* \-#,##0.00\ ;_-[$$-409]* "-"??_ ;_-@_ </c:formatCode>
                <c:ptCount val="38"/>
                <c:pt idx="0">
                  <c:v>186.5515</c:v>
                </c:pt>
                <c:pt idx="1">
                  <c:v>187.5515</c:v>
                </c:pt>
                <c:pt idx="2">
                  <c:v>188.5515</c:v>
                </c:pt>
                <c:pt idx="3">
                  <c:v>189.5515</c:v>
                </c:pt>
                <c:pt idx="4">
                  <c:v>190.5515</c:v>
                </c:pt>
                <c:pt idx="5">
                  <c:v>191.5515</c:v>
                </c:pt>
                <c:pt idx="6">
                  <c:v>192.5515</c:v>
                </c:pt>
                <c:pt idx="7">
                  <c:v>193.5515</c:v>
                </c:pt>
                <c:pt idx="8">
                  <c:v>194.5515</c:v>
                </c:pt>
                <c:pt idx="9">
                  <c:v>195.5515</c:v>
                </c:pt>
                <c:pt idx="10">
                  <c:v>196.5515</c:v>
                </c:pt>
                <c:pt idx="11">
                  <c:v>197.5515</c:v>
                </c:pt>
                <c:pt idx="12">
                  <c:v>198.5515</c:v>
                </c:pt>
                <c:pt idx="13">
                  <c:v>199.5515</c:v>
                </c:pt>
                <c:pt idx="14">
                  <c:v>200.5515</c:v>
                </c:pt>
                <c:pt idx="15">
                  <c:v>201.5515</c:v>
                </c:pt>
                <c:pt idx="16">
                  <c:v>202.5515</c:v>
                </c:pt>
                <c:pt idx="17">
                  <c:v>203.5515</c:v>
                </c:pt>
                <c:pt idx="18">
                  <c:v>204.5515</c:v>
                </c:pt>
                <c:pt idx="19">
                  <c:v>205.5515</c:v>
                </c:pt>
                <c:pt idx="20">
                  <c:v>206.5515</c:v>
                </c:pt>
                <c:pt idx="21">
                  <c:v>207.5515</c:v>
                </c:pt>
                <c:pt idx="22">
                  <c:v>208.5515</c:v>
                </c:pt>
                <c:pt idx="23">
                  <c:v>209.5515</c:v>
                </c:pt>
                <c:pt idx="24">
                  <c:v>210.5515</c:v>
                </c:pt>
                <c:pt idx="25">
                  <c:v>211.5515</c:v>
                </c:pt>
                <c:pt idx="26">
                  <c:v>212.5515</c:v>
                </c:pt>
                <c:pt idx="27">
                  <c:v>213.5515</c:v>
                </c:pt>
                <c:pt idx="28">
                  <c:v>214.5515</c:v>
                </c:pt>
                <c:pt idx="29">
                  <c:v>215.5515</c:v>
                </c:pt>
                <c:pt idx="30">
                  <c:v>216.5515</c:v>
                </c:pt>
                <c:pt idx="31">
                  <c:v>217.5515</c:v>
                </c:pt>
                <c:pt idx="32">
                  <c:v>218.5515</c:v>
                </c:pt>
                <c:pt idx="33">
                  <c:v>219.5515</c:v>
                </c:pt>
                <c:pt idx="34">
                  <c:v>220.5515</c:v>
                </c:pt>
                <c:pt idx="35">
                  <c:v>221.5515</c:v>
                </c:pt>
                <c:pt idx="36">
                  <c:v>222.5515</c:v>
                </c:pt>
                <c:pt idx="37">
                  <c:v>223.5515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C-4FA5-9B01-3947BE76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71840"/>
        <c:axId val="366881440"/>
      </c:lineChart>
      <c:catAx>
        <c:axId val="203988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7358960"/>
        <c:crosses val="autoZero"/>
        <c:auto val="1"/>
        <c:lblAlgn val="ctr"/>
        <c:lblOffset val="100"/>
        <c:noMultiLvlLbl val="0"/>
      </c:catAx>
      <c:valAx>
        <c:axId val="3673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7824"/>
        <c:crosses val="autoZero"/>
        <c:crossBetween val="between"/>
      </c:valAx>
      <c:valAx>
        <c:axId val="36688144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840"/>
        <c:crosses val="max"/>
        <c:crossBetween val="between"/>
      </c:valAx>
      <c:catAx>
        <c:axId val="3668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6688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Long Put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'BS-LongPut'!$O$2</c:f>
              <c:strCache>
                <c:ptCount val="1"/>
                <c:pt idx="0">
                  <c:v>Long Put Profit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'BS-LongPut'!$O$3:$O$40</c:f>
              <c:numCache>
                <c:formatCode>_-[$$-409]* #,##0.00_ ;_-[$$-409]* \-#,##0.00\ ;_-[$$-409]* "-"??_ ;_-@_ </c:formatCode>
                <c:ptCount val="38"/>
                <c:pt idx="0">
                  <c:v>1608.8794910823112</c:v>
                </c:pt>
                <c:pt idx="1">
                  <c:v>1508.8794910823112</c:v>
                </c:pt>
                <c:pt idx="2">
                  <c:v>1408.8794910823112</c:v>
                </c:pt>
                <c:pt idx="3">
                  <c:v>1308.8794910823112</c:v>
                </c:pt>
                <c:pt idx="4">
                  <c:v>1208.8794910823112</c:v>
                </c:pt>
                <c:pt idx="5">
                  <c:v>1108.8794910823112</c:v>
                </c:pt>
                <c:pt idx="6">
                  <c:v>1008.8794910823111</c:v>
                </c:pt>
                <c:pt idx="7">
                  <c:v>908.87949108231112</c:v>
                </c:pt>
                <c:pt idx="8">
                  <c:v>808.87949108231112</c:v>
                </c:pt>
                <c:pt idx="9">
                  <c:v>708.87949108231112</c:v>
                </c:pt>
                <c:pt idx="10">
                  <c:v>608.87949108231112</c:v>
                </c:pt>
                <c:pt idx="11">
                  <c:v>508.87949108231112</c:v>
                </c:pt>
                <c:pt idx="12">
                  <c:v>408.87949108231112</c:v>
                </c:pt>
                <c:pt idx="13">
                  <c:v>308.87949108231112</c:v>
                </c:pt>
                <c:pt idx="14">
                  <c:v>208.87949108231112</c:v>
                </c:pt>
                <c:pt idx="15">
                  <c:v>108.87949108231112</c:v>
                </c:pt>
                <c:pt idx="16">
                  <c:v>8.8794910823111195</c:v>
                </c:pt>
                <c:pt idx="17">
                  <c:v>-91.120508917688881</c:v>
                </c:pt>
                <c:pt idx="18">
                  <c:v>-191.12050891768888</c:v>
                </c:pt>
                <c:pt idx="19">
                  <c:v>-291.12050891768888</c:v>
                </c:pt>
                <c:pt idx="20">
                  <c:v>-391.12050891768888</c:v>
                </c:pt>
                <c:pt idx="21">
                  <c:v>-491.12050891768888</c:v>
                </c:pt>
                <c:pt idx="22">
                  <c:v>-591.12050891768888</c:v>
                </c:pt>
                <c:pt idx="23">
                  <c:v>-691.12050891768888</c:v>
                </c:pt>
                <c:pt idx="24">
                  <c:v>-791.12050891768888</c:v>
                </c:pt>
                <c:pt idx="25">
                  <c:v>-867.82050891768847</c:v>
                </c:pt>
                <c:pt idx="26">
                  <c:v>-867.82050891768847</c:v>
                </c:pt>
                <c:pt idx="27">
                  <c:v>-867.82050891768847</c:v>
                </c:pt>
                <c:pt idx="28">
                  <c:v>-867.82050891768847</c:v>
                </c:pt>
                <c:pt idx="29">
                  <c:v>-867.82050891768847</c:v>
                </c:pt>
                <c:pt idx="30">
                  <c:v>-867.82050891768847</c:v>
                </c:pt>
                <c:pt idx="31">
                  <c:v>-867.82050891768847</c:v>
                </c:pt>
                <c:pt idx="32">
                  <c:v>-867.82050891768847</c:v>
                </c:pt>
                <c:pt idx="33">
                  <c:v>-867.82050891768847</c:v>
                </c:pt>
                <c:pt idx="34">
                  <c:v>-867.82050891768847</c:v>
                </c:pt>
                <c:pt idx="35">
                  <c:v>-867.82050891768847</c:v>
                </c:pt>
                <c:pt idx="36">
                  <c:v>-867.82050891768847</c:v>
                </c:pt>
                <c:pt idx="37">
                  <c:v>-867.82050891768847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1-4FB9-9F24-D134AE7A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87824"/>
        <c:axId val="367358960"/>
      </c:lineChart>
      <c:lineChart>
        <c:grouping val="standard"/>
        <c:varyColors val="0"/>
        <c:ser>
          <c:idx val="0"/>
          <c:order val="0"/>
          <c:tx>
            <c:strRef>
              <c:f>'BS-LongPut'!$N$2</c:f>
              <c:strCache>
                <c:ptCount val="1"/>
                <c:pt idx="0">
                  <c:v> 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'BS-LongPut'!$N$3:$N$40</c:f>
              <c:numCache>
                <c:formatCode>_-[$$-409]* #,##0.00_ ;_-[$$-409]* \-#,##0.00\ ;_-[$$-409]* "-"??_ ;_-@_ </c:formatCode>
                <c:ptCount val="38"/>
                <c:pt idx="0">
                  <c:v>176.733</c:v>
                </c:pt>
                <c:pt idx="1">
                  <c:v>177.733</c:v>
                </c:pt>
                <c:pt idx="2">
                  <c:v>178.733</c:v>
                </c:pt>
                <c:pt idx="3">
                  <c:v>179.733</c:v>
                </c:pt>
                <c:pt idx="4">
                  <c:v>180.733</c:v>
                </c:pt>
                <c:pt idx="5">
                  <c:v>181.733</c:v>
                </c:pt>
                <c:pt idx="6">
                  <c:v>182.733</c:v>
                </c:pt>
                <c:pt idx="7">
                  <c:v>183.733</c:v>
                </c:pt>
                <c:pt idx="8">
                  <c:v>184.733</c:v>
                </c:pt>
                <c:pt idx="9">
                  <c:v>185.733</c:v>
                </c:pt>
                <c:pt idx="10">
                  <c:v>186.733</c:v>
                </c:pt>
                <c:pt idx="11">
                  <c:v>187.733</c:v>
                </c:pt>
                <c:pt idx="12">
                  <c:v>188.733</c:v>
                </c:pt>
                <c:pt idx="13">
                  <c:v>189.733</c:v>
                </c:pt>
                <c:pt idx="14">
                  <c:v>190.733</c:v>
                </c:pt>
                <c:pt idx="15">
                  <c:v>191.733</c:v>
                </c:pt>
                <c:pt idx="16">
                  <c:v>192.733</c:v>
                </c:pt>
                <c:pt idx="17">
                  <c:v>193.733</c:v>
                </c:pt>
                <c:pt idx="18">
                  <c:v>194.733</c:v>
                </c:pt>
                <c:pt idx="19">
                  <c:v>195.733</c:v>
                </c:pt>
                <c:pt idx="20">
                  <c:v>196.733</c:v>
                </c:pt>
                <c:pt idx="21">
                  <c:v>197.733</c:v>
                </c:pt>
                <c:pt idx="22">
                  <c:v>198.733</c:v>
                </c:pt>
                <c:pt idx="23">
                  <c:v>199.733</c:v>
                </c:pt>
                <c:pt idx="24">
                  <c:v>200.733</c:v>
                </c:pt>
                <c:pt idx="25">
                  <c:v>201.733</c:v>
                </c:pt>
                <c:pt idx="26">
                  <c:v>202.733</c:v>
                </c:pt>
                <c:pt idx="27">
                  <c:v>203.733</c:v>
                </c:pt>
                <c:pt idx="28">
                  <c:v>204.733</c:v>
                </c:pt>
                <c:pt idx="29">
                  <c:v>205.733</c:v>
                </c:pt>
                <c:pt idx="30">
                  <c:v>206.733</c:v>
                </c:pt>
                <c:pt idx="31">
                  <c:v>207.733</c:v>
                </c:pt>
                <c:pt idx="32">
                  <c:v>208.733</c:v>
                </c:pt>
                <c:pt idx="33">
                  <c:v>209.733</c:v>
                </c:pt>
                <c:pt idx="34">
                  <c:v>210.733</c:v>
                </c:pt>
                <c:pt idx="35">
                  <c:v>211.733</c:v>
                </c:pt>
                <c:pt idx="36">
                  <c:v>212.733</c:v>
                </c:pt>
                <c:pt idx="37">
                  <c:v>213.733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1-4FB9-9F24-D134AE7A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71840"/>
        <c:axId val="366881440"/>
      </c:lineChart>
      <c:catAx>
        <c:axId val="203988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7358960"/>
        <c:crosses val="autoZero"/>
        <c:auto val="1"/>
        <c:lblAlgn val="ctr"/>
        <c:lblOffset val="100"/>
        <c:noMultiLvlLbl val="0"/>
      </c:catAx>
      <c:valAx>
        <c:axId val="3673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7824"/>
        <c:crosses val="autoZero"/>
        <c:crossBetween val="between"/>
      </c:valAx>
      <c:valAx>
        <c:axId val="36688144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840"/>
        <c:crosses val="max"/>
        <c:crossBetween val="between"/>
      </c:valAx>
      <c:catAx>
        <c:axId val="3668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6688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Short Put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'BS-ShortPut'!$O$2</c:f>
              <c:strCache>
                <c:ptCount val="1"/>
                <c:pt idx="0">
                  <c:v>Short Put Profit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'BS-ShortPut'!$O$3:$O$40</c:f>
              <c:numCache>
                <c:formatCode>_-[$$-409]* #,##0.00_ ;_-[$$-409]* \-#,##0.00\ ;_-[$$-409]* "-"??_ ;_-@_ </c:formatCode>
                <c:ptCount val="38"/>
                <c:pt idx="0">
                  <c:v>-1447.5551896400605</c:v>
                </c:pt>
                <c:pt idx="1">
                  <c:v>-1347.5551896400602</c:v>
                </c:pt>
                <c:pt idx="2">
                  <c:v>-1247.5551896400602</c:v>
                </c:pt>
                <c:pt idx="3">
                  <c:v>-1147.5551896400602</c:v>
                </c:pt>
                <c:pt idx="4">
                  <c:v>-1047.5551896400602</c:v>
                </c:pt>
                <c:pt idx="5">
                  <c:v>-947.55518964006023</c:v>
                </c:pt>
                <c:pt idx="6">
                  <c:v>-847.55518964006023</c:v>
                </c:pt>
                <c:pt idx="7">
                  <c:v>-747.55518964006023</c:v>
                </c:pt>
                <c:pt idx="8">
                  <c:v>-647.55518964006023</c:v>
                </c:pt>
                <c:pt idx="9">
                  <c:v>-547.55518964006023</c:v>
                </c:pt>
                <c:pt idx="10">
                  <c:v>-447.55518964006023</c:v>
                </c:pt>
                <c:pt idx="11">
                  <c:v>-347.55518964006023</c:v>
                </c:pt>
                <c:pt idx="12">
                  <c:v>-247.55518964006023</c:v>
                </c:pt>
                <c:pt idx="13">
                  <c:v>-147.55518964006023</c:v>
                </c:pt>
                <c:pt idx="14">
                  <c:v>-47.555189640060235</c:v>
                </c:pt>
                <c:pt idx="15">
                  <c:v>52.444810359939765</c:v>
                </c:pt>
                <c:pt idx="16">
                  <c:v>152.44481035993977</c:v>
                </c:pt>
                <c:pt idx="17">
                  <c:v>252.44481035993977</c:v>
                </c:pt>
                <c:pt idx="18">
                  <c:v>352.44481035993977</c:v>
                </c:pt>
                <c:pt idx="19">
                  <c:v>452.44481035993977</c:v>
                </c:pt>
                <c:pt idx="20">
                  <c:v>552.44481035993977</c:v>
                </c:pt>
                <c:pt idx="21">
                  <c:v>629.14481035993936</c:v>
                </c:pt>
                <c:pt idx="22">
                  <c:v>629.14481035993936</c:v>
                </c:pt>
                <c:pt idx="23">
                  <c:v>629.14481035993936</c:v>
                </c:pt>
                <c:pt idx="24">
                  <c:v>629.14481035993936</c:v>
                </c:pt>
                <c:pt idx="25">
                  <c:v>629.14481035993936</c:v>
                </c:pt>
                <c:pt idx="26">
                  <c:v>629.14481035993936</c:v>
                </c:pt>
                <c:pt idx="27">
                  <c:v>629.14481035993936</c:v>
                </c:pt>
                <c:pt idx="28">
                  <c:v>629.14481035993936</c:v>
                </c:pt>
                <c:pt idx="29">
                  <c:v>629.14481035993936</c:v>
                </c:pt>
                <c:pt idx="30">
                  <c:v>629.14481035993936</c:v>
                </c:pt>
                <c:pt idx="31">
                  <c:v>629.14481035993936</c:v>
                </c:pt>
                <c:pt idx="32">
                  <c:v>629.14481035993936</c:v>
                </c:pt>
                <c:pt idx="33">
                  <c:v>629.14481035993936</c:v>
                </c:pt>
                <c:pt idx="34">
                  <c:v>629.14481035993936</c:v>
                </c:pt>
                <c:pt idx="35">
                  <c:v>629.14481035993936</c:v>
                </c:pt>
                <c:pt idx="36">
                  <c:v>629.14481035993936</c:v>
                </c:pt>
                <c:pt idx="37">
                  <c:v>629.14481035993936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1-4AD9-8030-E2DFF1AD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87824"/>
        <c:axId val="367358960"/>
      </c:lineChart>
      <c:lineChart>
        <c:grouping val="standard"/>
        <c:varyColors val="0"/>
        <c:ser>
          <c:idx val="0"/>
          <c:order val="0"/>
          <c:tx>
            <c:strRef>
              <c:f>'BS-ShortPut'!$N$2</c:f>
              <c:strCache>
                <c:ptCount val="1"/>
                <c:pt idx="0">
                  <c:v> 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'BS-ShortPut'!$N$3:$N$40</c:f>
              <c:numCache>
                <c:formatCode>_-[$$-409]* #,##0.00_ ;_-[$$-409]* \-#,##0.00\ ;_-[$$-409]* "-"??_ ;_-@_ </c:formatCode>
                <c:ptCount val="38"/>
                <c:pt idx="0">
                  <c:v>176.733</c:v>
                </c:pt>
                <c:pt idx="1">
                  <c:v>177.733</c:v>
                </c:pt>
                <c:pt idx="2">
                  <c:v>178.733</c:v>
                </c:pt>
                <c:pt idx="3">
                  <c:v>179.733</c:v>
                </c:pt>
                <c:pt idx="4">
                  <c:v>180.733</c:v>
                </c:pt>
                <c:pt idx="5">
                  <c:v>181.733</c:v>
                </c:pt>
                <c:pt idx="6">
                  <c:v>182.733</c:v>
                </c:pt>
                <c:pt idx="7">
                  <c:v>183.733</c:v>
                </c:pt>
                <c:pt idx="8">
                  <c:v>184.733</c:v>
                </c:pt>
                <c:pt idx="9">
                  <c:v>185.733</c:v>
                </c:pt>
                <c:pt idx="10">
                  <c:v>186.733</c:v>
                </c:pt>
                <c:pt idx="11">
                  <c:v>187.733</c:v>
                </c:pt>
                <c:pt idx="12">
                  <c:v>188.733</c:v>
                </c:pt>
                <c:pt idx="13">
                  <c:v>189.733</c:v>
                </c:pt>
                <c:pt idx="14">
                  <c:v>190.733</c:v>
                </c:pt>
                <c:pt idx="15">
                  <c:v>191.733</c:v>
                </c:pt>
                <c:pt idx="16">
                  <c:v>192.733</c:v>
                </c:pt>
                <c:pt idx="17">
                  <c:v>193.733</c:v>
                </c:pt>
                <c:pt idx="18">
                  <c:v>194.733</c:v>
                </c:pt>
                <c:pt idx="19">
                  <c:v>195.733</c:v>
                </c:pt>
                <c:pt idx="20">
                  <c:v>196.733</c:v>
                </c:pt>
                <c:pt idx="21">
                  <c:v>197.733</c:v>
                </c:pt>
                <c:pt idx="22">
                  <c:v>198.733</c:v>
                </c:pt>
                <c:pt idx="23">
                  <c:v>199.733</c:v>
                </c:pt>
                <c:pt idx="24">
                  <c:v>200.733</c:v>
                </c:pt>
                <c:pt idx="25">
                  <c:v>201.733</c:v>
                </c:pt>
                <c:pt idx="26">
                  <c:v>202.733</c:v>
                </c:pt>
                <c:pt idx="27">
                  <c:v>203.733</c:v>
                </c:pt>
                <c:pt idx="28">
                  <c:v>204.733</c:v>
                </c:pt>
                <c:pt idx="29">
                  <c:v>205.733</c:v>
                </c:pt>
                <c:pt idx="30">
                  <c:v>206.733</c:v>
                </c:pt>
                <c:pt idx="31">
                  <c:v>207.733</c:v>
                </c:pt>
                <c:pt idx="32">
                  <c:v>208.733</c:v>
                </c:pt>
                <c:pt idx="33">
                  <c:v>209.733</c:v>
                </c:pt>
                <c:pt idx="34">
                  <c:v>210.733</c:v>
                </c:pt>
                <c:pt idx="35">
                  <c:v>211.733</c:v>
                </c:pt>
                <c:pt idx="36">
                  <c:v>212.733</c:v>
                </c:pt>
                <c:pt idx="37">
                  <c:v>213.733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1-4AD9-8030-E2DFF1AD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71840"/>
        <c:axId val="366881440"/>
      </c:lineChart>
      <c:catAx>
        <c:axId val="203988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7358960"/>
        <c:crosses val="autoZero"/>
        <c:auto val="1"/>
        <c:lblAlgn val="ctr"/>
        <c:lblOffset val="100"/>
        <c:noMultiLvlLbl val="0"/>
      </c:catAx>
      <c:valAx>
        <c:axId val="3673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7824"/>
        <c:crosses val="autoZero"/>
        <c:crossBetween val="between"/>
      </c:valAx>
      <c:valAx>
        <c:axId val="36688144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840"/>
        <c:crosses val="max"/>
        <c:crossBetween val="between"/>
      </c:valAx>
      <c:catAx>
        <c:axId val="3668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6688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Long Straddle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'BS-LongStraddle'!$O$2</c:f>
              <c:strCache>
                <c:ptCount val="1"/>
                <c:pt idx="0">
                  <c:v>Long Straddle Profit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'BS-LongStraddle'!$O$3:$O$40</c:f>
              <c:numCache>
                <c:formatCode>_-[$$-409]* #,##0.00_ ;_-[$$-409]* \-#,##0.00\ ;_-[$$-409]* "-"??_ ;_-@_ </c:formatCode>
                <c:ptCount val="38"/>
                <c:pt idx="0">
                  <c:v>922.75474229806218</c:v>
                </c:pt>
                <c:pt idx="1">
                  <c:v>822.75474229806196</c:v>
                </c:pt>
                <c:pt idx="2">
                  <c:v>722.75474229806196</c:v>
                </c:pt>
                <c:pt idx="3">
                  <c:v>622.75474229806196</c:v>
                </c:pt>
                <c:pt idx="4">
                  <c:v>522.75474229806196</c:v>
                </c:pt>
                <c:pt idx="5">
                  <c:v>422.75474229806196</c:v>
                </c:pt>
                <c:pt idx="6">
                  <c:v>322.75474229806196</c:v>
                </c:pt>
                <c:pt idx="7">
                  <c:v>222.75474229806196</c:v>
                </c:pt>
                <c:pt idx="8">
                  <c:v>122.75474229806196</c:v>
                </c:pt>
                <c:pt idx="9">
                  <c:v>22.754742298061956</c:v>
                </c:pt>
                <c:pt idx="10">
                  <c:v>-77.245257701938044</c:v>
                </c:pt>
                <c:pt idx="11">
                  <c:v>-177.24525770193804</c:v>
                </c:pt>
                <c:pt idx="12">
                  <c:v>-277.24525770193804</c:v>
                </c:pt>
                <c:pt idx="13">
                  <c:v>-377.24525770193804</c:v>
                </c:pt>
                <c:pt idx="14">
                  <c:v>-477.24525770193804</c:v>
                </c:pt>
                <c:pt idx="15">
                  <c:v>-577.24525770193804</c:v>
                </c:pt>
                <c:pt idx="16">
                  <c:v>-677.24525770193804</c:v>
                </c:pt>
                <c:pt idx="17">
                  <c:v>-777.24525770193804</c:v>
                </c:pt>
                <c:pt idx="18">
                  <c:v>-877.24525770193804</c:v>
                </c:pt>
                <c:pt idx="19">
                  <c:v>-977.24525770193804</c:v>
                </c:pt>
                <c:pt idx="20">
                  <c:v>-1077.245257701938</c:v>
                </c:pt>
                <c:pt idx="21">
                  <c:v>-1130.6452577019372</c:v>
                </c:pt>
                <c:pt idx="22">
                  <c:v>-1030.6452577019372</c:v>
                </c:pt>
                <c:pt idx="23">
                  <c:v>-930.64525770193723</c:v>
                </c:pt>
                <c:pt idx="24">
                  <c:v>-830.64525770193723</c:v>
                </c:pt>
                <c:pt idx="25">
                  <c:v>-730.64525770193723</c:v>
                </c:pt>
                <c:pt idx="26">
                  <c:v>-630.64525770193723</c:v>
                </c:pt>
                <c:pt idx="27">
                  <c:v>-530.64525770193723</c:v>
                </c:pt>
                <c:pt idx="28">
                  <c:v>-430.64525770193723</c:v>
                </c:pt>
                <c:pt idx="29">
                  <c:v>-330.64525770193723</c:v>
                </c:pt>
                <c:pt idx="30">
                  <c:v>-230.64525770193723</c:v>
                </c:pt>
                <c:pt idx="31">
                  <c:v>-130.64525770193723</c:v>
                </c:pt>
                <c:pt idx="32">
                  <c:v>-30.645257701937226</c:v>
                </c:pt>
                <c:pt idx="33">
                  <c:v>69.354742298062774</c:v>
                </c:pt>
                <c:pt idx="34">
                  <c:v>169.35474229806277</c:v>
                </c:pt>
                <c:pt idx="35">
                  <c:v>269.35474229806277</c:v>
                </c:pt>
                <c:pt idx="36">
                  <c:v>369.35474229806277</c:v>
                </c:pt>
                <c:pt idx="37">
                  <c:v>469.35474229806277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465F-B841-89E1F9B0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87824"/>
        <c:axId val="367358960"/>
      </c:lineChart>
      <c:lineChart>
        <c:grouping val="standard"/>
        <c:varyColors val="0"/>
        <c:ser>
          <c:idx val="0"/>
          <c:order val="0"/>
          <c:tx>
            <c:strRef>
              <c:f>'BS-LongStraddle'!$N$2</c:f>
              <c:strCache>
                <c:ptCount val="1"/>
                <c:pt idx="0">
                  <c:v> 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'BS-LongStraddle'!$N$3:$N$40</c:f>
              <c:numCache>
                <c:formatCode>_-[$$-409]* #,##0.00_ ;_-[$$-409]* \-#,##0.00\ ;_-[$$-409]* "-"??_ ;_-@_ </c:formatCode>
                <c:ptCount val="38"/>
                <c:pt idx="0">
                  <c:v>176.733</c:v>
                </c:pt>
                <c:pt idx="1">
                  <c:v>177.733</c:v>
                </c:pt>
                <c:pt idx="2">
                  <c:v>178.733</c:v>
                </c:pt>
                <c:pt idx="3">
                  <c:v>179.733</c:v>
                </c:pt>
                <c:pt idx="4">
                  <c:v>180.733</c:v>
                </c:pt>
                <c:pt idx="5">
                  <c:v>181.733</c:v>
                </c:pt>
                <c:pt idx="6">
                  <c:v>182.733</c:v>
                </c:pt>
                <c:pt idx="7">
                  <c:v>183.733</c:v>
                </c:pt>
                <c:pt idx="8">
                  <c:v>184.733</c:v>
                </c:pt>
                <c:pt idx="9">
                  <c:v>185.733</c:v>
                </c:pt>
                <c:pt idx="10">
                  <c:v>186.733</c:v>
                </c:pt>
                <c:pt idx="11">
                  <c:v>187.733</c:v>
                </c:pt>
                <c:pt idx="12">
                  <c:v>188.733</c:v>
                </c:pt>
                <c:pt idx="13">
                  <c:v>189.733</c:v>
                </c:pt>
                <c:pt idx="14">
                  <c:v>190.733</c:v>
                </c:pt>
                <c:pt idx="15">
                  <c:v>191.733</c:v>
                </c:pt>
                <c:pt idx="16">
                  <c:v>192.733</c:v>
                </c:pt>
                <c:pt idx="17">
                  <c:v>193.733</c:v>
                </c:pt>
                <c:pt idx="18">
                  <c:v>194.733</c:v>
                </c:pt>
                <c:pt idx="19">
                  <c:v>195.733</c:v>
                </c:pt>
                <c:pt idx="20">
                  <c:v>196.733</c:v>
                </c:pt>
                <c:pt idx="21">
                  <c:v>197.733</c:v>
                </c:pt>
                <c:pt idx="22">
                  <c:v>198.733</c:v>
                </c:pt>
                <c:pt idx="23">
                  <c:v>199.733</c:v>
                </c:pt>
                <c:pt idx="24">
                  <c:v>200.733</c:v>
                </c:pt>
                <c:pt idx="25">
                  <c:v>201.733</c:v>
                </c:pt>
                <c:pt idx="26">
                  <c:v>202.733</c:v>
                </c:pt>
                <c:pt idx="27">
                  <c:v>203.733</c:v>
                </c:pt>
                <c:pt idx="28">
                  <c:v>204.733</c:v>
                </c:pt>
                <c:pt idx="29">
                  <c:v>205.733</c:v>
                </c:pt>
                <c:pt idx="30">
                  <c:v>206.733</c:v>
                </c:pt>
                <c:pt idx="31">
                  <c:v>207.733</c:v>
                </c:pt>
                <c:pt idx="32">
                  <c:v>208.733</c:v>
                </c:pt>
                <c:pt idx="33">
                  <c:v>209.733</c:v>
                </c:pt>
                <c:pt idx="34">
                  <c:v>210.733</c:v>
                </c:pt>
                <c:pt idx="35">
                  <c:v>211.733</c:v>
                </c:pt>
                <c:pt idx="36">
                  <c:v>212.733</c:v>
                </c:pt>
                <c:pt idx="37">
                  <c:v>213.733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D-465F-B841-89E1F9B03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71840"/>
        <c:axId val="366881440"/>
      </c:lineChart>
      <c:catAx>
        <c:axId val="203988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7358960"/>
        <c:crosses val="autoZero"/>
        <c:auto val="1"/>
        <c:lblAlgn val="ctr"/>
        <c:lblOffset val="100"/>
        <c:noMultiLvlLbl val="0"/>
      </c:catAx>
      <c:valAx>
        <c:axId val="3673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7824"/>
        <c:crosses val="autoZero"/>
        <c:crossBetween val="between"/>
      </c:valAx>
      <c:valAx>
        <c:axId val="36688144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840"/>
        <c:crosses val="max"/>
        <c:crossBetween val="between"/>
      </c:valAx>
      <c:catAx>
        <c:axId val="3668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6688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Short Straddle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'BS-ShortStraddle'!$O$2</c:f>
              <c:strCache>
                <c:ptCount val="1"/>
                <c:pt idx="0">
                  <c:v>Short Straddle Profit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'BS-ShortStraddle'!$O$3:$O$40</c:f>
              <c:numCache>
                <c:formatCode>_-[$$-409]* #,##0.00_ ;_-[$$-409]* \-#,##0.00\ ;_-[$$-409]* "-"??_ ;_-@_ </c:formatCode>
                <c:ptCount val="38"/>
                <c:pt idx="0">
                  <c:v>-922.75474229806218</c:v>
                </c:pt>
                <c:pt idx="1">
                  <c:v>-822.75474229806196</c:v>
                </c:pt>
                <c:pt idx="2">
                  <c:v>-722.75474229806196</c:v>
                </c:pt>
                <c:pt idx="3">
                  <c:v>-622.75474229806196</c:v>
                </c:pt>
                <c:pt idx="4">
                  <c:v>-522.75474229806196</c:v>
                </c:pt>
                <c:pt idx="5">
                  <c:v>-422.75474229806196</c:v>
                </c:pt>
                <c:pt idx="6">
                  <c:v>-322.75474229806196</c:v>
                </c:pt>
                <c:pt idx="7">
                  <c:v>-222.75474229806196</c:v>
                </c:pt>
                <c:pt idx="8">
                  <c:v>-122.75474229806196</c:v>
                </c:pt>
                <c:pt idx="9">
                  <c:v>-22.754742298061956</c:v>
                </c:pt>
                <c:pt idx="10">
                  <c:v>77.245257701938044</c:v>
                </c:pt>
                <c:pt idx="11">
                  <c:v>177.24525770193804</c:v>
                </c:pt>
                <c:pt idx="12">
                  <c:v>277.24525770193804</c:v>
                </c:pt>
                <c:pt idx="13">
                  <c:v>377.24525770193804</c:v>
                </c:pt>
                <c:pt idx="14">
                  <c:v>477.24525770193804</c:v>
                </c:pt>
                <c:pt idx="15">
                  <c:v>577.24525770193804</c:v>
                </c:pt>
                <c:pt idx="16">
                  <c:v>677.24525770193804</c:v>
                </c:pt>
                <c:pt idx="17">
                  <c:v>777.24525770193804</c:v>
                </c:pt>
                <c:pt idx="18">
                  <c:v>877.24525770193804</c:v>
                </c:pt>
                <c:pt idx="19">
                  <c:v>977.24525770193804</c:v>
                </c:pt>
                <c:pt idx="20">
                  <c:v>1077.245257701938</c:v>
                </c:pt>
                <c:pt idx="21">
                  <c:v>1130.6452577019372</c:v>
                </c:pt>
                <c:pt idx="22">
                  <c:v>1030.6452577019372</c:v>
                </c:pt>
                <c:pt idx="23">
                  <c:v>930.64525770193723</c:v>
                </c:pt>
                <c:pt idx="24">
                  <c:v>830.64525770193723</c:v>
                </c:pt>
                <c:pt idx="25">
                  <c:v>730.64525770193723</c:v>
                </c:pt>
                <c:pt idx="26">
                  <c:v>630.64525770193723</c:v>
                </c:pt>
                <c:pt idx="27">
                  <c:v>530.64525770193723</c:v>
                </c:pt>
                <c:pt idx="28">
                  <c:v>430.64525770193723</c:v>
                </c:pt>
                <c:pt idx="29">
                  <c:v>330.64525770193723</c:v>
                </c:pt>
                <c:pt idx="30">
                  <c:v>230.64525770193723</c:v>
                </c:pt>
                <c:pt idx="31">
                  <c:v>130.64525770193723</c:v>
                </c:pt>
                <c:pt idx="32">
                  <c:v>30.645257701937226</c:v>
                </c:pt>
                <c:pt idx="33">
                  <c:v>-69.354742298062774</c:v>
                </c:pt>
                <c:pt idx="34">
                  <c:v>-169.35474229806277</c:v>
                </c:pt>
                <c:pt idx="35">
                  <c:v>-269.35474229806277</c:v>
                </c:pt>
                <c:pt idx="36">
                  <c:v>-369.35474229806277</c:v>
                </c:pt>
                <c:pt idx="37">
                  <c:v>-469.35474229806277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AC6-B6F6-B6C005E2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887824"/>
        <c:axId val="367358960"/>
      </c:lineChart>
      <c:lineChart>
        <c:grouping val="standard"/>
        <c:varyColors val="0"/>
        <c:ser>
          <c:idx val="0"/>
          <c:order val="0"/>
          <c:tx>
            <c:strRef>
              <c:f>'BS-ShortStraddle'!$N$2</c:f>
              <c:strCache>
                <c:ptCount val="1"/>
                <c:pt idx="0">
                  <c:v> Stock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'BS-ShortStraddle'!$N$3:$N$40</c:f>
              <c:numCache>
                <c:formatCode>_-[$$-409]* #,##0.00_ ;_-[$$-409]* \-#,##0.00\ ;_-[$$-409]* "-"??_ ;_-@_ </c:formatCode>
                <c:ptCount val="38"/>
                <c:pt idx="0">
                  <c:v>176.733</c:v>
                </c:pt>
                <c:pt idx="1">
                  <c:v>177.733</c:v>
                </c:pt>
                <c:pt idx="2">
                  <c:v>178.733</c:v>
                </c:pt>
                <c:pt idx="3">
                  <c:v>179.733</c:v>
                </c:pt>
                <c:pt idx="4">
                  <c:v>180.733</c:v>
                </c:pt>
                <c:pt idx="5">
                  <c:v>181.733</c:v>
                </c:pt>
                <c:pt idx="6">
                  <c:v>182.733</c:v>
                </c:pt>
                <c:pt idx="7">
                  <c:v>183.733</c:v>
                </c:pt>
                <c:pt idx="8">
                  <c:v>184.733</c:v>
                </c:pt>
                <c:pt idx="9">
                  <c:v>185.733</c:v>
                </c:pt>
                <c:pt idx="10">
                  <c:v>186.733</c:v>
                </c:pt>
                <c:pt idx="11">
                  <c:v>187.733</c:v>
                </c:pt>
                <c:pt idx="12">
                  <c:v>188.733</c:v>
                </c:pt>
                <c:pt idx="13">
                  <c:v>189.733</c:v>
                </c:pt>
                <c:pt idx="14">
                  <c:v>190.733</c:v>
                </c:pt>
                <c:pt idx="15">
                  <c:v>191.733</c:v>
                </c:pt>
                <c:pt idx="16">
                  <c:v>192.733</c:v>
                </c:pt>
                <c:pt idx="17">
                  <c:v>193.733</c:v>
                </c:pt>
                <c:pt idx="18">
                  <c:v>194.733</c:v>
                </c:pt>
                <c:pt idx="19">
                  <c:v>195.733</c:v>
                </c:pt>
                <c:pt idx="20">
                  <c:v>196.733</c:v>
                </c:pt>
                <c:pt idx="21">
                  <c:v>197.733</c:v>
                </c:pt>
                <c:pt idx="22">
                  <c:v>198.733</c:v>
                </c:pt>
                <c:pt idx="23">
                  <c:v>199.733</c:v>
                </c:pt>
                <c:pt idx="24">
                  <c:v>200.733</c:v>
                </c:pt>
                <c:pt idx="25">
                  <c:v>201.733</c:v>
                </c:pt>
                <c:pt idx="26">
                  <c:v>202.733</c:v>
                </c:pt>
                <c:pt idx="27">
                  <c:v>203.733</c:v>
                </c:pt>
                <c:pt idx="28">
                  <c:v>204.733</c:v>
                </c:pt>
                <c:pt idx="29">
                  <c:v>205.733</c:v>
                </c:pt>
                <c:pt idx="30">
                  <c:v>206.733</c:v>
                </c:pt>
                <c:pt idx="31">
                  <c:v>207.733</c:v>
                </c:pt>
                <c:pt idx="32">
                  <c:v>208.733</c:v>
                </c:pt>
                <c:pt idx="33">
                  <c:v>209.733</c:v>
                </c:pt>
                <c:pt idx="34">
                  <c:v>210.733</c:v>
                </c:pt>
                <c:pt idx="35">
                  <c:v>211.733</c:v>
                </c:pt>
                <c:pt idx="36">
                  <c:v>212.733</c:v>
                </c:pt>
                <c:pt idx="37">
                  <c:v>213.733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AC6-B6F6-B6C005E2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871840"/>
        <c:axId val="366881440"/>
      </c:lineChart>
      <c:catAx>
        <c:axId val="2039887824"/>
        <c:scaling>
          <c:orientation val="minMax"/>
        </c:scaling>
        <c:delete val="1"/>
        <c:axPos val="b"/>
        <c:majorTickMark val="none"/>
        <c:minorTickMark val="none"/>
        <c:tickLblPos val="nextTo"/>
        <c:crossAx val="367358960"/>
        <c:crosses val="autoZero"/>
        <c:auto val="1"/>
        <c:lblAlgn val="ctr"/>
        <c:lblOffset val="100"/>
        <c:noMultiLvlLbl val="0"/>
      </c:catAx>
      <c:valAx>
        <c:axId val="3673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87824"/>
        <c:crosses val="autoZero"/>
        <c:crossBetween val="between"/>
      </c:valAx>
      <c:valAx>
        <c:axId val="36688144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840"/>
        <c:crosses val="max"/>
        <c:crossBetween val="between"/>
      </c:valAx>
      <c:catAx>
        <c:axId val="366871840"/>
        <c:scaling>
          <c:orientation val="minMax"/>
        </c:scaling>
        <c:delete val="1"/>
        <c:axPos val="b"/>
        <c:majorTickMark val="out"/>
        <c:minorTickMark val="none"/>
        <c:tickLblPos val="nextTo"/>
        <c:crossAx val="36688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11</xdr:row>
      <xdr:rowOff>110490</xdr:rowOff>
    </xdr:from>
    <xdr:to>
      <xdr:col>11</xdr:col>
      <xdr:colOff>26670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DE211-457B-4D52-8080-3F8CBEB9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11</xdr:row>
      <xdr:rowOff>110490</xdr:rowOff>
    </xdr:from>
    <xdr:to>
      <xdr:col>11</xdr:col>
      <xdr:colOff>26670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058EF-6A7A-4972-BFCD-B27084EB9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11</xdr:row>
      <xdr:rowOff>110490</xdr:rowOff>
    </xdr:from>
    <xdr:to>
      <xdr:col>11</xdr:col>
      <xdr:colOff>26670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1722F-27A8-420A-AACE-5DB47975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11</xdr:row>
      <xdr:rowOff>110490</xdr:rowOff>
    </xdr:from>
    <xdr:to>
      <xdr:col>11</xdr:col>
      <xdr:colOff>26670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10500-FCD9-49F8-BDB6-D6E459A87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11</xdr:row>
      <xdr:rowOff>110490</xdr:rowOff>
    </xdr:from>
    <xdr:to>
      <xdr:col>11</xdr:col>
      <xdr:colOff>26670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A0115-FFC6-4745-B49A-A06E9C5C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300990</xdr:colOff>
      <xdr:row>11</xdr:row>
      <xdr:rowOff>110490</xdr:rowOff>
    </xdr:from>
    <xdr:to>
      <xdr:col>11</xdr:col>
      <xdr:colOff>26670</xdr:colOff>
      <xdr:row>26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F4AB3-79CB-4217-B8DB-34600E387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DDCB-B05F-4975-BF2A-F9FCF149B79F}">
  <dimension ref="A1:AF44"/>
  <sheetViews>
    <sheetView showGridLines="0" workbookViewId="0">
      <selection activeCell="L17" sqref="L17"/>
    </sheetView>
  </sheetViews>
  <sheetFormatPr defaultRowHeight="14.5" x14ac:dyDescent="0.35"/>
  <cols>
    <col min="1" max="1" width="16.6328125" bestFit="1" customWidth="1"/>
    <col min="3" max="3" width="4.1796875" customWidth="1"/>
    <col min="4" max="4" width="9.6328125" bestFit="1" customWidth="1"/>
    <col min="6" max="6" width="3.81640625" customWidth="1"/>
    <col min="14" max="14" width="10.453125" bestFit="1" customWidth="1"/>
    <col min="15" max="15" width="11.26953125" customWidth="1"/>
  </cols>
  <sheetData>
    <row r="1" spans="1:16" x14ac:dyDescent="0.35">
      <c r="A1" s="28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5">
      <c r="B2" s="3"/>
      <c r="C2" s="3"/>
      <c r="D2" s="3"/>
      <c r="E2" s="3"/>
      <c r="F2" s="3"/>
      <c r="G2" s="3"/>
      <c r="H2" s="3"/>
      <c r="I2" s="3"/>
      <c r="J2" s="3"/>
      <c r="K2" s="3"/>
      <c r="N2" s="4" t="s">
        <v>6</v>
      </c>
      <c r="O2" s="3" t="s">
        <v>8</v>
      </c>
    </row>
    <row r="3" spans="1:16" x14ac:dyDescent="0.35">
      <c r="A3" s="3" t="s">
        <v>69</v>
      </c>
      <c r="B3" s="3" t="s">
        <v>7</v>
      </c>
      <c r="N3" s="1">
        <f>B7*(1-0.05)</f>
        <v>186.5515</v>
      </c>
      <c r="O3" s="1">
        <f t="shared" ref="O3:O40" si="0">IF(N3&gt;LongCall_StrikePrice,-(LongCall_CallPrice*100)+(100*(N3-LongCall_StrikePrice)),-(LongCall_CallPrice*100))</f>
        <v>-524.80044734199828</v>
      </c>
    </row>
    <row r="4" spans="1:16" x14ac:dyDescent="0.35">
      <c r="A4" s="3" t="s">
        <v>0</v>
      </c>
      <c r="B4" s="3" t="s">
        <v>1</v>
      </c>
      <c r="N4" s="1">
        <f>N3+1</f>
        <v>187.5515</v>
      </c>
      <c r="O4" s="1">
        <f t="shared" si="0"/>
        <v>-524.80044734199828</v>
      </c>
    </row>
    <row r="5" spans="1:16" x14ac:dyDescent="0.35">
      <c r="N5" s="1">
        <f t="shared" ref="N5:N40" si="1">N4+1</f>
        <v>188.5515</v>
      </c>
      <c r="O5" s="1">
        <f t="shared" si="0"/>
        <v>-524.80044734199828</v>
      </c>
    </row>
    <row r="6" spans="1:16" ht="15" thickBot="1" x14ac:dyDescent="0.4">
      <c r="A6" s="28" t="s">
        <v>66</v>
      </c>
      <c r="B6" s="28"/>
      <c r="N6" s="1">
        <f t="shared" si="1"/>
        <v>189.5515</v>
      </c>
      <c r="O6" s="1">
        <f t="shared" si="0"/>
        <v>-524.80044734199828</v>
      </c>
    </row>
    <row r="7" spans="1:16" ht="15" thickBot="1" x14ac:dyDescent="0.4">
      <c r="A7" s="3" t="s">
        <v>54</v>
      </c>
      <c r="B7" s="10">
        <v>196.37</v>
      </c>
      <c r="D7" s="25" t="s">
        <v>67</v>
      </c>
      <c r="E7" s="26"/>
      <c r="F7" s="26"/>
      <c r="G7" s="26"/>
      <c r="H7" s="26"/>
      <c r="I7" s="26"/>
      <c r="J7" s="26"/>
      <c r="K7" s="27"/>
      <c r="N7" s="1">
        <f t="shared" si="1"/>
        <v>190.5515</v>
      </c>
      <c r="O7" s="1">
        <f t="shared" si="0"/>
        <v>-524.80044734199828</v>
      </c>
    </row>
    <row r="8" spans="1:16" x14ac:dyDescent="0.35">
      <c r="A8" s="3" t="s">
        <v>2</v>
      </c>
      <c r="B8" s="10">
        <v>197.5</v>
      </c>
      <c r="D8" s="15"/>
      <c r="E8" s="3" t="s">
        <v>14</v>
      </c>
      <c r="F8" s="3"/>
      <c r="G8" s="3" t="s">
        <v>61</v>
      </c>
      <c r="H8" s="3" t="s">
        <v>62</v>
      </c>
      <c r="I8" s="3" t="s">
        <v>63</v>
      </c>
      <c r="J8" s="3" t="s">
        <v>64</v>
      </c>
      <c r="K8" s="16" t="s">
        <v>65</v>
      </c>
      <c r="N8" s="1">
        <f t="shared" si="1"/>
        <v>191.5515</v>
      </c>
      <c r="O8" s="1">
        <f t="shared" si="0"/>
        <v>-524.80044734199828</v>
      </c>
    </row>
    <row r="9" spans="1:16" x14ac:dyDescent="0.35">
      <c r="A9" s="3" t="s">
        <v>55</v>
      </c>
      <c r="B9" s="11">
        <v>0.35</v>
      </c>
      <c r="D9" s="17" t="s">
        <v>59</v>
      </c>
      <c r="E9" s="18">
        <f>U44</f>
        <v>5.2480044734199822</v>
      </c>
      <c r="G9" s="13">
        <f>V44</f>
        <v>0.48576846127639883</v>
      </c>
      <c r="H9" s="13">
        <f>W44</f>
        <v>2.7706193862366776E-2</v>
      </c>
      <c r="I9" s="13">
        <f>X44</f>
        <v>-0.18175317630482182</v>
      </c>
      <c r="J9" s="13">
        <f>Y44</f>
        <v>0.16391636381954927</v>
      </c>
      <c r="K9" s="19">
        <f>Z44</f>
        <v>3.9514454035036256E-2</v>
      </c>
      <c r="N9" s="1">
        <f t="shared" si="1"/>
        <v>192.5515</v>
      </c>
      <c r="O9" s="1">
        <f t="shared" si="0"/>
        <v>-524.80044734199828</v>
      </c>
    </row>
    <row r="10" spans="1:16" ht="15" thickBot="1" x14ac:dyDescent="0.4">
      <c r="A10" s="3" t="s">
        <v>56</v>
      </c>
      <c r="B10" s="11">
        <v>0.01</v>
      </c>
      <c r="D10" s="20" t="s">
        <v>60</v>
      </c>
      <c r="E10" s="21">
        <f>AA44</f>
        <v>6.291448103599393</v>
      </c>
      <c r="F10" s="22"/>
      <c r="G10" s="23">
        <f>AB44</f>
        <v>-0.51423153872360117</v>
      </c>
      <c r="H10" s="23">
        <f>AC44</f>
        <v>2.7706193862366776E-2</v>
      </c>
      <c r="I10" s="23">
        <f>AD44</f>
        <v>-0.17634458880810455</v>
      </c>
      <c r="J10" s="23">
        <f>AE44</f>
        <v>0.16391636381954927</v>
      </c>
      <c r="K10" s="24">
        <f>AF44</f>
        <v>-4.7022945912439648E-2</v>
      </c>
      <c r="N10" s="1">
        <f t="shared" si="1"/>
        <v>193.5515</v>
      </c>
      <c r="O10" s="1">
        <f t="shared" si="0"/>
        <v>-524.80044734199828</v>
      </c>
    </row>
    <row r="11" spans="1:16" x14ac:dyDescent="0.35">
      <c r="A11" s="3" t="s">
        <v>57</v>
      </c>
      <c r="B11" s="11">
        <v>0</v>
      </c>
      <c r="N11" s="1">
        <f t="shared" si="1"/>
        <v>194.5515</v>
      </c>
      <c r="O11" s="1">
        <f t="shared" si="0"/>
        <v>-524.80044734199828</v>
      </c>
    </row>
    <row r="12" spans="1:16" x14ac:dyDescent="0.35">
      <c r="A12" s="3" t="s">
        <v>58</v>
      </c>
      <c r="B12" s="12">
        <v>16</v>
      </c>
      <c r="N12" s="1">
        <f t="shared" si="1"/>
        <v>195.5515</v>
      </c>
      <c r="O12" s="1">
        <f t="shared" si="0"/>
        <v>-524.80044734199828</v>
      </c>
    </row>
    <row r="13" spans="1:16" x14ac:dyDescent="0.35">
      <c r="N13" s="1">
        <f t="shared" si="1"/>
        <v>196.5515</v>
      </c>
      <c r="O13" s="1">
        <f t="shared" si="0"/>
        <v>-524.80044734199828</v>
      </c>
    </row>
    <row r="14" spans="1:16" x14ac:dyDescent="0.35">
      <c r="N14" s="1">
        <f t="shared" si="1"/>
        <v>197.5515</v>
      </c>
      <c r="O14" s="1">
        <f t="shared" si="0"/>
        <v>-519.65044734199785</v>
      </c>
    </row>
    <row r="15" spans="1:16" x14ac:dyDescent="0.35">
      <c r="N15" s="1">
        <f t="shared" si="1"/>
        <v>198.5515</v>
      </c>
      <c r="O15" s="1">
        <f t="shared" si="0"/>
        <v>-419.65044734199785</v>
      </c>
    </row>
    <row r="16" spans="1:16" x14ac:dyDescent="0.35">
      <c r="N16" s="1">
        <f t="shared" si="1"/>
        <v>199.5515</v>
      </c>
      <c r="O16" s="1">
        <f t="shared" si="0"/>
        <v>-319.65044734199785</v>
      </c>
    </row>
    <row r="17" spans="4:15" x14ac:dyDescent="0.35">
      <c r="N17" s="1">
        <f t="shared" si="1"/>
        <v>200.5515</v>
      </c>
      <c r="O17" s="1">
        <f t="shared" si="0"/>
        <v>-219.65044734199785</v>
      </c>
    </row>
    <row r="18" spans="4:15" x14ac:dyDescent="0.35">
      <c r="N18" s="1">
        <f t="shared" si="1"/>
        <v>201.5515</v>
      </c>
      <c r="O18" s="1">
        <f t="shared" si="0"/>
        <v>-119.65044734199785</v>
      </c>
    </row>
    <row r="19" spans="4:15" x14ac:dyDescent="0.35">
      <c r="N19" s="1">
        <f t="shared" si="1"/>
        <v>202.5515</v>
      </c>
      <c r="O19" s="1">
        <f t="shared" si="0"/>
        <v>-19.650447341997847</v>
      </c>
    </row>
    <row r="20" spans="4:15" x14ac:dyDescent="0.35">
      <c r="N20" s="1">
        <f t="shared" si="1"/>
        <v>203.5515</v>
      </c>
      <c r="O20" s="1">
        <f t="shared" si="0"/>
        <v>80.349552658002153</v>
      </c>
    </row>
    <row r="21" spans="4:15" x14ac:dyDescent="0.35">
      <c r="N21" s="1">
        <f t="shared" si="1"/>
        <v>204.5515</v>
      </c>
      <c r="O21" s="1">
        <f t="shared" si="0"/>
        <v>180.34955265800215</v>
      </c>
    </row>
    <row r="22" spans="4:15" x14ac:dyDescent="0.35">
      <c r="N22" s="1">
        <f t="shared" si="1"/>
        <v>205.5515</v>
      </c>
      <c r="O22" s="1">
        <f t="shared" si="0"/>
        <v>280.34955265800215</v>
      </c>
    </row>
    <row r="23" spans="4:15" x14ac:dyDescent="0.35">
      <c r="N23" s="1">
        <f t="shared" si="1"/>
        <v>206.5515</v>
      </c>
      <c r="O23" s="1">
        <f t="shared" si="0"/>
        <v>380.34955265800215</v>
      </c>
    </row>
    <row r="24" spans="4:15" x14ac:dyDescent="0.35">
      <c r="N24" s="1">
        <f t="shared" si="1"/>
        <v>207.5515</v>
      </c>
      <c r="O24" s="1">
        <f t="shared" si="0"/>
        <v>480.34955265800215</v>
      </c>
    </row>
    <row r="25" spans="4:15" x14ac:dyDescent="0.35">
      <c r="N25" s="1">
        <f t="shared" si="1"/>
        <v>208.5515</v>
      </c>
      <c r="O25" s="1">
        <f t="shared" si="0"/>
        <v>580.34955265800227</v>
      </c>
    </row>
    <row r="26" spans="4:15" x14ac:dyDescent="0.35">
      <c r="N26" s="1">
        <f t="shared" si="1"/>
        <v>209.5515</v>
      </c>
      <c r="O26" s="1">
        <f t="shared" si="0"/>
        <v>680.34955265800227</v>
      </c>
    </row>
    <row r="27" spans="4:15" x14ac:dyDescent="0.35">
      <c r="N27" s="1">
        <f t="shared" si="1"/>
        <v>210.5515</v>
      </c>
      <c r="O27" s="1">
        <f t="shared" si="0"/>
        <v>780.34955265800227</v>
      </c>
    </row>
    <row r="28" spans="4:15" x14ac:dyDescent="0.35">
      <c r="D28" s="3" t="s">
        <v>21</v>
      </c>
      <c r="G28" s="3" t="s">
        <v>22</v>
      </c>
      <c r="I28" s="3" t="s">
        <v>24</v>
      </c>
      <c r="N28" s="1">
        <f t="shared" si="1"/>
        <v>211.5515</v>
      </c>
      <c r="O28" s="1">
        <f t="shared" si="0"/>
        <v>880.34955265800227</v>
      </c>
    </row>
    <row r="29" spans="4:15" x14ac:dyDescent="0.35">
      <c r="D29" s="14">
        <f>LongCall_StrikePrice+LongCall_CallPrice</f>
        <v>202.74800447342</v>
      </c>
      <c r="G29" t="s">
        <v>23</v>
      </c>
      <c r="I29" t="s">
        <v>25</v>
      </c>
      <c r="N29" s="1">
        <f t="shared" si="1"/>
        <v>212.5515</v>
      </c>
      <c r="O29" s="1">
        <f t="shared" si="0"/>
        <v>980.34955265800227</v>
      </c>
    </row>
    <row r="30" spans="4:15" x14ac:dyDescent="0.35">
      <c r="N30" s="1">
        <f t="shared" si="1"/>
        <v>213.5515</v>
      </c>
      <c r="O30" s="1">
        <f t="shared" si="0"/>
        <v>1080.3495526580023</v>
      </c>
    </row>
    <row r="31" spans="4:15" x14ac:dyDescent="0.35">
      <c r="N31" s="1">
        <f t="shared" si="1"/>
        <v>214.5515</v>
      </c>
      <c r="O31" s="1">
        <f t="shared" si="0"/>
        <v>1180.3495526580023</v>
      </c>
    </row>
    <row r="32" spans="4:15" x14ac:dyDescent="0.35">
      <c r="N32" s="1">
        <f t="shared" si="1"/>
        <v>215.5515</v>
      </c>
      <c r="O32" s="1">
        <f t="shared" si="0"/>
        <v>1280.3495526580023</v>
      </c>
    </row>
    <row r="33" spans="1:32" x14ac:dyDescent="0.35">
      <c r="N33" s="1">
        <f t="shared" si="1"/>
        <v>216.5515</v>
      </c>
      <c r="O33" s="1">
        <f t="shared" si="0"/>
        <v>1380.3495526580023</v>
      </c>
    </row>
    <row r="34" spans="1:32" x14ac:dyDescent="0.35">
      <c r="N34" s="1">
        <f t="shared" si="1"/>
        <v>217.5515</v>
      </c>
      <c r="O34" s="1">
        <f t="shared" si="0"/>
        <v>1480.3495526580023</v>
      </c>
    </row>
    <row r="35" spans="1:32" x14ac:dyDescent="0.35">
      <c r="N35" s="1">
        <f t="shared" si="1"/>
        <v>218.5515</v>
      </c>
      <c r="O35" s="1">
        <f t="shared" si="0"/>
        <v>1580.3495526580023</v>
      </c>
    </row>
    <row r="36" spans="1:32" x14ac:dyDescent="0.35">
      <c r="N36" s="1">
        <f t="shared" si="1"/>
        <v>219.5515</v>
      </c>
      <c r="O36" s="1">
        <f t="shared" si="0"/>
        <v>1680.3495526580023</v>
      </c>
    </row>
    <row r="37" spans="1:32" x14ac:dyDescent="0.35">
      <c r="N37" s="1">
        <f t="shared" si="1"/>
        <v>220.5515</v>
      </c>
      <c r="O37" s="1">
        <f t="shared" si="0"/>
        <v>1780.3495526580023</v>
      </c>
    </row>
    <row r="38" spans="1:32" x14ac:dyDescent="0.35">
      <c r="N38" s="1">
        <f t="shared" si="1"/>
        <v>221.5515</v>
      </c>
      <c r="O38" s="1">
        <f t="shared" si="0"/>
        <v>1880.3495526580023</v>
      </c>
    </row>
    <row r="39" spans="1:32" x14ac:dyDescent="0.35">
      <c r="N39" s="1">
        <f t="shared" si="1"/>
        <v>222.5515</v>
      </c>
      <c r="O39" s="1">
        <f t="shared" si="0"/>
        <v>1980.3495526580023</v>
      </c>
    </row>
    <row r="40" spans="1:32" x14ac:dyDescent="0.35">
      <c r="N40" s="1">
        <f t="shared" si="1"/>
        <v>223.5515</v>
      </c>
      <c r="O40" s="1">
        <f t="shared" si="0"/>
        <v>2080.3495526580023</v>
      </c>
    </row>
    <row r="43" spans="1:32" x14ac:dyDescent="0.35">
      <c r="A43" t="s">
        <v>3</v>
      </c>
      <c r="B43" t="s">
        <v>4</v>
      </c>
      <c r="C43" t="s">
        <v>26</v>
      </c>
      <c r="D43" t="s">
        <v>5</v>
      </c>
      <c r="E43" t="s">
        <v>27</v>
      </c>
      <c r="F43" t="s">
        <v>28</v>
      </c>
      <c r="G43" t="s">
        <v>29</v>
      </c>
      <c r="H43" t="s">
        <v>30</v>
      </c>
      <c r="I43" t="s">
        <v>31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 t="s">
        <v>37</v>
      </c>
      <c r="P43" t="s">
        <v>38</v>
      </c>
      <c r="Q43" t="s">
        <v>40</v>
      </c>
      <c r="R43" t="s">
        <v>39</v>
      </c>
      <c r="S43" t="s">
        <v>41</v>
      </c>
      <c r="T43" t="s">
        <v>42</v>
      </c>
      <c r="U43" s="9" t="s">
        <v>43</v>
      </c>
      <c r="V43" t="s">
        <v>44</v>
      </c>
      <c r="W43" t="s">
        <v>45</v>
      </c>
      <c r="X43" t="s">
        <v>46</v>
      </c>
      <c r="Y43" t="s">
        <v>47</v>
      </c>
      <c r="Z43" t="s">
        <v>48</v>
      </c>
      <c r="AA43" s="9" t="s">
        <v>10</v>
      </c>
      <c r="AB43" t="s">
        <v>49</v>
      </c>
      <c r="AC43" t="s">
        <v>50</v>
      </c>
      <c r="AD43" t="s">
        <v>51</v>
      </c>
      <c r="AE43" t="s">
        <v>52</v>
      </c>
      <c r="AF43" t="s">
        <v>53</v>
      </c>
    </row>
    <row r="44" spans="1:32" x14ac:dyDescent="0.35">
      <c r="A44" s="2">
        <f>B7</f>
        <v>196.37</v>
      </c>
      <c r="B44" s="7">
        <f>B8</f>
        <v>197.5</v>
      </c>
      <c r="C44" s="8">
        <f>B9</f>
        <v>0.35</v>
      </c>
      <c r="D44" s="8">
        <f>B10</f>
        <v>0.01</v>
      </c>
      <c r="E44" s="8">
        <f>B11</f>
        <v>0</v>
      </c>
      <c r="F44" s="7">
        <f>B12</f>
        <v>16</v>
      </c>
      <c r="G44" s="5">
        <f>F44/365</f>
        <v>4.3835616438356165E-2</v>
      </c>
      <c r="H44" s="6">
        <f>LN(A44/B44)</f>
        <v>-5.737949579037665E-3</v>
      </c>
      <c r="I44" s="6">
        <f>(D44-E44+POWER(C44,2)/2)*G44</f>
        <v>3.1232876712328763E-3</v>
      </c>
      <c r="J44" s="6">
        <f>C44*SQRT(G44)</f>
        <v>7.3279349162629917E-2</v>
      </c>
      <c r="K44" s="6">
        <f>(H44+I44)/J44</f>
        <v>-3.5680746863649561E-2</v>
      </c>
      <c r="L44" s="6">
        <f>K44-J44</f>
        <v>-0.10896009602627948</v>
      </c>
      <c r="M44" s="6">
        <f>_xlfn.NORM.DIST(K44,0,1,TRUE)</f>
        <v>0.48576846127639883</v>
      </c>
      <c r="N44" s="6">
        <f>_xlfn.NORM.DIST(-K44,0,1,TRUE)</f>
        <v>0.51423153872360117</v>
      </c>
      <c r="O44" s="6">
        <f>_xlfn.NORM.DIST(L44,0,1,TRUE)</f>
        <v>0.45661707029584492</v>
      </c>
      <c r="P44" s="6">
        <f>_xlfn.NORM.DIST(-L44,0,1,TRUE)</f>
        <v>0.54338292970415503</v>
      </c>
      <c r="Q44" s="6">
        <f>EXP(-D44*G44)</f>
        <v>0.99956173989964259</v>
      </c>
      <c r="R44">
        <f>B44*Q44</f>
        <v>197.41344363017942</v>
      </c>
      <c r="S44">
        <f>EXP(-E44*G44)</f>
        <v>1</v>
      </c>
      <c r="T44">
        <f>A44*S44</f>
        <v>196.37</v>
      </c>
      <c r="U44" s="9">
        <f>T44*M44-R44*O44</f>
        <v>5.2480044734199822</v>
      </c>
      <c r="V44" s="6">
        <f>M44*S44</f>
        <v>0.48576846127639883</v>
      </c>
      <c r="W44" s="6">
        <f>EXP(-1*POWER(K44,2)/2)/SQRT(2*PI())*S44/(A44*J44)</f>
        <v>2.7706193862366776E-2</v>
      </c>
      <c r="X44">
        <f>(-(A44*EXP(-1*POWER(K44,2)/2)/SQRT(2*PI())*C44*S44/(2*SQRT(G44)))-(D44*R44*O44)+(E44*A44*M44*S44))/365</f>
        <v>-0.18175317630482182</v>
      </c>
      <c r="Y44" s="6">
        <f>EXP(-1*POWER(K44,2)/2)/SQRT(2*PI())*S44*A44*SQRT(G44)/100</f>
        <v>0.16391636381954927</v>
      </c>
      <c r="Z44" s="6">
        <f>B44*G44*Q44*O44/100</f>
        <v>3.9514454035036256E-2</v>
      </c>
      <c r="AA44" s="9">
        <f>R44*P44-T44*N44</f>
        <v>6.291448103599393</v>
      </c>
      <c r="AB44">
        <f>S44*(M44-1)</f>
        <v>-0.51423153872360117</v>
      </c>
      <c r="AC44" s="6">
        <f>EXP(-1*POWER(K44,2)/2)/SQRT(2*PI())*S44/(A44*J44)</f>
        <v>2.7706193862366776E-2</v>
      </c>
      <c r="AD44" s="6">
        <f>(-(A44*EXP(-1*POWER(K44,2)/2)/SQRT(2*PI())*C44*S44/(2*SQRT(G44)))+(D44*R44*P44)-(E44*A44*N44*S44))/365</f>
        <v>-0.17634458880810455</v>
      </c>
      <c r="AE44" s="6">
        <f>EXP(-1*POWER(K44,2)/2)/SQRT(2*PI())*S44*A44*SQRT(G44)/100</f>
        <v>0.16391636381954927</v>
      </c>
      <c r="AF44" s="6">
        <f>-B44*G44*Q44*P44/100</f>
        <v>-4.7022945912439648E-2</v>
      </c>
    </row>
  </sheetData>
  <mergeCells count="3">
    <mergeCell ref="D7:K7"/>
    <mergeCell ref="A1:P1"/>
    <mergeCell ref="A6:B6"/>
  </mergeCells>
  <conditionalFormatting sqref="O3:O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{17A0F22D-EFD9-49BA-B2E7-D2F054E60AD8}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A0F22D-EFD9-49BA-B2E7-D2F054E60A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580C-9A41-4303-9D60-8B8BE8510926}">
  <dimension ref="A1:AF44"/>
  <sheetViews>
    <sheetView showGridLines="0" workbookViewId="0">
      <selection activeCell="P18" sqref="P18"/>
    </sheetView>
  </sheetViews>
  <sheetFormatPr defaultRowHeight="14.5" x14ac:dyDescent="0.35"/>
  <cols>
    <col min="1" max="1" width="16.6328125" bestFit="1" customWidth="1"/>
    <col min="3" max="3" width="4.1796875" customWidth="1"/>
    <col min="4" max="4" width="9.6328125" bestFit="1" customWidth="1"/>
    <col min="6" max="6" width="3.81640625" customWidth="1"/>
    <col min="14" max="14" width="10.453125" bestFit="1" customWidth="1"/>
    <col min="15" max="15" width="11.26953125" customWidth="1"/>
  </cols>
  <sheetData>
    <row r="1" spans="1:16" x14ac:dyDescent="0.35">
      <c r="A1" s="28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5">
      <c r="B2" s="3"/>
      <c r="C2" s="3"/>
      <c r="D2" s="3"/>
      <c r="E2" s="3"/>
      <c r="F2" s="3"/>
      <c r="G2" s="3"/>
      <c r="H2" s="3"/>
      <c r="I2" s="3"/>
      <c r="J2" s="3"/>
      <c r="K2" s="3"/>
      <c r="N2" s="4" t="s">
        <v>6</v>
      </c>
      <c r="O2" s="3" t="s">
        <v>12</v>
      </c>
    </row>
    <row r="3" spans="1:16" x14ac:dyDescent="0.35">
      <c r="A3" s="3" t="s">
        <v>69</v>
      </c>
      <c r="B3" s="3" t="s">
        <v>11</v>
      </c>
      <c r="N3" s="1">
        <f>B7*(1-0.05)</f>
        <v>186.5515</v>
      </c>
      <c r="O3" s="1">
        <f t="shared" ref="O3:O40" si="0">IF(N3&lt;ShortCall_StrikePrice,(ShortCall_CallPrice*100),(ShortCall_CallPrice*100)-(100*(N3-ShortCall_StrikePrice)))</f>
        <v>934.93402272917047</v>
      </c>
    </row>
    <row r="4" spans="1:16" x14ac:dyDescent="0.35">
      <c r="A4" s="3" t="s">
        <v>0</v>
      </c>
      <c r="B4" s="3" t="s">
        <v>1</v>
      </c>
      <c r="N4" s="1">
        <f>N3+1</f>
        <v>187.5515</v>
      </c>
      <c r="O4" s="1">
        <f t="shared" si="0"/>
        <v>934.93402272917047</v>
      </c>
    </row>
    <row r="5" spans="1:16" x14ac:dyDescent="0.35">
      <c r="N5" s="1">
        <f t="shared" ref="N5:N40" si="1">N4+1</f>
        <v>188.5515</v>
      </c>
      <c r="O5" s="1">
        <f t="shared" si="0"/>
        <v>934.93402272917047</v>
      </c>
    </row>
    <row r="6" spans="1:16" ht="15" thickBot="1" x14ac:dyDescent="0.4">
      <c r="A6" s="28" t="s">
        <v>66</v>
      </c>
      <c r="B6" s="28"/>
      <c r="N6" s="1">
        <f t="shared" si="1"/>
        <v>189.5515</v>
      </c>
      <c r="O6" s="1">
        <f t="shared" si="0"/>
        <v>934.93402272917047</v>
      </c>
    </row>
    <row r="7" spans="1:16" ht="15" thickBot="1" x14ac:dyDescent="0.4">
      <c r="A7" s="3" t="s">
        <v>54</v>
      </c>
      <c r="B7" s="10">
        <v>196.37</v>
      </c>
      <c r="D7" s="25" t="s">
        <v>67</v>
      </c>
      <c r="E7" s="26"/>
      <c r="F7" s="26"/>
      <c r="G7" s="26"/>
      <c r="H7" s="26"/>
      <c r="I7" s="26"/>
      <c r="J7" s="26"/>
      <c r="K7" s="27"/>
      <c r="N7" s="1">
        <f t="shared" si="1"/>
        <v>190.5515</v>
      </c>
      <c r="O7" s="1">
        <f t="shared" si="0"/>
        <v>894.7840227291706</v>
      </c>
    </row>
    <row r="8" spans="1:16" x14ac:dyDescent="0.35">
      <c r="A8" s="3" t="s">
        <v>2</v>
      </c>
      <c r="B8" s="10">
        <v>190.15</v>
      </c>
      <c r="D8" s="15"/>
      <c r="E8" s="3" t="s">
        <v>14</v>
      </c>
      <c r="F8" s="3"/>
      <c r="G8" s="3" t="s">
        <v>61</v>
      </c>
      <c r="H8" s="3" t="s">
        <v>62</v>
      </c>
      <c r="I8" s="3" t="s">
        <v>63</v>
      </c>
      <c r="J8" s="3" t="s">
        <v>64</v>
      </c>
      <c r="K8" s="16" t="s">
        <v>65</v>
      </c>
      <c r="N8" s="1">
        <f t="shared" si="1"/>
        <v>191.5515</v>
      </c>
      <c r="O8" s="1">
        <f t="shared" si="0"/>
        <v>794.7840227291706</v>
      </c>
    </row>
    <row r="9" spans="1:16" x14ac:dyDescent="0.35">
      <c r="A9" s="3" t="s">
        <v>55</v>
      </c>
      <c r="B9" s="11">
        <v>0.35</v>
      </c>
      <c r="D9" s="17" t="s">
        <v>59</v>
      </c>
      <c r="E9" s="18">
        <f>U44</f>
        <v>9.3493402272917052</v>
      </c>
      <c r="G9" s="13">
        <f>V44</f>
        <v>0.68504875693835765</v>
      </c>
      <c r="H9" s="13">
        <f>W44</f>
        <v>2.4685006695489214E-2</v>
      </c>
      <c r="I9" s="13">
        <f>X44</f>
        <v>-0.1631631919915798</v>
      </c>
      <c r="J9" s="13">
        <f>Y44</f>
        <v>0.14604230947369007</v>
      </c>
      <c r="K9" s="19">
        <f>Z44</f>
        <v>5.4870656075701303E-2</v>
      </c>
      <c r="N9" s="1">
        <f t="shared" si="1"/>
        <v>192.5515</v>
      </c>
      <c r="O9" s="1">
        <f t="shared" si="0"/>
        <v>694.7840227291706</v>
      </c>
    </row>
    <row r="10" spans="1:16" ht="15" thickBot="1" x14ac:dyDescent="0.4">
      <c r="A10" s="3" t="s">
        <v>56</v>
      </c>
      <c r="B10" s="11">
        <v>0.01</v>
      </c>
      <c r="D10" s="20" t="s">
        <v>60</v>
      </c>
      <c r="E10" s="21">
        <f>AA44</f>
        <v>3.0460050692087108</v>
      </c>
      <c r="F10" s="22"/>
      <c r="G10" s="23">
        <f>AB44</f>
        <v>-0.31495124306164235</v>
      </c>
      <c r="H10" s="23">
        <f>AC44</f>
        <v>2.4685006695489214E-2</v>
      </c>
      <c r="I10" s="23">
        <f>AD44</f>
        <v>-0.15795588610549988</v>
      </c>
      <c r="J10" s="23">
        <f>AE44</f>
        <v>0.14604230947369007</v>
      </c>
      <c r="K10" s="24">
        <f>AF44</f>
        <v>-2.8446238101577398E-2</v>
      </c>
      <c r="N10" s="1">
        <f t="shared" si="1"/>
        <v>193.5515</v>
      </c>
      <c r="O10" s="1">
        <f t="shared" si="0"/>
        <v>594.7840227291706</v>
      </c>
    </row>
    <row r="11" spans="1:16" x14ac:dyDescent="0.35">
      <c r="A11" s="3" t="s">
        <v>57</v>
      </c>
      <c r="B11" s="11">
        <v>0</v>
      </c>
      <c r="N11" s="1">
        <f t="shared" si="1"/>
        <v>194.5515</v>
      </c>
      <c r="O11" s="1">
        <f t="shared" si="0"/>
        <v>494.7840227291706</v>
      </c>
    </row>
    <row r="12" spans="1:16" x14ac:dyDescent="0.35">
      <c r="A12" s="3" t="s">
        <v>58</v>
      </c>
      <c r="B12" s="12">
        <v>16</v>
      </c>
      <c r="N12" s="1">
        <f t="shared" si="1"/>
        <v>195.5515</v>
      </c>
      <c r="O12" s="1">
        <f t="shared" si="0"/>
        <v>394.7840227291706</v>
      </c>
    </row>
    <row r="13" spans="1:16" x14ac:dyDescent="0.35">
      <c r="N13" s="1">
        <f t="shared" si="1"/>
        <v>196.5515</v>
      </c>
      <c r="O13" s="1">
        <f t="shared" si="0"/>
        <v>294.7840227291706</v>
      </c>
    </row>
    <row r="14" spans="1:16" x14ac:dyDescent="0.35">
      <c r="N14" s="1">
        <f t="shared" si="1"/>
        <v>197.5515</v>
      </c>
      <c r="O14" s="1">
        <f t="shared" si="0"/>
        <v>194.7840227291706</v>
      </c>
    </row>
    <row r="15" spans="1:16" x14ac:dyDescent="0.35">
      <c r="N15" s="1">
        <f t="shared" si="1"/>
        <v>198.5515</v>
      </c>
      <c r="O15" s="1">
        <f t="shared" si="0"/>
        <v>94.784022729170601</v>
      </c>
    </row>
    <row r="16" spans="1:16" x14ac:dyDescent="0.35">
      <c r="N16" s="1">
        <f t="shared" si="1"/>
        <v>199.5515</v>
      </c>
      <c r="O16" s="1">
        <f t="shared" si="0"/>
        <v>-5.2159772708293985</v>
      </c>
    </row>
    <row r="17" spans="4:15" x14ac:dyDescent="0.35">
      <c r="N17" s="1">
        <f t="shared" si="1"/>
        <v>200.5515</v>
      </c>
      <c r="O17" s="1">
        <f t="shared" si="0"/>
        <v>-105.2159772708294</v>
      </c>
    </row>
    <row r="18" spans="4:15" x14ac:dyDescent="0.35">
      <c r="N18" s="1">
        <f t="shared" si="1"/>
        <v>201.5515</v>
      </c>
      <c r="O18" s="1">
        <f t="shared" si="0"/>
        <v>-205.2159772708294</v>
      </c>
    </row>
    <row r="19" spans="4:15" x14ac:dyDescent="0.35">
      <c r="N19" s="1">
        <f t="shared" si="1"/>
        <v>202.5515</v>
      </c>
      <c r="O19" s="1">
        <f t="shared" si="0"/>
        <v>-305.2159772708294</v>
      </c>
    </row>
    <row r="20" spans="4:15" x14ac:dyDescent="0.35">
      <c r="N20" s="1">
        <f t="shared" si="1"/>
        <v>203.5515</v>
      </c>
      <c r="O20" s="1">
        <f t="shared" si="0"/>
        <v>-405.2159772708294</v>
      </c>
    </row>
    <row r="21" spans="4:15" x14ac:dyDescent="0.35">
      <c r="N21" s="1">
        <f t="shared" si="1"/>
        <v>204.5515</v>
      </c>
      <c r="O21" s="1">
        <f t="shared" si="0"/>
        <v>-505.2159772708294</v>
      </c>
    </row>
    <row r="22" spans="4:15" x14ac:dyDescent="0.35">
      <c r="N22" s="1">
        <f t="shared" si="1"/>
        <v>205.5515</v>
      </c>
      <c r="O22" s="1">
        <f t="shared" si="0"/>
        <v>-605.2159772708294</v>
      </c>
    </row>
    <row r="23" spans="4:15" x14ac:dyDescent="0.35">
      <c r="N23" s="1">
        <f t="shared" si="1"/>
        <v>206.5515</v>
      </c>
      <c r="O23" s="1">
        <f t="shared" si="0"/>
        <v>-705.2159772708294</v>
      </c>
    </row>
    <row r="24" spans="4:15" x14ac:dyDescent="0.35">
      <c r="N24" s="1">
        <f t="shared" si="1"/>
        <v>207.5515</v>
      </c>
      <c r="O24" s="1">
        <f t="shared" si="0"/>
        <v>-805.2159772708294</v>
      </c>
    </row>
    <row r="25" spans="4:15" x14ac:dyDescent="0.35">
      <c r="N25" s="1">
        <f t="shared" si="1"/>
        <v>208.5515</v>
      </c>
      <c r="O25" s="1">
        <f t="shared" si="0"/>
        <v>-905.2159772708294</v>
      </c>
    </row>
    <row r="26" spans="4:15" x14ac:dyDescent="0.35">
      <c r="N26" s="1">
        <f t="shared" si="1"/>
        <v>209.5515</v>
      </c>
      <c r="O26" s="1">
        <f t="shared" si="0"/>
        <v>-1005.2159772708294</v>
      </c>
    </row>
    <row r="27" spans="4:15" x14ac:dyDescent="0.35">
      <c r="N27" s="1">
        <f t="shared" si="1"/>
        <v>210.5515</v>
      </c>
      <c r="O27" s="1">
        <f t="shared" si="0"/>
        <v>-1105.2159772708294</v>
      </c>
    </row>
    <row r="28" spans="4:15" x14ac:dyDescent="0.35">
      <c r="D28" s="3" t="s">
        <v>70</v>
      </c>
      <c r="G28" s="3" t="s">
        <v>22</v>
      </c>
      <c r="I28" s="3" t="s">
        <v>24</v>
      </c>
      <c r="N28" s="1">
        <f t="shared" si="1"/>
        <v>211.5515</v>
      </c>
      <c r="O28" s="1">
        <f t="shared" si="0"/>
        <v>-1205.2159772708292</v>
      </c>
    </row>
    <row r="29" spans="4:15" x14ac:dyDescent="0.35">
      <c r="D29" s="14">
        <f>ShortCall_StrikePrice+ShortCall_CallPrice</f>
        <v>199.49934022729173</v>
      </c>
      <c r="G29" t="s">
        <v>25</v>
      </c>
      <c r="I29" t="s">
        <v>73</v>
      </c>
      <c r="N29" s="1">
        <f t="shared" si="1"/>
        <v>212.5515</v>
      </c>
      <c r="O29" s="1">
        <f t="shared" si="0"/>
        <v>-1305.2159772708292</v>
      </c>
    </row>
    <row r="30" spans="4:15" x14ac:dyDescent="0.35">
      <c r="N30" s="1">
        <f t="shared" si="1"/>
        <v>213.5515</v>
      </c>
      <c r="O30" s="1">
        <f t="shared" si="0"/>
        <v>-1405.2159772708292</v>
      </c>
    </row>
    <row r="31" spans="4:15" x14ac:dyDescent="0.35">
      <c r="N31" s="1">
        <f t="shared" si="1"/>
        <v>214.5515</v>
      </c>
      <c r="O31" s="1">
        <f t="shared" si="0"/>
        <v>-1505.2159772708292</v>
      </c>
    </row>
    <row r="32" spans="4:15" x14ac:dyDescent="0.35">
      <c r="N32" s="1">
        <f t="shared" si="1"/>
        <v>215.5515</v>
      </c>
      <c r="O32" s="1">
        <f t="shared" si="0"/>
        <v>-1605.2159772708292</v>
      </c>
    </row>
    <row r="33" spans="1:32" x14ac:dyDescent="0.35">
      <c r="N33" s="1">
        <f t="shared" si="1"/>
        <v>216.5515</v>
      </c>
      <c r="O33" s="1">
        <f t="shared" si="0"/>
        <v>-1705.2159772708292</v>
      </c>
    </row>
    <row r="34" spans="1:32" x14ac:dyDescent="0.35">
      <c r="N34" s="1">
        <f t="shared" si="1"/>
        <v>217.5515</v>
      </c>
      <c r="O34" s="1">
        <f t="shared" si="0"/>
        <v>-1805.2159772708292</v>
      </c>
    </row>
    <row r="35" spans="1:32" x14ac:dyDescent="0.35">
      <c r="N35" s="1">
        <f t="shared" si="1"/>
        <v>218.5515</v>
      </c>
      <c r="O35" s="1">
        <f t="shared" si="0"/>
        <v>-1905.2159772708292</v>
      </c>
    </row>
    <row r="36" spans="1:32" x14ac:dyDescent="0.35">
      <c r="N36" s="1">
        <f t="shared" si="1"/>
        <v>219.5515</v>
      </c>
      <c r="O36" s="1">
        <f t="shared" si="0"/>
        <v>-2005.2159772708292</v>
      </c>
    </row>
    <row r="37" spans="1:32" x14ac:dyDescent="0.35">
      <c r="N37" s="1">
        <f t="shared" si="1"/>
        <v>220.5515</v>
      </c>
      <c r="O37" s="1">
        <f t="shared" si="0"/>
        <v>-2105.2159772708292</v>
      </c>
    </row>
    <row r="38" spans="1:32" x14ac:dyDescent="0.35">
      <c r="N38" s="1">
        <f t="shared" si="1"/>
        <v>221.5515</v>
      </c>
      <c r="O38" s="1">
        <f t="shared" si="0"/>
        <v>-2205.2159772708292</v>
      </c>
    </row>
    <row r="39" spans="1:32" x14ac:dyDescent="0.35">
      <c r="N39" s="1">
        <f t="shared" si="1"/>
        <v>222.5515</v>
      </c>
      <c r="O39" s="1">
        <f t="shared" si="0"/>
        <v>-2305.2159772708292</v>
      </c>
    </row>
    <row r="40" spans="1:32" x14ac:dyDescent="0.35">
      <c r="N40" s="1">
        <f t="shared" si="1"/>
        <v>223.5515</v>
      </c>
      <c r="O40" s="1">
        <f t="shared" si="0"/>
        <v>-2405.2159772708292</v>
      </c>
    </row>
    <row r="43" spans="1:32" x14ac:dyDescent="0.35">
      <c r="A43" t="s">
        <v>3</v>
      </c>
      <c r="B43" t="s">
        <v>4</v>
      </c>
      <c r="C43" t="s">
        <v>26</v>
      </c>
      <c r="D43" t="s">
        <v>5</v>
      </c>
      <c r="E43" t="s">
        <v>27</v>
      </c>
      <c r="F43" t="s">
        <v>28</v>
      </c>
      <c r="G43" t="s">
        <v>29</v>
      </c>
      <c r="H43" t="s">
        <v>30</v>
      </c>
      <c r="I43" t="s">
        <v>31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 t="s">
        <v>37</v>
      </c>
      <c r="P43" t="s">
        <v>38</v>
      </c>
      <c r="Q43" t="s">
        <v>40</v>
      </c>
      <c r="R43" t="s">
        <v>39</v>
      </c>
      <c r="S43" t="s">
        <v>41</v>
      </c>
      <c r="T43" t="s">
        <v>42</v>
      </c>
      <c r="U43" s="9" t="s">
        <v>43</v>
      </c>
      <c r="V43" t="s">
        <v>44</v>
      </c>
      <c r="W43" t="s">
        <v>45</v>
      </c>
      <c r="X43" t="s">
        <v>46</v>
      </c>
      <c r="Y43" t="s">
        <v>47</v>
      </c>
      <c r="Z43" t="s">
        <v>48</v>
      </c>
      <c r="AA43" s="9" t="s">
        <v>10</v>
      </c>
      <c r="AB43" t="s">
        <v>49</v>
      </c>
      <c r="AC43" t="s">
        <v>50</v>
      </c>
      <c r="AD43" t="s">
        <v>51</v>
      </c>
      <c r="AE43" t="s">
        <v>52</v>
      </c>
      <c r="AF43" t="s">
        <v>53</v>
      </c>
    </row>
    <row r="44" spans="1:32" x14ac:dyDescent="0.35">
      <c r="A44" s="2">
        <f>B7</f>
        <v>196.37</v>
      </c>
      <c r="B44" s="7">
        <f>B8</f>
        <v>190.15</v>
      </c>
      <c r="C44" s="8">
        <f>B9</f>
        <v>0.35</v>
      </c>
      <c r="D44" s="8">
        <f>B10</f>
        <v>0.01</v>
      </c>
      <c r="E44" s="8">
        <f>B11</f>
        <v>0</v>
      </c>
      <c r="F44" s="7">
        <f>B12</f>
        <v>16</v>
      </c>
      <c r="G44" s="5">
        <f>F44/365</f>
        <v>4.3835616438356165E-2</v>
      </c>
      <c r="H44" s="6">
        <f>LN(A44/B44)</f>
        <v>3.2187400387870095E-2</v>
      </c>
      <c r="I44" s="6">
        <f>(D44-E44+POWER(C44,2)/2)*G44</f>
        <v>3.1232876712328763E-3</v>
      </c>
      <c r="J44" s="6">
        <f>C44*SQRT(G44)</f>
        <v>7.3279349162629917E-2</v>
      </c>
      <c r="K44" s="6">
        <f>(H44+I44)/J44</f>
        <v>0.48186410581700789</v>
      </c>
      <c r="L44" s="6">
        <f>K44-J44</f>
        <v>0.40858475665437799</v>
      </c>
      <c r="M44" s="6">
        <f>_xlfn.NORM.DIST(K44,0,1,TRUE)</f>
        <v>0.68504875693835765</v>
      </c>
      <c r="N44" s="6">
        <f>_xlfn.NORM.DIST(-K44,0,1,TRUE)</f>
        <v>0.31495124306164241</v>
      </c>
      <c r="O44" s="6">
        <f>_xlfn.NORM.DIST(L44,0,1,TRUE)</f>
        <v>0.65857779046527454</v>
      </c>
      <c r="P44" s="6">
        <f>_xlfn.NORM.DIST(-L44,0,1,TRUE)</f>
        <v>0.34142220953472546</v>
      </c>
      <c r="Q44" s="6">
        <f>EXP(-D44*G44)</f>
        <v>0.99956173989964259</v>
      </c>
      <c r="R44">
        <f>B44*Q44</f>
        <v>190.06666484191703</v>
      </c>
      <c r="S44">
        <f>EXP(-E44*G44)</f>
        <v>1</v>
      </c>
      <c r="T44">
        <f>A44*S44</f>
        <v>196.37</v>
      </c>
      <c r="U44" s="9">
        <f>T44*M44-R44*O44</f>
        <v>9.3493402272917052</v>
      </c>
      <c r="V44" s="6">
        <f>M44*S44</f>
        <v>0.68504875693835765</v>
      </c>
      <c r="W44" s="6">
        <f>EXP(-1*POWER(K44,2)/2)/SQRT(2*PI())*S44/(A44*J44)</f>
        <v>2.4685006695489214E-2</v>
      </c>
      <c r="X44">
        <f>(-(A44*EXP(-1*POWER(K44,2)/2)/SQRT(2*PI())*C44*S44/(2*SQRT(G44)))-(D44*R44*O44)+(E44*A44*M44*S44))/365</f>
        <v>-0.1631631919915798</v>
      </c>
      <c r="Y44" s="6">
        <f>EXP(-1*POWER(K44,2)/2)/SQRT(2*PI())*S44*A44*SQRT(G44)/100</f>
        <v>0.14604230947369007</v>
      </c>
      <c r="Z44" s="6">
        <f>B44*G44*Q44*O44/100</f>
        <v>5.4870656075701303E-2</v>
      </c>
      <c r="AA44" s="9">
        <f>R44*P44-T44*N44</f>
        <v>3.0460050692087108</v>
      </c>
      <c r="AB44">
        <f>S44*(M44-1)</f>
        <v>-0.31495124306164235</v>
      </c>
      <c r="AC44" s="6">
        <f>EXP(-1*POWER(K44,2)/2)/SQRT(2*PI())*S44/(A44*J44)</f>
        <v>2.4685006695489214E-2</v>
      </c>
      <c r="AD44" s="6">
        <f>(-(A44*EXP(-1*POWER(K44,2)/2)/SQRT(2*PI())*C44*S44/(2*SQRT(G44)))+(D44*R44*P44)-(E44*A44*N44*S44))/365</f>
        <v>-0.15795588610549988</v>
      </c>
      <c r="AE44" s="6">
        <f>EXP(-1*POWER(K44,2)/2)/SQRT(2*PI())*S44*A44*SQRT(G44)/100</f>
        <v>0.14604230947369007</v>
      </c>
      <c r="AF44" s="6">
        <f>-B44*G44*Q44*P44/100</f>
        <v>-2.8446238101577398E-2</v>
      </c>
    </row>
  </sheetData>
  <mergeCells count="3">
    <mergeCell ref="A1:P1"/>
    <mergeCell ref="A6:B6"/>
    <mergeCell ref="D7:K7"/>
  </mergeCells>
  <conditionalFormatting sqref="O3:O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{1985FD94-1300-4041-8B75-415FD2739282}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85FD94-1300-4041-8B75-415FD27392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EE5B-1052-4B0B-8485-9822501C301D}">
  <dimension ref="A1:AF44"/>
  <sheetViews>
    <sheetView workbookViewId="0">
      <selection activeCell="D29" sqref="D29"/>
    </sheetView>
  </sheetViews>
  <sheetFormatPr defaultRowHeight="14.5" x14ac:dyDescent="0.35"/>
  <cols>
    <col min="1" max="1" width="16.6328125" bestFit="1" customWidth="1"/>
    <col min="3" max="3" width="4.1796875" customWidth="1"/>
    <col min="4" max="4" width="9.6328125" bestFit="1" customWidth="1"/>
    <col min="6" max="6" width="3.81640625" customWidth="1"/>
    <col min="14" max="14" width="10.453125" bestFit="1" customWidth="1"/>
    <col min="15" max="15" width="11.26953125" customWidth="1"/>
  </cols>
  <sheetData>
    <row r="1" spans="1:16" x14ac:dyDescent="0.35">
      <c r="A1" s="28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5">
      <c r="B2" s="3"/>
      <c r="C2" s="3"/>
      <c r="D2" s="3"/>
      <c r="E2" s="3"/>
      <c r="F2" s="3"/>
      <c r="G2" s="3"/>
      <c r="H2" s="3"/>
      <c r="I2" s="3"/>
      <c r="J2" s="3"/>
      <c r="K2" s="3"/>
      <c r="N2" s="4" t="s">
        <v>6</v>
      </c>
      <c r="O2" s="3" t="s">
        <v>17</v>
      </c>
    </row>
    <row r="3" spans="1:16" x14ac:dyDescent="0.35">
      <c r="A3" s="3" t="s">
        <v>69</v>
      </c>
      <c r="B3" s="3" t="s">
        <v>9</v>
      </c>
      <c r="N3" s="1">
        <f>B7*(1-0.1)</f>
        <v>176.733</v>
      </c>
      <c r="O3" s="1">
        <f t="shared" ref="O3:O40" si="0">IF(N3&lt;LongPut_StrikePrice,100*(LongPut_StrikePrice-N3)-(LongPut_PutPrice*100),-(LongPut_PutPrice*100))</f>
        <v>1608.8794910823112</v>
      </c>
    </row>
    <row r="4" spans="1:16" x14ac:dyDescent="0.35">
      <c r="A4" s="3" t="s">
        <v>0</v>
      </c>
      <c r="B4" s="3" t="s">
        <v>1</v>
      </c>
      <c r="N4" s="1">
        <f>N3+1</f>
        <v>177.733</v>
      </c>
      <c r="O4" s="1">
        <f t="shared" si="0"/>
        <v>1508.8794910823112</v>
      </c>
    </row>
    <row r="5" spans="1:16" x14ac:dyDescent="0.35">
      <c r="N5" s="1">
        <f t="shared" ref="N5:N40" si="1">N4+1</f>
        <v>178.733</v>
      </c>
      <c r="O5" s="1">
        <f t="shared" si="0"/>
        <v>1408.8794910823112</v>
      </c>
    </row>
    <row r="6" spans="1:16" ht="15" thickBot="1" x14ac:dyDescent="0.4">
      <c r="A6" s="28" t="s">
        <v>66</v>
      </c>
      <c r="B6" s="28"/>
      <c r="N6" s="1">
        <f t="shared" si="1"/>
        <v>179.733</v>
      </c>
      <c r="O6" s="1">
        <f t="shared" si="0"/>
        <v>1308.8794910823112</v>
      </c>
    </row>
    <row r="7" spans="1:16" ht="15" thickBot="1" x14ac:dyDescent="0.4">
      <c r="A7" s="3" t="s">
        <v>54</v>
      </c>
      <c r="B7" s="10">
        <v>196.37</v>
      </c>
      <c r="D7" s="25" t="s">
        <v>67</v>
      </c>
      <c r="E7" s="26"/>
      <c r="F7" s="26"/>
      <c r="G7" s="26"/>
      <c r="H7" s="26"/>
      <c r="I7" s="26"/>
      <c r="J7" s="26"/>
      <c r="K7" s="27"/>
      <c r="N7" s="1">
        <f t="shared" si="1"/>
        <v>180.733</v>
      </c>
      <c r="O7" s="1">
        <f t="shared" si="0"/>
        <v>1208.8794910823112</v>
      </c>
    </row>
    <row r="8" spans="1:16" x14ac:dyDescent="0.35">
      <c r="A8" s="3" t="s">
        <v>2</v>
      </c>
      <c r="B8" s="10">
        <v>201.5</v>
      </c>
      <c r="D8" s="15"/>
      <c r="E8" s="3" t="s">
        <v>14</v>
      </c>
      <c r="F8" s="3"/>
      <c r="G8" s="3" t="s">
        <v>61</v>
      </c>
      <c r="H8" s="3" t="s">
        <v>62</v>
      </c>
      <c r="I8" s="3" t="s">
        <v>63</v>
      </c>
      <c r="J8" s="3" t="s">
        <v>64</v>
      </c>
      <c r="K8" s="16" t="s">
        <v>65</v>
      </c>
      <c r="N8" s="1">
        <f t="shared" si="1"/>
        <v>181.733</v>
      </c>
      <c r="O8" s="1">
        <f t="shared" si="0"/>
        <v>1108.8794910823112</v>
      </c>
    </row>
    <row r="9" spans="1:16" x14ac:dyDescent="0.35">
      <c r="A9" s="3" t="s">
        <v>55</v>
      </c>
      <c r="B9" s="11">
        <v>0.35</v>
      </c>
      <c r="D9" s="17" t="s">
        <v>59</v>
      </c>
      <c r="E9" s="18">
        <f>U44</f>
        <v>3.6365144993989134</v>
      </c>
      <c r="G9" s="13">
        <f>V44</f>
        <v>0.37854585453293976</v>
      </c>
      <c r="H9" s="13">
        <f>W44</f>
        <v>2.6428914225847106E-2</v>
      </c>
      <c r="I9" s="13">
        <f>X44</f>
        <v>-0.17295534273902363</v>
      </c>
      <c r="J9" s="13">
        <f>Y44</f>
        <v>0.15635967686936367</v>
      </c>
      <c r="K9" s="19">
        <f>Z44</f>
        <v>3.0991138610513742E-2</v>
      </c>
      <c r="N9" s="1">
        <f t="shared" si="1"/>
        <v>182.733</v>
      </c>
      <c r="O9" s="1">
        <f t="shared" si="0"/>
        <v>1008.8794910823111</v>
      </c>
    </row>
    <row r="10" spans="1:16" ht="15" thickBot="1" x14ac:dyDescent="0.4">
      <c r="A10" s="3" t="s">
        <v>56</v>
      </c>
      <c r="B10" s="11">
        <v>0.01</v>
      </c>
      <c r="D10" s="20" t="s">
        <v>60</v>
      </c>
      <c r="E10" s="21">
        <f>AA44</f>
        <v>8.6782050891768847</v>
      </c>
      <c r="F10" s="22"/>
      <c r="G10" s="23">
        <f>AB44</f>
        <v>-0.62145414546706024</v>
      </c>
      <c r="H10" s="23">
        <f>AC44</f>
        <v>2.6428914225847106E-2</v>
      </c>
      <c r="I10" s="23">
        <f>AD44</f>
        <v>-0.16743721422971464</v>
      </c>
      <c r="J10" s="23">
        <f>AE44</f>
        <v>0.15635967686936367</v>
      </c>
      <c r="K10" s="24">
        <f>AF44</f>
        <v>-5.7298917538430034E-2</v>
      </c>
      <c r="N10" s="1">
        <f t="shared" si="1"/>
        <v>183.733</v>
      </c>
      <c r="O10" s="1">
        <f t="shared" si="0"/>
        <v>908.87949108231112</v>
      </c>
    </row>
    <row r="11" spans="1:16" x14ac:dyDescent="0.35">
      <c r="A11" s="3" t="s">
        <v>57</v>
      </c>
      <c r="B11" s="11">
        <v>0</v>
      </c>
      <c r="N11" s="1">
        <f t="shared" si="1"/>
        <v>184.733</v>
      </c>
      <c r="O11" s="1">
        <f t="shared" si="0"/>
        <v>808.87949108231112</v>
      </c>
    </row>
    <row r="12" spans="1:16" x14ac:dyDescent="0.35">
      <c r="A12" s="3" t="s">
        <v>58</v>
      </c>
      <c r="B12" s="12">
        <v>16</v>
      </c>
      <c r="N12" s="1">
        <f t="shared" si="1"/>
        <v>185.733</v>
      </c>
      <c r="O12" s="1">
        <f t="shared" si="0"/>
        <v>708.87949108231112</v>
      </c>
    </row>
    <row r="13" spans="1:16" x14ac:dyDescent="0.35">
      <c r="N13" s="1">
        <f t="shared" si="1"/>
        <v>186.733</v>
      </c>
      <c r="O13" s="1">
        <f t="shared" si="0"/>
        <v>608.87949108231112</v>
      </c>
    </row>
    <row r="14" spans="1:16" x14ac:dyDescent="0.35">
      <c r="N14" s="1">
        <f t="shared" si="1"/>
        <v>187.733</v>
      </c>
      <c r="O14" s="1">
        <f t="shared" si="0"/>
        <v>508.87949108231112</v>
      </c>
    </row>
    <row r="15" spans="1:16" x14ac:dyDescent="0.35">
      <c r="N15" s="1">
        <f t="shared" si="1"/>
        <v>188.733</v>
      </c>
      <c r="O15" s="1">
        <f t="shared" si="0"/>
        <v>408.87949108231112</v>
      </c>
    </row>
    <row r="16" spans="1:16" x14ac:dyDescent="0.35">
      <c r="N16" s="1">
        <f t="shared" si="1"/>
        <v>189.733</v>
      </c>
      <c r="O16" s="1">
        <f t="shared" si="0"/>
        <v>308.87949108231112</v>
      </c>
    </row>
    <row r="17" spans="4:15" x14ac:dyDescent="0.35">
      <c r="N17" s="1">
        <f t="shared" si="1"/>
        <v>190.733</v>
      </c>
      <c r="O17" s="1">
        <f t="shared" si="0"/>
        <v>208.87949108231112</v>
      </c>
    </row>
    <row r="18" spans="4:15" x14ac:dyDescent="0.35">
      <c r="N18" s="1">
        <f t="shared" si="1"/>
        <v>191.733</v>
      </c>
      <c r="O18" s="1">
        <f t="shared" si="0"/>
        <v>108.87949108231112</v>
      </c>
    </row>
    <row r="19" spans="4:15" x14ac:dyDescent="0.35">
      <c r="N19" s="1">
        <f t="shared" si="1"/>
        <v>192.733</v>
      </c>
      <c r="O19" s="1">
        <f t="shared" si="0"/>
        <v>8.8794910823111195</v>
      </c>
    </row>
    <row r="20" spans="4:15" x14ac:dyDescent="0.35">
      <c r="N20" s="1">
        <f t="shared" si="1"/>
        <v>193.733</v>
      </c>
      <c r="O20" s="1">
        <f t="shared" si="0"/>
        <v>-91.120508917688881</v>
      </c>
    </row>
    <row r="21" spans="4:15" x14ac:dyDescent="0.35">
      <c r="N21" s="1">
        <f t="shared" si="1"/>
        <v>194.733</v>
      </c>
      <c r="O21" s="1">
        <f t="shared" si="0"/>
        <v>-191.12050891768888</v>
      </c>
    </row>
    <row r="22" spans="4:15" x14ac:dyDescent="0.35">
      <c r="N22" s="1">
        <f t="shared" si="1"/>
        <v>195.733</v>
      </c>
      <c r="O22" s="1">
        <f t="shared" si="0"/>
        <v>-291.12050891768888</v>
      </c>
    </row>
    <row r="23" spans="4:15" x14ac:dyDescent="0.35">
      <c r="N23" s="1">
        <f t="shared" si="1"/>
        <v>196.733</v>
      </c>
      <c r="O23" s="1">
        <f t="shared" si="0"/>
        <v>-391.12050891768888</v>
      </c>
    </row>
    <row r="24" spans="4:15" x14ac:dyDescent="0.35">
      <c r="N24" s="1">
        <f t="shared" si="1"/>
        <v>197.733</v>
      </c>
      <c r="O24" s="1">
        <f t="shared" si="0"/>
        <v>-491.12050891768888</v>
      </c>
    </row>
    <row r="25" spans="4:15" x14ac:dyDescent="0.35">
      <c r="N25" s="1">
        <f t="shared" si="1"/>
        <v>198.733</v>
      </c>
      <c r="O25" s="1">
        <f t="shared" si="0"/>
        <v>-591.12050891768888</v>
      </c>
    </row>
    <row r="26" spans="4:15" x14ac:dyDescent="0.35">
      <c r="N26" s="1">
        <f t="shared" si="1"/>
        <v>199.733</v>
      </c>
      <c r="O26" s="1">
        <f t="shared" si="0"/>
        <v>-691.12050891768888</v>
      </c>
    </row>
    <row r="27" spans="4:15" x14ac:dyDescent="0.35">
      <c r="N27" s="1">
        <f t="shared" si="1"/>
        <v>200.733</v>
      </c>
      <c r="O27" s="1">
        <f t="shared" si="0"/>
        <v>-791.12050891768888</v>
      </c>
    </row>
    <row r="28" spans="4:15" x14ac:dyDescent="0.35">
      <c r="D28" s="3" t="s">
        <v>71</v>
      </c>
      <c r="G28" s="3" t="s">
        <v>22</v>
      </c>
      <c r="I28" s="3" t="s">
        <v>24</v>
      </c>
      <c r="N28" s="1">
        <f t="shared" si="1"/>
        <v>201.733</v>
      </c>
      <c r="O28" s="1">
        <f t="shared" si="0"/>
        <v>-867.82050891768847</v>
      </c>
    </row>
    <row r="29" spans="4:15" x14ac:dyDescent="0.35">
      <c r="D29" s="14">
        <f>LongPut_StrikePrice-LongPut_PutPrice</f>
        <v>192.82179491082312</v>
      </c>
      <c r="G29" t="s">
        <v>73</v>
      </c>
      <c r="I29" t="s">
        <v>25</v>
      </c>
      <c r="N29" s="1">
        <f t="shared" si="1"/>
        <v>202.733</v>
      </c>
      <c r="O29" s="1">
        <f t="shared" si="0"/>
        <v>-867.82050891768847</v>
      </c>
    </row>
    <row r="30" spans="4:15" x14ac:dyDescent="0.35">
      <c r="N30" s="1">
        <f t="shared" si="1"/>
        <v>203.733</v>
      </c>
      <c r="O30" s="1">
        <f t="shared" si="0"/>
        <v>-867.82050891768847</v>
      </c>
    </row>
    <row r="31" spans="4:15" x14ac:dyDescent="0.35">
      <c r="N31" s="1">
        <f t="shared" si="1"/>
        <v>204.733</v>
      </c>
      <c r="O31" s="1">
        <f t="shared" si="0"/>
        <v>-867.82050891768847</v>
      </c>
    </row>
    <row r="32" spans="4:15" x14ac:dyDescent="0.35">
      <c r="N32" s="1">
        <f t="shared" si="1"/>
        <v>205.733</v>
      </c>
      <c r="O32" s="1">
        <f t="shared" si="0"/>
        <v>-867.82050891768847</v>
      </c>
    </row>
    <row r="33" spans="1:32" x14ac:dyDescent="0.35">
      <c r="N33" s="1">
        <f t="shared" si="1"/>
        <v>206.733</v>
      </c>
      <c r="O33" s="1">
        <f t="shared" si="0"/>
        <v>-867.82050891768847</v>
      </c>
    </row>
    <row r="34" spans="1:32" x14ac:dyDescent="0.35">
      <c r="N34" s="1">
        <f t="shared" si="1"/>
        <v>207.733</v>
      </c>
      <c r="O34" s="1">
        <f t="shared" si="0"/>
        <v>-867.82050891768847</v>
      </c>
    </row>
    <row r="35" spans="1:32" x14ac:dyDescent="0.35">
      <c r="N35" s="1">
        <f t="shared" si="1"/>
        <v>208.733</v>
      </c>
      <c r="O35" s="1">
        <f t="shared" si="0"/>
        <v>-867.82050891768847</v>
      </c>
    </row>
    <row r="36" spans="1:32" x14ac:dyDescent="0.35">
      <c r="N36" s="1">
        <f t="shared" si="1"/>
        <v>209.733</v>
      </c>
      <c r="O36" s="1">
        <f t="shared" si="0"/>
        <v>-867.82050891768847</v>
      </c>
    </row>
    <row r="37" spans="1:32" x14ac:dyDescent="0.35">
      <c r="N37" s="1">
        <f t="shared" si="1"/>
        <v>210.733</v>
      </c>
      <c r="O37" s="1">
        <f t="shared" si="0"/>
        <v>-867.82050891768847</v>
      </c>
    </row>
    <row r="38" spans="1:32" x14ac:dyDescent="0.35">
      <c r="N38" s="1">
        <f t="shared" si="1"/>
        <v>211.733</v>
      </c>
      <c r="O38" s="1">
        <f t="shared" si="0"/>
        <v>-867.82050891768847</v>
      </c>
    </row>
    <row r="39" spans="1:32" x14ac:dyDescent="0.35">
      <c r="N39" s="1">
        <f t="shared" si="1"/>
        <v>212.733</v>
      </c>
      <c r="O39" s="1">
        <f t="shared" si="0"/>
        <v>-867.82050891768847</v>
      </c>
    </row>
    <row r="40" spans="1:32" x14ac:dyDescent="0.35">
      <c r="N40" s="1">
        <f t="shared" si="1"/>
        <v>213.733</v>
      </c>
      <c r="O40" s="1">
        <f t="shared" si="0"/>
        <v>-867.82050891768847</v>
      </c>
    </row>
    <row r="43" spans="1:32" x14ac:dyDescent="0.35">
      <c r="A43" t="s">
        <v>3</v>
      </c>
      <c r="B43" t="s">
        <v>4</v>
      </c>
      <c r="C43" t="s">
        <v>26</v>
      </c>
      <c r="D43" t="s">
        <v>5</v>
      </c>
      <c r="E43" t="s">
        <v>27</v>
      </c>
      <c r="F43" t="s">
        <v>28</v>
      </c>
      <c r="G43" t="s">
        <v>29</v>
      </c>
      <c r="H43" t="s">
        <v>30</v>
      </c>
      <c r="I43" t="s">
        <v>31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 t="s">
        <v>37</v>
      </c>
      <c r="P43" t="s">
        <v>38</v>
      </c>
      <c r="Q43" t="s">
        <v>40</v>
      </c>
      <c r="R43" t="s">
        <v>39</v>
      </c>
      <c r="S43" t="s">
        <v>41</v>
      </c>
      <c r="T43" t="s">
        <v>42</v>
      </c>
      <c r="U43" s="9" t="s">
        <v>43</v>
      </c>
      <c r="V43" t="s">
        <v>44</v>
      </c>
      <c r="W43" t="s">
        <v>45</v>
      </c>
      <c r="X43" t="s">
        <v>46</v>
      </c>
      <c r="Y43" t="s">
        <v>47</v>
      </c>
      <c r="Z43" t="s">
        <v>48</v>
      </c>
      <c r="AA43" s="9" t="s">
        <v>10</v>
      </c>
      <c r="AB43" t="s">
        <v>49</v>
      </c>
      <c r="AC43" t="s">
        <v>50</v>
      </c>
      <c r="AD43" t="s">
        <v>51</v>
      </c>
      <c r="AE43" t="s">
        <v>52</v>
      </c>
      <c r="AF43" t="s">
        <v>53</v>
      </c>
    </row>
    <row r="44" spans="1:32" x14ac:dyDescent="0.35">
      <c r="A44" s="2">
        <f>B7</f>
        <v>196.37</v>
      </c>
      <c r="B44" s="7">
        <f>B8</f>
        <v>201.5</v>
      </c>
      <c r="C44" s="8">
        <f>B9</f>
        <v>0.35</v>
      </c>
      <c r="D44" s="8">
        <f>B10</f>
        <v>0.01</v>
      </c>
      <c r="E44" s="8">
        <f>B11</f>
        <v>0</v>
      </c>
      <c r="F44" s="7">
        <f>B12</f>
        <v>16</v>
      </c>
      <c r="G44" s="5">
        <f>F44/365</f>
        <v>4.3835616438356165E-2</v>
      </c>
      <c r="H44" s="6">
        <f>LN(A44/B44)</f>
        <v>-2.5788746624598784E-2</v>
      </c>
      <c r="I44" s="6">
        <f>(D44-E44+POWER(C44,2)/2)*G44</f>
        <v>3.1232876712328763E-3</v>
      </c>
      <c r="J44" s="6">
        <f>C44*SQRT(G44)</f>
        <v>7.3279349162629917E-2</v>
      </c>
      <c r="K44" s="6">
        <f>(H44+I44)/J44</f>
        <v>-0.30930213235196896</v>
      </c>
      <c r="L44" s="6">
        <f>K44-J44</f>
        <v>-0.38258148151459886</v>
      </c>
      <c r="M44" s="6">
        <f>_xlfn.NORM.DIST(K44,0,1,TRUE)</f>
        <v>0.37854585453293976</v>
      </c>
      <c r="N44" s="6">
        <f>_xlfn.NORM.DIST(-K44,0,1,TRUE)</f>
        <v>0.62145414546706024</v>
      </c>
      <c r="O44" s="6">
        <f>_xlfn.NORM.DIST(L44,0,1,TRUE)</f>
        <v>0.35101505155045132</v>
      </c>
      <c r="P44" s="6">
        <f>_xlfn.NORM.DIST(-L44,0,1,TRUE)</f>
        <v>0.64898494844954868</v>
      </c>
      <c r="Q44" s="6">
        <f>EXP(-D44*G44)</f>
        <v>0.99956173989964259</v>
      </c>
      <c r="R44">
        <f>B44*Q44</f>
        <v>201.41169058977798</v>
      </c>
      <c r="S44">
        <f>EXP(-E44*G44)</f>
        <v>1</v>
      </c>
      <c r="T44">
        <f>A44*S44</f>
        <v>196.37</v>
      </c>
      <c r="U44" s="9">
        <f>T44*M44-R44*O44</f>
        <v>3.6365144993989134</v>
      </c>
      <c r="V44" s="6">
        <f>M44*S44</f>
        <v>0.37854585453293976</v>
      </c>
      <c r="W44" s="6">
        <f>EXP(-1*POWER(K44,2)/2)/SQRT(2*PI())*S44/(A44*J44)</f>
        <v>2.6428914225847106E-2</v>
      </c>
      <c r="X44">
        <f>(-(A44*EXP(-1*POWER(K44,2)/2)/SQRT(2*PI())*C44*S44/(2*SQRT(G44)))-(D44*R44*O44)+(E44*A44*M44*S44))/365</f>
        <v>-0.17295534273902363</v>
      </c>
      <c r="Y44" s="6">
        <f>EXP(-1*POWER(K44,2)/2)/SQRT(2*PI())*S44*A44*SQRT(G44)/100</f>
        <v>0.15635967686936367</v>
      </c>
      <c r="Z44" s="6">
        <f>B44*G44*Q44*O44/100</f>
        <v>3.0991138610513742E-2</v>
      </c>
      <c r="AA44" s="9">
        <f>R44*P44-T44*N44</f>
        <v>8.6782050891768847</v>
      </c>
      <c r="AB44">
        <f>S44*(M44-1)</f>
        <v>-0.62145414546706024</v>
      </c>
      <c r="AC44" s="6">
        <f>EXP(-1*POWER(K44,2)/2)/SQRT(2*PI())*S44/(A44*J44)</f>
        <v>2.6428914225847106E-2</v>
      </c>
      <c r="AD44" s="6">
        <f>(-(A44*EXP(-1*POWER(K44,2)/2)/SQRT(2*PI())*C44*S44/(2*SQRT(G44)))+(D44*R44*P44)-(E44*A44*N44*S44))/365</f>
        <v>-0.16743721422971464</v>
      </c>
      <c r="AE44" s="6">
        <f>EXP(-1*POWER(K44,2)/2)/SQRT(2*PI())*S44*A44*SQRT(G44)/100</f>
        <v>0.15635967686936367</v>
      </c>
      <c r="AF44" s="6">
        <f>-B44*G44*Q44*P44/100</f>
        <v>-5.7298917538430034E-2</v>
      </c>
    </row>
  </sheetData>
  <mergeCells count="3">
    <mergeCell ref="A1:P1"/>
    <mergeCell ref="A6:B6"/>
    <mergeCell ref="D7:K7"/>
  </mergeCells>
  <conditionalFormatting sqref="O3:O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{95C7FF17-C63C-43CF-951A-6790F1CCCD5E}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C7FF17-C63C-43CF-951A-6790F1CCC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6B0F-FDB2-41E3-A6AC-F4591281DFC4}">
  <dimension ref="A1:AF44"/>
  <sheetViews>
    <sheetView workbookViewId="0">
      <selection activeCell="B26" sqref="B26"/>
    </sheetView>
  </sheetViews>
  <sheetFormatPr defaultRowHeight="14.5" x14ac:dyDescent="0.35"/>
  <cols>
    <col min="1" max="1" width="16.6328125" bestFit="1" customWidth="1"/>
    <col min="3" max="3" width="4.1796875" customWidth="1"/>
    <col min="4" max="4" width="9.6328125" bestFit="1" customWidth="1"/>
    <col min="6" max="6" width="3.81640625" customWidth="1"/>
    <col min="14" max="14" width="10.453125" bestFit="1" customWidth="1"/>
    <col min="15" max="15" width="11.26953125" customWidth="1"/>
  </cols>
  <sheetData>
    <row r="1" spans="1:16" x14ac:dyDescent="0.35">
      <c r="A1" s="28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5">
      <c r="B2" s="3"/>
      <c r="C2" s="3"/>
      <c r="D2" s="3"/>
      <c r="E2" s="3"/>
      <c r="F2" s="3"/>
      <c r="G2" s="3"/>
      <c r="H2" s="3"/>
      <c r="I2" s="3"/>
      <c r="J2" s="3"/>
      <c r="K2" s="3"/>
      <c r="N2" s="4" t="s">
        <v>6</v>
      </c>
      <c r="O2" s="3" t="s">
        <v>18</v>
      </c>
    </row>
    <row r="3" spans="1:16" x14ac:dyDescent="0.35">
      <c r="A3" s="3" t="s">
        <v>69</v>
      </c>
      <c r="B3" s="3" t="s">
        <v>13</v>
      </c>
      <c r="N3" s="1">
        <f>B7*(1-0.1)</f>
        <v>176.733</v>
      </c>
      <c r="O3" s="1">
        <f t="shared" ref="O3:O40" si="0">IF(N3&lt;ShortPut_StrikePrice,-100*(ShortPut_StrikePrice-N3)+(ShortPut_PutPrice*100),(ShortPut_PutPrice*100))</f>
        <v>-1447.5551896400605</v>
      </c>
    </row>
    <row r="4" spans="1:16" x14ac:dyDescent="0.35">
      <c r="A4" s="3" t="s">
        <v>0</v>
      </c>
      <c r="B4" s="3" t="s">
        <v>1</v>
      </c>
      <c r="N4" s="1">
        <f>N3+1</f>
        <v>177.733</v>
      </c>
      <c r="O4" s="1">
        <f t="shared" si="0"/>
        <v>-1347.5551896400602</v>
      </c>
    </row>
    <row r="5" spans="1:16" x14ac:dyDescent="0.35">
      <c r="N5" s="1">
        <f t="shared" ref="N5:N40" si="1">N4+1</f>
        <v>178.733</v>
      </c>
      <c r="O5" s="1">
        <f t="shared" si="0"/>
        <v>-1247.5551896400602</v>
      </c>
    </row>
    <row r="6" spans="1:16" ht="15" thickBot="1" x14ac:dyDescent="0.4">
      <c r="A6" s="28" t="s">
        <v>66</v>
      </c>
      <c r="B6" s="28"/>
      <c r="N6" s="1">
        <f t="shared" si="1"/>
        <v>179.733</v>
      </c>
      <c r="O6" s="1">
        <f t="shared" si="0"/>
        <v>-1147.5551896400602</v>
      </c>
    </row>
    <row r="7" spans="1:16" ht="15" thickBot="1" x14ac:dyDescent="0.4">
      <c r="A7" s="3" t="s">
        <v>54</v>
      </c>
      <c r="B7" s="10">
        <v>196.37</v>
      </c>
      <c r="D7" s="25" t="s">
        <v>67</v>
      </c>
      <c r="E7" s="26"/>
      <c r="F7" s="26"/>
      <c r="G7" s="26"/>
      <c r="H7" s="26"/>
      <c r="I7" s="26"/>
      <c r="J7" s="26"/>
      <c r="K7" s="27"/>
      <c r="N7" s="1">
        <f t="shared" si="1"/>
        <v>180.733</v>
      </c>
      <c r="O7" s="1">
        <f t="shared" si="0"/>
        <v>-1047.5551896400602</v>
      </c>
    </row>
    <row r="8" spans="1:16" x14ac:dyDescent="0.35">
      <c r="A8" s="3" t="s">
        <v>2</v>
      </c>
      <c r="B8" s="10">
        <v>197.5</v>
      </c>
      <c r="D8" s="15"/>
      <c r="E8" s="3" t="s">
        <v>14</v>
      </c>
      <c r="F8" s="3"/>
      <c r="G8" s="3" t="s">
        <v>61</v>
      </c>
      <c r="H8" s="3" t="s">
        <v>62</v>
      </c>
      <c r="I8" s="3" t="s">
        <v>63</v>
      </c>
      <c r="J8" s="3" t="s">
        <v>64</v>
      </c>
      <c r="K8" s="16" t="s">
        <v>65</v>
      </c>
      <c r="N8" s="1">
        <f t="shared" si="1"/>
        <v>181.733</v>
      </c>
      <c r="O8" s="1">
        <f t="shared" si="0"/>
        <v>-947.55518964006023</v>
      </c>
    </row>
    <row r="9" spans="1:16" x14ac:dyDescent="0.35">
      <c r="A9" s="3" t="s">
        <v>55</v>
      </c>
      <c r="B9" s="11">
        <v>0.35</v>
      </c>
      <c r="D9" s="17" t="s">
        <v>59</v>
      </c>
      <c r="E9" s="18">
        <f>U44</f>
        <v>5.2480044734199822</v>
      </c>
      <c r="G9" s="13">
        <f>V44</f>
        <v>0.48576846127639883</v>
      </c>
      <c r="H9" s="13">
        <f>W44</f>
        <v>2.7706193862366776E-2</v>
      </c>
      <c r="I9" s="13">
        <f>X44</f>
        <v>-0.18175317630482182</v>
      </c>
      <c r="J9" s="13">
        <f>Y44</f>
        <v>0.16391636381954927</v>
      </c>
      <c r="K9" s="19">
        <f>Z44</f>
        <v>3.9514454035036256E-2</v>
      </c>
      <c r="N9" s="1">
        <f t="shared" si="1"/>
        <v>182.733</v>
      </c>
      <c r="O9" s="1">
        <f t="shared" si="0"/>
        <v>-847.55518964006023</v>
      </c>
    </row>
    <row r="10" spans="1:16" ht="15" thickBot="1" x14ac:dyDescent="0.4">
      <c r="A10" s="3" t="s">
        <v>56</v>
      </c>
      <c r="B10" s="11">
        <v>0.01</v>
      </c>
      <c r="D10" s="20" t="s">
        <v>60</v>
      </c>
      <c r="E10" s="21">
        <f>AA44</f>
        <v>6.291448103599393</v>
      </c>
      <c r="F10" s="22"/>
      <c r="G10" s="23">
        <f>AB44</f>
        <v>-0.51423153872360117</v>
      </c>
      <c r="H10" s="23">
        <f>AC44</f>
        <v>2.7706193862366776E-2</v>
      </c>
      <c r="I10" s="23">
        <f>AD44</f>
        <v>-0.17634458880810455</v>
      </c>
      <c r="J10" s="23">
        <f>AE44</f>
        <v>0.16391636381954927</v>
      </c>
      <c r="K10" s="24">
        <f>AF44</f>
        <v>-4.7022945912439648E-2</v>
      </c>
      <c r="N10" s="1">
        <f t="shared" si="1"/>
        <v>183.733</v>
      </c>
      <c r="O10" s="1">
        <f t="shared" si="0"/>
        <v>-747.55518964006023</v>
      </c>
    </row>
    <row r="11" spans="1:16" x14ac:dyDescent="0.35">
      <c r="A11" s="3" t="s">
        <v>57</v>
      </c>
      <c r="B11" s="11">
        <v>0</v>
      </c>
      <c r="N11" s="1">
        <f t="shared" si="1"/>
        <v>184.733</v>
      </c>
      <c r="O11" s="1">
        <f t="shared" si="0"/>
        <v>-647.55518964006023</v>
      </c>
    </row>
    <row r="12" spans="1:16" x14ac:dyDescent="0.35">
      <c r="A12" s="3" t="s">
        <v>58</v>
      </c>
      <c r="B12" s="12">
        <v>16</v>
      </c>
      <c r="N12" s="1">
        <f t="shared" si="1"/>
        <v>185.733</v>
      </c>
      <c r="O12" s="1">
        <f t="shared" si="0"/>
        <v>-547.55518964006023</v>
      </c>
    </row>
    <row r="13" spans="1:16" x14ac:dyDescent="0.35">
      <c r="N13" s="1">
        <f t="shared" si="1"/>
        <v>186.733</v>
      </c>
      <c r="O13" s="1">
        <f t="shared" si="0"/>
        <v>-447.55518964006023</v>
      </c>
    </row>
    <row r="14" spans="1:16" x14ac:dyDescent="0.35">
      <c r="N14" s="1">
        <f t="shared" si="1"/>
        <v>187.733</v>
      </c>
      <c r="O14" s="1">
        <f t="shared" si="0"/>
        <v>-347.55518964006023</v>
      </c>
    </row>
    <row r="15" spans="1:16" x14ac:dyDescent="0.35">
      <c r="N15" s="1">
        <f t="shared" si="1"/>
        <v>188.733</v>
      </c>
      <c r="O15" s="1">
        <f t="shared" si="0"/>
        <v>-247.55518964006023</v>
      </c>
    </row>
    <row r="16" spans="1:16" x14ac:dyDescent="0.35">
      <c r="N16" s="1">
        <f t="shared" si="1"/>
        <v>189.733</v>
      </c>
      <c r="O16" s="1">
        <f t="shared" si="0"/>
        <v>-147.55518964006023</v>
      </c>
    </row>
    <row r="17" spans="4:15" x14ac:dyDescent="0.35">
      <c r="N17" s="1">
        <f t="shared" si="1"/>
        <v>190.733</v>
      </c>
      <c r="O17" s="1">
        <f t="shared" si="0"/>
        <v>-47.555189640060235</v>
      </c>
    </row>
    <row r="18" spans="4:15" x14ac:dyDescent="0.35">
      <c r="N18" s="1">
        <f t="shared" si="1"/>
        <v>191.733</v>
      </c>
      <c r="O18" s="1">
        <f t="shared" si="0"/>
        <v>52.444810359939765</v>
      </c>
    </row>
    <row r="19" spans="4:15" x14ac:dyDescent="0.35">
      <c r="N19" s="1">
        <f t="shared" si="1"/>
        <v>192.733</v>
      </c>
      <c r="O19" s="1">
        <f t="shared" si="0"/>
        <v>152.44481035993977</v>
      </c>
    </row>
    <row r="20" spans="4:15" x14ac:dyDescent="0.35">
      <c r="N20" s="1">
        <f t="shared" si="1"/>
        <v>193.733</v>
      </c>
      <c r="O20" s="1">
        <f t="shared" si="0"/>
        <v>252.44481035993977</v>
      </c>
    </row>
    <row r="21" spans="4:15" x14ac:dyDescent="0.35">
      <c r="N21" s="1">
        <f t="shared" si="1"/>
        <v>194.733</v>
      </c>
      <c r="O21" s="1">
        <f t="shared" si="0"/>
        <v>352.44481035993977</v>
      </c>
    </row>
    <row r="22" spans="4:15" x14ac:dyDescent="0.35">
      <c r="N22" s="1">
        <f t="shared" si="1"/>
        <v>195.733</v>
      </c>
      <c r="O22" s="1">
        <f t="shared" si="0"/>
        <v>452.44481035993977</v>
      </c>
    </row>
    <row r="23" spans="4:15" x14ac:dyDescent="0.35">
      <c r="N23" s="1">
        <f t="shared" si="1"/>
        <v>196.733</v>
      </c>
      <c r="O23" s="1">
        <f t="shared" si="0"/>
        <v>552.44481035993977</v>
      </c>
    </row>
    <row r="24" spans="4:15" x14ac:dyDescent="0.35">
      <c r="N24" s="1">
        <f t="shared" si="1"/>
        <v>197.733</v>
      </c>
      <c r="O24" s="1">
        <f t="shared" si="0"/>
        <v>629.14481035993936</v>
      </c>
    </row>
    <row r="25" spans="4:15" x14ac:dyDescent="0.35">
      <c r="N25" s="1">
        <f t="shared" si="1"/>
        <v>198.733</v>
      </c>
      <c r="O25" s="1">
        <f t="shared" si="0"/>
        <v>629.14481035993936</v>
      </c>
    </row>
    <row r="26" spans="4:15" x14ac:dyDescent="0.35">
      <c r="N26" s="1">
        <f t="shared" si="1"/>
        <v>199.733</v>
      </c>
      <c r="O26" s="1">
        <f t="shared" si="0"/>
        <v>629.14481035993936</v>
      </c>
    </row>
    <row r="27" spans="4:15" x14ac:dyDescent="0.35">
      <c r="N27" s="1">
        <f t="shared" si="1"/>
        <v>200.733</v>
      </c>
      <c r="O27" s="1">
        <f t="shared" si="0"/>
        <v>629.14481035993936</v>
      </c>
    </row>
    <row r="28" spans="4:15" x14ac:dyDescent="0.35">
      <c r="D28" s="3" t="s">
        <v>72</v>
      </c>
      <c r="G28" s="3" t="s">
        <v>22</v>
      </c>
      <c r="I28" s="3" t="s">
        <v>24</v>
      </c>
      <c r="N28" s="1">
        <f t="shared" si="1"/>
        <v>201.733</v>
      </c>
      <c r="O28" s="1">
        <f t="shared" si="0"/>
        <v>629.14481035993936</v>
      </c>
    </row>
    <row r="29" spans="4:15" x14ac:dyDescent="0.35">
      <c r="D29" s="14">
        <f>ShortPut_StrikePrice-ShortPut_PutPrice</f>
        <v>191.20855189640059</v>
      </c>
      <c r="G29" t="s">
        <v>74</v>
      </c>
      <c r="I29" t="s">
        <v>73</v>
      </c>
      <c r="N29" s="1">
        <f t="shared" si="1"/>
        <v>202.733</v>
      </c>
      <c r="O29" s="1">
        <f t="shared" si="0"/>
        <v>629.14481035993936</v>
      </c>
    </row>
    <row r="30" spans="4:15" x14ac:dyDescent="0.35">
      <c r="N30" s="1">
        <f t="shared" si="1"/>
        <v>203.733</v>
      </c>
      <c r="O30" s="1">
        <f t="shared" si="0"/>
        <v>629.14481035993936</v>
      </c>
    </row>
    <row r="31" spans="4:15" x14ac:dyDescent="0.35">
      <c r="N31" s="1">
        <f t="shared" si="1"/>
        <v>204.733</v>
      </c>
      <c r="O31" s="1">
        <f t="shared" si="0"/>
        <v>629.14481035993936</v>
      </c>
    </row>
    <row r="32" spans="4:15" x14ac:dyDescent="0.35">
      <c r="N32" s="1">
        <f t="shared" si="1"/>
        <v>205.733</v>
      </c>
      <c r="O32" s="1">
        <f t="shared" si="0"/>
        <v>629.14481035993936</v>
      </c>
    </row>
    <row r="33" spans="1:32" x14ac:dyDescent="0.35">
      <c r="N33" s="1">
        <f t="shared" si="1"/>
        <v>206.733</v>
      </c>
      <c r="O33" s="1">
        <f t="shared" si="0"/>
        <v>629.14481035993936</v>
      </c>
    </row>
    <row r="34" spans="1:32" x14ac:dyDescent="0.35">
      <c r="N34" s="1">
        <f t="shared" si="1"/>
        <v>207.733</v>
      </c>
      <c r="O34" s="1">
        <f t="shared" si="0"/>
        <v>629.14481035993936</v>
      </c>
    </row>
    <row r="35" spans="1:32" x14ac:dyDescent="0.35">
      <c r="N35" s="1">
        <f t="shared" si="1"/>
        <v>208.733</v>
      </c>
      <c r="O35" s="1">
        <f t="shared" si="0"/>
        <v>629.14481035993936</v>
      </c>
    </row>
    <row r="36" spans="1:32" x14ac:dyDescent="0.35">
      <c r="N36" s="1">
        <f t="shared" si="1"/>
        <v>209.733</v>
      </c>
      <c r="O36" s="1">
        <f t="shared" si="0"/>
        <v>629.14481035993936</v>
      </c>
    </row>
    <row r="37" spans="1:32" x14ac:dyDescent="0.35">
      <c r="N37" s="1">
        <f t="shared" si="1"/>
        <v>210.733</v>
      </c>
      <c r="O37" s="1">
        <f t="shared" si="0"/>
        <v>629.14481035993936</v>
      </c>
    </row>
    <row r="38" spans="1:32" x14ac:dyDescent="0.35">
      <c r="N38" s="1">
        <f t="shared" si="1"/>
        <v>211.733</v>
      </c>
      <c r="O38" s="1">
        <f t="shared" si="0"/>
        <v>629.14481035993936</v>
      </c>
    </row>
    <row r="39" spans="1:32" x14ac:dyDescent="0.35">
      <c r="N39" s="1">
        <f t="shared" si="1"/>
        <v>212.733</v>
      </c>
      <c r="O39" s="1">
        <f t="shared" si="0"/>
        <v>629.14481035993936</v>
      </c>
    </row>
    <row r="40" spans="1:32" x14ac:dyDescent="0.35">
      <c r="N40" s="1">
        <f t="shared" si="1"/>
        <v>213.733</v>
      </c>
      <c r="O40" s="1">
        <f t="shared" si="0"/>
        <v>629.14481035993936</v>
      </c>
    </row>
    <row r="43" spans="1:32" x14ac:dyDescent="0.35">
      <c r="A43" t="s">
        <v>3</v>
      </c>
      <c r="B43" t="s">
        <v>4</v>
      </c>
      <c r="C43" t="s">
        <v>26</v>
      </c>
      <c r="D43" t="s">
        <v>5</v>
      </c>
      <c r="E43" t="s">
        <v>27</v>
      </c>
      <c r="F43" t="s">
        <v>28</v>
      </c>
      <c r="G43" t="s">
        <v>29</v>
      </c>
      <c r="H43" t="s">
        <v>30</v>
      </c>
      <c r="I43" t="s">
        <v>31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 t="s">
        <v>37</v>
      </c>
      <c r="P43" t="s">
        <v>38</v>
      </c>
      <c r="Q43" t="s">
        <v>40</v>
      </c>
      <c r="R43" t="s">
        <v>39</v>
      </c>
      <c r="S43" t="s">
        <v>41</v>
      </c>
      <c r="T43" t="s">
        <v>42</v>
      </c>
      <c r="U43" s="9" t="s">
        <v>43</v>
      </c>
      <c r="V43" t="s">
        <v>44</v>
      </c>
      <c r="W43" t="s">
        <v>45</v>
      </c>
      <c r="X43" t="s">
        <v>46</v>
      </c>
      <c r="Y43" t="s">
        <v>47</v>
      </c>
      <c r="Z43" t="s">
        <v>48</v>
      </c>
      <c r="AA43" s="9" t="s">
        <v>10</v>
      </c>
      <c r="AB43" t="s">
        <v>49</v>
      </c>
      <c r="AC43" t="s">
        <v>50</v>
      </c>
      <c r="AD43" t="s">
        <v>51</v>
      </c>
      <c r="AE43" t="s">
        <v>52</v>
      </c>
      <c r="AF43" t="s">
        <v>53</v>
      </c>
    </row>
    <row r="44" spans="1:32" x14ac:dyDescent="0.35">
      <c r="A44" s="2">
        <f>B7</f>
        <v>196.37</v>
      </c>
      <c r="B44" s="7">
        <f>B8</f>
        <v>197.5</v>
      </c>
      <c r="C44" s="8">
        <f>B9</f>
        <v>0.35</v>
      </c>
      <c r="D44" s="8">
        <f>B10</f>
        <v>0.01</v>
      </c>
      <c r="E44" s="8">
        <f>B11</f>
        <v>0</v>
      </c>
      <c r="F44" s="7">
        <f>B12</f>
        <v>16</v>
      </c>
      <c r="G44" s="5">
        <f>F44/365</f>
        <v>4.3835616438356165E-2</v>
      </c>
      <c r="H44" s="6">
        <f>LN(A44/B44)</f>
        <v>-5.737949579037665E-3</v>
      </c>
      <c r="I44" s="6">
        <f>(D44-E44+POWER(C44,2)/2)*G44</f>
        <v>3.1232876712328763E-3</v>
      </c>
      <c r="J44" s="6">
        <f>C44*SQRT(G44)</f>
        <v>7.3279349162629917E-2</v>
      </c>
      <c r="K44" s="6">
        <f>(H44+I44)/J44</f>
        <v>-3.5680746863649561E-2</v>
      </c>
      <c r="L44" s="6">
        <f>K44-J44</f>
        <v>-0.10896009602627948</v>
      </c>
      <c r="M44" s="6">
        <f>_xlfn.NORM.DIST(K44,0,1,TRUE)</f>
        <v>0.48576846127639883</v>
      </c>
      <c r="N44" s="6">
        <f>_xlfn.NORM.DIST(-K44,0,1,TRUE)</f>
        <v>0.51423153872360117</v>
      </c>
      <c r="O44" s="6">
        <f>_xlfn.NORM.DIST(L44,0,1,TRUE)</f>
        <v>0.45661707029584492</v>
      </c>
      <c r="P44" s="6">
        <f>_xlfn.NORM.DIST(-L44,0,1,TRUE)</f>
        <v>0.54338292970415503</v>
      </c>
      <c r="Q44" s="6">
        <f>EXP(-D44*G44)</f>
        <v>0.99956173989964259</v>
      </c>
      <c r="R44">
        <f>B44*Q44</f>
        <v>197.41344363017942</v>
      </c>
      <c r="S44">
        <f>EXP(-E44*G44)</f>
        <v>1</v>
      </c>
      <c r="T44">
        <f>A44*S44</f>
        <v>196.37</v>
      </c>
      <c r="U44" s="9">
        <f>T44*M44-R44*O44</f>
        <v>5.2480044734199822</v>
      </c>
      <c r="V44" s="6">
        <f>M44*S44</f>
        <v>0.48576846127639883</v>
      </c>
      <c r="W44" s="6">
        <f>EXP(-1*POWER(K44,2)/2)/SQRT(2*PI())*S44/(A44*J44)</f>
        <v>2.7706193862366776E-2</v>
      </c>
      <c r="X44">
        <f>(-(A44*EXP(-1*POWER(K44,2)/2)/SQRT(2*PI())*C44*S44/(2*SQRT(G44)))-(D44*R44*O44)+(E44*A44*M44*S44))/365</f>
        <v>-0.18175317630482182</v>
      </c>
      <c r="Y44" s="6">
        <f>EXP(-1*POWER(K44,2)/2)/SQRT(2*PI())*S44*A44*SQRT(G44)/100</f>
        <v>0.16391636381954927</v>
      </c>
      <c r="Z44" s="6">
        <f>B44*G44*Q44*O44/100</f>
        <v>3.9514454035036256E-2</v>
      </c>
      <c r="AA44" s="9">
        <f>R44*P44-T44*N44</f>
        <v>6.291448103599393</v>
      </c>
      <c r="AB44">
        <f>S44*(M44-1)</f>
        <v>-0.51423153872360117</v>
      </c>
      <c r="AC44" s="6">
        <f>EXP(-1*POWER(K44,2)/2)/SQRT(2*PI())*S44/(A44*J44)</f>
        <v>2.7706193862366776E-2</v>
      </c>
      <c r="AD44" s="6">
        <f>(-(A44*EXP(-1*POWER(K44,2)/2)/SQRT(2*PI())*C44*S44/(2*SQRT(G44)))+(D44*R44*P44)-(E44*A44*N44*S44))/365</f>
        <v>-0.17634458880810455</v>
      </c>
      <c r="AE44" s="6">
        <f>EXP(-1*POWER(K44,2)/2)/SQRT(2*PI())*S44*A44*SQRT(G44)/100</f>
        <v>0.16391636381954927</v>
      </c>
      <c r="AF44" s="6">
        <f>-B44*G44*Q44*P44/100</f>
        <v>-4.7022945912439648E-2</v>
      </c>
    </row>
  </sheetData>
  <mergeCells count="3">
    <mergeCell ref="A1:P1"/>
    <mergeCell ref="A6:B6"/>
    <mergeCell ref="D7:K7"/>
  </mergeCells>
  <conditionalFormatting sqref="O3:O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{A7F4FA6B-4799-4AE0-8F20-71E06964B44D}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F4FA6B-4799-4AE0-8F20-71E06964B4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205F-F5FC-4458-888F-AD702BB668B1}">
  <dimension ref="A1:AF44"/>
  <sheetViews>
    <sheetView tabSelected="1" zoomScale="91" zoomScaleNormal="89" workbookViewId="0">
      <selection activeCell="U15" sqref="U15"/>
    </sheetView>
  </sheetViews>
  <sheetFormatPr defaultRowHeight="14.5" x14ac:dyDescent="0.35"/>
  <cols>
    <col min="1" max="1" width="16.6328125" bestFit="1" customWidth="1"/>
    <col min="3" max="3" width="4.1796875" customWidth="1"/>
    <col min="4" max="4" width="9.6328125" bestFit="1" customWidth="1"/>
    <col min="6" max="6" width="3.81640625" customWidth="1"/>
    <col min="14" max="14" width="10.453125" bestFit="1" customWidth="1"/>
    <col min="15" max="15" width="11.26953125" customWidth="1"/>
  </cols>
  <sheetData>
    <row r="1" spans="1:16" x14ac:dyDescent="0.35">
      <c r="A1" s="28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5">
      <c r="B2" s="3"/>
      <c r="C2" s="3"/>
      <c r="D2" s="3"/>
      <c r="E2" s="3"/>
      <c r="F2" s="3"/>
      <c r="G2" s="3"/>
      <c r="H2" s="3"/>
      <c r="I2" s="3"/>
      <c r="J2" s="3"/>
      <c r="K2" s="3"/>
      <c r="N2" s="4" t="s">
        <v>6</v>
      </c>
      <c r="O2" s="3" t="s">
        <v>19</v>
      </c>
    </row>
    <row r="3" spans="1:16" x14ac:dyDescent="0.35">
      <c r="A3" s="3" t="s">
        <v>69</v>
      </c>
      <c r="B3" s="3" t="s">
        <v>15</v>
      </c>
      <c r="N3" s="1">
        <f>B7*(1-0.1)</f>
        <v>176.733</v>
      </c>
      <c r="O3" s="1">
        <f t="shared" ref="O3:O40" si="0">IF(N3&lt;=LongStraddle_StrikePrice,100*(LongStraddle_StrikePrice-N3)-(LongStraddle_CallPrice*100+LongStraddle_PutPrice*100),100*(-LongStraddle_StrikePrice+N3)-(LongStraddle_CallPrice*100+LongStraddle_PutPrice*100))</f>
        <v>922.75474229806218</v>
      </c>
    </row>
    <row r="4" spans="1:16" x14ac:dyDescent="0.35">
      <c r="A4" s="3" t="s">
        <v>0</v>
      </c>
      <c r="B4" s="3" t="s">
        <v>1</v>
      </c>
      <c r="N4" s="1">
        <f>N3+1</f>
        <v>177.733</v>
      </c>
      <c r="O4" s="1">
        <f t="shared" si="0"/>
        <v>822.75474229806196</v>
      </c>
    </row>
    <row r="5" spans="1:16" x14ac:dyDescent="0.35">
      <c r="N5" s="1">
        <f t="shared" ref="N5:N40" si="1">N4+1</f>
        <v>178.733</v>
      </c>
      <c r="O5" s="1">
        <f t="shared" si="0"/>
        <v>722.75474229806196</v>
      </c>
    </row>
    <row r="6" spans="1:16" ht="15" thickBot="1" x14ac:dyDescent="0.4">
      <c r="A6" s="28" t="s">
        <v>66</v>
      </c>
      <c r="B6" s="28"/>
      <c r="N6" s="1">
        <f t="shared" si="1"/>
        <v>179.733</v>
      </c>
      <c r="O6" s="1">
        <f t="shared" si="0"/>
        <v>622.75474229806196</v>
      </c>
    </row>
    <row r="7" spans="1:16" ht="15" thickBot="1" x14ac:dyDescent="0.4">
      <c r="A7" s="3" t="s">
        <v>54</v>
      </c>
      <c r="B7" s="10">
        <v>196.37</v>
      </c>
      <c r="D7" s="25" t="s">
        <v>67</v>
      </c>
      <c r="E7" s="26"/>
      <c r="F7" s="26"/>
      <c r="G7" s="26"/>
      <c r="H7" s="26"/>
      <c r="I7" s="26"/>
      <c r="J7" s="26"/>
      <c r="K7" s="27"/>
      <c r="N7" s="1">
        <f t="shared" si="1"/>
        <v>180.733</v>
      </c>
      <c r="O7" s="1">
        <f t="shared" si="0"/>
        <v>522.75474229806196</v>
      </c>
    </row>
    <row r="8" spans="1:16" x14ac:dyDescent="0.35">
      <c r="A8" s="3" t="s">
        <v>2</v>
      </c>
      <c r="B8" s="10">
        <v>197.5</v>
      </c>
      <c r="D8" s="15"/>
      <c r="E8" s="3" t="s">
        <v>14</v>
      </c>
      <c r="F8" s="3"/>
      <c r="G8" s="3" t="s">
        <v>61</v>
      </c>
      <c r="H8" s="3" t="s">
        <v>62</v>
      </c>
      <c r="I8" s="3" t="s">
        <v>63</v>
      </c>
      <c r="J8" s="3" t="s">
        <v>64</v>
      </c>
      <c r="K8" s="16" t="s">
        <v>65</v>
      </c>
      <c r="N8" s="1">
        <f t="shared" si="1"/>
        <v>181.733</v>
      </c>
      <c r="O8" s="1">
        <f t="shared" si="0"/>
        <v>422.75474229806196</v>
      </c>
    </row>
    <row r="9" spans="1:16" x14ac:dyDescent="0.35">
      <c r="A9" s="3" t="s">
        <v>55</v>
      </c>
      <c r="B9" s="11">
        <v>0.35</v>
      </c>
      <c r="D9" s="17" t="s">
        <v>59</v>
      </c>
      <c r="E9" s="18">
        <f>U44</f>
        <v>5.2480044734199822</v>
      </c>
      <c r="G9" s="13">
        <f>V44</f>
        <v>0.48576846127639883</v>
      </c>
      <c r="H9" s="13">
        <f>W44</f>
        <v>2.7706193862366776E-2</v>
      </c>
      <c r="I9" s="13">
        <f>X44</f>
        <v>-0.18175317630482182</v>
      </c>
      <c r="J9" s="13">
        <f>Y44</f>
        <v>0.16391636381954927</v>
      </c>
      <c r="K9" s="19">
        <f>Z44</f>
        <v>3.9514454035036256E-2</v>
      </c>
      <c r="N9" s="1">
        <f t="shared" si="1"/>
        <v>182.733</v>
      </c>
      <c r="O9" s="1">
        <f t="shared" si="0"/>
        <v>322.75474229806196</v>
      </c>
    </row>
    <row r="10" spans="1:16" ht="15" thickBot="1" x14ac:dyDescent="0.4">
      <c r="A10" s="3" t="s">
        <v>56</v>
      </c>
      <c r="B10" s="11">
        <v>0.01</v>
      </c>
      <c r="D10" s="20" t="s">
        <v>60</v>
      </c>
      <c r="E10" s="21">
        <f>AA44</f>
        <v>6.291448103599393</v>
      </c>
      <c r="F10" s="22"/>
      <c r="G10" s="23">
        <f>AB44</f>
        <v>-0.51423153872360117</v>
      </c>
      <c r="H10" s="23">
        <f>AC44</f>
        <v>2.7706193862366776E-2</v>
      </c>
      <c r="I10" s="23">
        <f>AD44</f>
        <v>-0.17634458880810455</v>
      </c>
      <c r="J10" s="23">
        <f>AE44</f>
        <v>0.16391636381954927</v>
      </c>
      <c r="K10" s="24">
        <f>AF44</f>
        <v>-4.7022945912439648E-2</v>
      </c>
      <c r="N10" s="1">
        <f t="shared" si="1"/>
        <v>183.733</v>
      </c>
      <c r="O10" s="1">
        <f t="shared" si="0"/>
        <v>222.75474229806196</v>
      </c>
    </row>
    <row r="11" spans="1:16" x14ac:dyDescent="0.35">
      <c r="A11" s="3" t="s">
        <v>57</v>
      </c>
      <c r="B11" s="11">
        <v>0</v>
      </c>
      <c r="N11" s="1">
        <f t="shared" si="1"/>
        <v>184.733</v>
      </c>
      <c r="O11" s="1">
        <f t="shared" si="0"/>
        <v>122.75474229806196</v>
      </c>
    </row>
    <row r="12" spans="1:16" x14ac:dyDescent="0.35">
      <c r="A12" s="3" t="s">
        <v>58</v>
      </c>
      <c r="B12" s="12">
        <v>16</v>
      </c>
      <c r="N12" s="1">
        <f t="shared" si="1"/>
        <v>185.733</v>
      </c>
      <c r="O12" s="1">
        <f t="shared" si="0"/>
        <v>22.754742298061956</v>
      </c>
    </row>
    <row r="13" spans="1:16" x14ac:dyDescent="0.35">
      <c r="N13" s="1">
        <f t="shared" si="1"/>
        <v>186.733</v>
      </c>
      <c r="O13" s="1">
        <f t="shared" si="0"/>
        <v>-77.245257701938044</v>
      </c>
    </row>
    <row r="14" spans="1:16" x14ac:dyDescent="0.35">
      <c r="N14" s="1">
        <f t="shared" si="1"/>
        <v>187.733</v>
      </c>
      <c r="O14" s="1">
        <f t="shared" si="0"/>
        <v>-177.24525770193804</v>
      </c>
    </row>
    <row r="15" spans="1:16" x14ac:dyDescent="0.35">
      <c r="N15" s="1">
        <f t="shared" si="1"/>
        <v>188.733</v>
      </c>
      <c r="O15" s="1">
        <f t="shared" si="0"/>
        <v>-277.24525770193804</v>
      </c>
    </row>
    <row r="16" spans="1:16" x14ac:dyDescent="0.35">
      <c r="N16" s="1">
        <f t="shared" si="1"/>
        <v>189.733</v>
      </c>
      <c r="O16" s="1">
        <f t="shared" si="0"/>
        <v>-377.24525770193804</v>
      </c>
    </row>
    <row r="17" spans="4:15" x14ac:dyDescent="0.35">
      <c r="N17" s="1">
        <f t="shared" si="1"/>
        <v>190.733</v>
      </c>
      <c r="O17" s="1">
        <f t="shared" si="0"/>
        <v>-477.24525770193804</v>
      </c>
    </row>
    <row r="18" spans="4:15" x14ac:dyDescent="0.35">
      <c r="N18" s="1">
        <f t="shared" si="1"/>
        <v>191.733</v>
      </c>
      <c r="O18" s="1">
        <f t="shared" si="0"/>
        <v>-577.24525770193804</v>
      </c>
    </row>
    <row r="19" spans="4:15" x14ac:dyDescent="0.35">
      <c r="N19" s="1">
        <f t="shared" si="1"/>
        <v>192.733</v>
      </c>
      <c r="O19" s="1">
        <f t="shared" si="0"/>
        <v>-677.24525770193804</v>
      </c>
    </row>
    <row r="20" spans="4:15" x14ac:dyDescent="0.35">
      <c r="N20" s="1">
        <f t="shared" si="1"/>
        <v>193.733</v>
      </c>
      <c r="O20" s="1">
        <f t="shared" si="0"/>
        <v>-777.24525770193804</v>
      </c>
    </row>
    <row r="21" spans="4:15" x14ac:dyDescent="0.35">
      <c r="N21" s="1">
        <f t="shared" si="1"/>
        <v>194.733</v>
      </c>
      <c r="O21" s="1">
        <f t="shared" si="0"/>
        <v>-877.24525770193804</v>
      </c>
    </row>
    <row r="22" spans="4:15" x14ac:dyDescent="0.35">
      <c r="N22" s="1">
        <f t="shared" si="1"/>
        <v>195.733</v>
      </c>
      <c r="O22" s="1">
        <f t="shared" si="0"/>
        <v>-977.24525770193804</v>
      </c>
    </row>
    <row r="23" spans="4:15" x14ac:dyDescent="0.35">
      <c r="N23" s="1">
        <f t="shared" si="1"/>
        <v>196.733</v>
      </c>
      <c r="O23" s="1">
        <f t="shared" si="0"/>
        <v>-1077.245257701938</v>
      </c>
    </row>
    <row r="24" spans="4:15" x14ac:dyDescent="0.35">
      <c r="N24" s="1">
        <f t="shared" si="1"/>
        <v>197.733</v>
      </c>
      <c r="O24" s="1">
        <f t="shared" si="0"/>
        <v>-1130.6452577019372</v>
      </c>
    </row>
    <row r="25" spans="4:15" x14ac:dyDescent="0.35">
      <c r="N25" s="1">
        <f t="shared" si="1"/>
        <v>198.733</v>
      </c>
      <c r="O25" s="1">
        <f t="shared" si="0"/>
        <v>-1030.6452577019372</v>
      </c>
    </row>
    <row r="26" spans="4:15" x14ac:dyDescent="0.35">
      <c r="N26" s="1">
        <f t="shared" si="1"/>
        <v>199.733</v>
      </c>
      <c r="O26" s="1">
        <f t="shared" si="0"/>
        <v>-930.64525770193723</v>
      </c>
    </row>
    <row r="27" spans="4:15" x14ac:dyDescent="0.35">
      <c r="N27" s="1">
        <f t="shared" si="1"/>
        <v>200.733</v>
      </c>
      <c r="O27" s="1">
        <f t="shared" si="0"/>
        <v>-830.64525770193723</v>
      </c>
    </row>
    <row r="28" spans="4:15" x14ac:dyDescent="0.35">
      <c r="D28" s="3" t="s">
        <v>75</v>
      </c>
      <c r="G28" s="3" t="s">
        <v>22</v>
      </c>
      <c r="I28" s="3" t="s">
        <v>24</v>
      </c>
      <c r="N28" s="1">
        <f t="shared" si="1"/>
        <v>201.733</v>
      </c>
      <c r="O28" s="1">
        <f t="shared" si="0"/>
        <v>-730.64525770193723</v>
      </c>
    </row>
    <row r="29" spans="4:15" x14ac:dyDescent="0.35">
      <c r="D29" s="14">
        <f>LongStraddle_StrikePrice-(LongStraddle_CallPrice+LongStraddle_PutPrice)</f>
        <v>185.96054742298062</v>
      </c>
      <c r="E29" s="14">
        <f>LongStraddle_StrikePrice+(LongStraddle_CallPrice+LongStraddle_PutPrice)</f>
        <v>209.03945257701938</v>
      </c>
      <c r="G29" t="s">
        <v>23</v>
      </c>
      <c r="I29" t="s">
        <v>25</v>
      </c>
      <c r="N29" s="1">
        <f t="shared" si="1"/>
        <v>202.733</v>
      </c>
      <c r="O29" s="1">
        <f t="shared" si="0"/>
        <v>-630.64525770193723</v>
      </c>
    </row>
    <row r="30" spans="4:15" x14ac:dyDescent="0.35">
      <c r="N30" s="1">
        <f t="shared" si="1"/>
        <v>203.733</v>
      </c>
      <c r="O30" s="1">
        <f t="shared" si="0"/>
        <v>-530.64525770193723</v>
      </c>
    </row>
    <row r="31" spans="4:15" x14ac:dyDescent="0.35">
      <c r="N31" s="1">
        <f t="shared" si="1"/>
        <v>204.733</v>
      </c>
      <c r="O31" s="1">
        <f t="shared" si="0"/>
        <v>-430.64525770193723</v>
      </c>
    </row>
    <row r="32" spans="4:15" x14ac:dyDescent="0.35">
      <c r="N32" s="1">
        <f t="shared" si="1"/>
        <v>205.733</v>
      </c>
      <c r="O32" s="1">
        <f t="shared" si="0"/>
        <v>-330.64525770193723</v>
      </c>
    </row>
    <row r="33" spans="1:32" x14ac:dyDescent="0.35">
      <c r="N33" s="1">
        <f t="shared" si="1"/>
        <v>206.733</v>
      </c>
      <c r="O33" s="1">
        <f t="shared" si="0"/>
        <v>-230.64525770193723</v>
      </c>
    </row>
    <row r="34" spans="1:32" x14ac:dyDescent="0.35">
      <c r="N34" s="1">
        <f t="shared" si="1"/>
        <v>207.733</v>
      </c>
      <c r="O34" s="1">
        <f t="shared" si="0"/>
        <v>-130.64525770193723</v>
      </c>
    </row>
    <row r="35" spans="1:32" x14ac:dyDescent="0.35">
      <c r="N35" s="1">
        <f t="shared" si="1"/>
        <v>208.733</v>
      </c>
      <c r="O35" s="1">
        <f t="shared" si="0"/>
        <v>-30.645257701937226</v>
      </c>
    </row>
    <row r="36" spans="1:32" x14ac:dyDescent="0.35">
      <c r="N36" s="1">
        <f t="shared" si="1"/>
        <v>209.733</v>
      </c>
      <c r="O36" s="1">
        <f t="shared" si="0"/>
        <v>69.354742298062774</v>
      </c>
    </row>
    <row r="37" spans="1:32" x14ac:dyDescent="0.35">
      <c r="N37" s="1">
        <f t="shared" si="1"/>
        <v>210.733</v>
      </c>
      <c r="O37" s="1">
        <f t="shared" si="0"/>
        <v>169.35474229806277</v>
      </c>
    </row>
    <row r="38" spans="1:32" x14ac:dyDescent="0.35">
      <c r="N38" s="1">
        <f t="shared" si="1"/>
        <v>211.733</v>
      </c>
      <c r="O38" s="1">
        <f t="shared" si="0"/>
        <v>269.35474229806277</v>
      </c>
    </row>
    <row r="39" spans="1:32" x14ac:dyDescent="0.35">
      <c r="N39" s="1">
        <f t="shared" si="1"/>
        <v>212.733</v>
      </c>
      <c r="O39" s="1">
        <f t="shared" si="0"/>
        <v>369.35474229806277</v>
      </c>
    </row>
    <row r="40" spans="1:32" x14ac:dyDescent="0.35">
      <c r="N40" s="1">
        <f t="shared" si="1"/>
        <v>213.733</v>
      </c>
      <c r="O40" s="1">
        <f t="shared" si="0"/>
        <v>469.35474229806277</v>
      </c>
    </row>
    <row r="43" spans="1:32" x14ac:dyDescent="0.35">
      <c r="A43" t="s">
        <v>3</v>
      </c>
      <c r="B43" t="s">
        <v>4</v>
      </c>
      <c r="C43" t="s">
        <v>26</v>
      </c>
      <c r="D43" t="s">
        <v>5</v>
      </c>
      <c r="E43" t="s">
        <v>27</v>
      </c>
      <c r="F43" t="s">
        <v>28</v>
      </c>
      <c r="G43" t="s">
        <v>29</v>
      </c>
      <c r="H43" t="s">
        <v>30</v>
      </c>
      <c r="I43" t="s">
        <v>31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 t="s">
        <v>37</v>
      </c>
      <c r="P43" t="s">
        <v>38</v>
      </c>
      <c r="Q43" t="s">
        <v>40</v>
      </c>
      <c r="R43" t="s">
        <v>39</v>
      </c>
      <c r="S43" t="s">
        <v>41</v>
      </c>
      <c r="T43" t="s">
        <v>42</v>
      </c>
      <c r="U43" s="9" t="s">
        <v>43</v>
      </c>
      <c r="V43" t="s">
        <v>44</v>
      </c>
      <c r="W43" t="s">
        <v>45</v>
      </c>
      <c r="X43" t="s">
        <v>46</v>
      </c>
      <c r="Y43" t="s">
        <v>47</v>
      </c>
      <c r="Z43" t="s">
        <v>48</v>
      </c>
      <c r="AA43" s="9" t="s">
        <v>10</v>
      </c>
      <c r="AB43" t="s">
        <v>49</v>
      </c>
      <c r="AC43" t="s">
        <v>50</v>
      </c>
      <c r="AD43" t="s">
        <v>51</v>
      </c>
      <c r="AE43" t="s">
        <v>52</v>
      </c>
      <c r="AF43" t="s">
        <v>53</v>
      </c>
    </row>
    <row r="44" spans="1:32" x14ac:dyDescent="0.35">
      <c r="A44" s="2">
        <f>B7</f>
        <v>196.37</v>
      </c>
      <c r="B44" s="7">
        <f>B8</f>
        <v>197.5</v>
      </c>
      <c r="C44" s="8">
        <f>B9</f>
        <v>0.35</v>
      </c>
      <c r="D44" s="8">
        <f>B10</f>
        <v>0.01</v>
      </c>
      <c r="E44" s="8">
        <f>B11</f>
        <v>0</v>
      </c>
      <c r="F44" s="7">
        <f>B12</f>
        <v>16</v>
      </c>
      <c r="G44" s="5">
        <f>F44/365</f>
        <v>4.3835616438356165E-2</v>
      </c>
      <c r="H44" s="6">
        <f>LN(A44/B44)</f>
        <v>-5.737949579037665E-3</v>
      </c>
      <c r="I44" s="6">
        <f>(D44-E44+POWER(C44,2)/2)*G44</f>
        <v>3.1232876712328763E-3</v>
      </c>
      <c r="J44" s="6">
        <f>C44*SQRT(G44)</f>
        <v>7.3279349162629917E-2</v>
      </c>
      <c r="K44" s="6">
        <f>(H44+I44)/J44</f>
        <v>-3.5680746863649561E-2</v>
      </c>
      <c r="L44" s="6">
        <f>K44-J44</f>
        <v>-0.10896009602627948</v>
      </c>
      <c r="M44" s="6">
        <f>_xlfn.NORM.DIST(K44,0,1,TRUE)</f>
        <v>0.48576846127639883</v>
      </c>
      <c r="N44" s="6">
        <f>_xlfn.NORM.DIST(-K44,0,1,TRUE)</f>
        <v>0.51423153872360117</v>
      </c>
      <c r="O44" s="6">
        <f>_xlfn.NORM.DIST(L44,0,1,TRUE)</f>
        <v>0.45661707029584492</v>
      </c>
      <c r="P44" s="6">
        <f>_xlfn.NORM.DIST(-L44,0,1,TRUE)</f>
        <v>0.54338292970415503</v>
      </c>
      <c r="Q44" s="6">
        <f>EXP(-D44*G44)</f>
        <v>0.99956173989964259</v>
      </c>
      <c r="R44">
        <f>B44*Q44</f>
        <v>197.41344363017942</v>
      </c>
      <c r="S44">
        <f>EXP(-E44*G44)</f>
        <v>1</v>
      </c>
      <c r="T44">
        <f>A44*S44</f>
        <v>196.37</v>
      </c>
      <c r="U44" s="9">
        <f>T44*M44-R44*O44</f>
        <v>5.2480044734199822</v>
      </c>
      <c r="V44" s="6">
        <f>M44*S44</f>
        <v>0.48576846127639883</v>
      </c>
      <c r="W44" s="6">
        <f>EXP(-1*POWER(K44,2)/2)/SQRT(2*PI())*S44/(A44*J44)</f>
        <v>2.7706193862366776E-2</v>
      </c>
      <c r="X44">
        <f>(-(A44*EXP(-1*POWER(K44,2)/2)/SQRT(2*PI())*C44*S44/(2*SQRT(G44)))-(D44*R44*O44)+(E44*A44*M44*S44))/365</f>
        <v>-0.18175317630482182</v>
      </c>
      <c r="Y44" s="6">
        <f>EXP(-1*POWER(K44,2)/2)/SQRT(2*PI())*S44*A44*SQRT(G44)/100</f>
        <v>0.16391636381954927</v>
      </c>
      <c r="Z44" s="6">
        <f>B44*G44*Q44*O44/100</f>
        <v>3.9514454035036256E-2</v>
      </c>
      <c r="AA44" s="9">
        <f>R44*P44-T44*N44</f>
        <v>6.291448103599393</v>
      </c>
      <c r="AB44">
        <f>S44*(M44-1)</f>
        <v>-0.51423153872360117</v>
      </c>
      <c r="AC44" s="6">
        <f>EXP(-1*POWER(K44,2)/2)/SQRT(2*PI())*S44/(A44*J44)</f>
        <v>2.7706193862366776E-2</v>
      </c>
      <c r="AD44" s="6">
        <f>(-(A44*EXP(-1*POWER(K44,2)/2)/SQRT(2*PI())*C44*S44/(2*SQRT(G44)))+(D44*R44*P44)-(E44*A44*N44*S44))/365</f>
        <v>-0.17634458880810455</v>
      </c>
      <c r="AE44" s="6">
        <f>EXP(-1*POWER(K44,2)/2)/SQRT(2*PI())*S44*A44*SQRT(G44)/100</f>
        <v>0.16391636381954927</v>
      </c>
      <c r="AF44" s="6">
        <f>-B44*G44*Q44*P44/100</f>
        <v>-4.7022945912439648E-2</v>
      </c>
    </row>
  </sheetData>
  <mergeCells count="3">
    <mergeCell ref="A1:P1"/>
    <mergeCell ref="A6:B6"/>
    <mergeCell ref="D7:K7"/>
  </mergeCells>
  <conditionalFormatting sqref="O3:O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{CD87F99E-6870-4BA8-9CA7-A1EC4C097868}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87F99E-6870-4BA8-9CA7-A1EC4C0978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8F6C-F659-4FA2-853E-FC6064990820}">
  <dimension ref="A1:AF44"/>
  <sheetViews>
    <sheetView workbookViewId="0">
      <selection activeCell="D29" sqref="D29"/>
    </sheetView>
  </sheetViews>
  <sheetFormatPr defaultRowHeight="14.5" x14ac:dyDescent="0.35"/>
  <cols>
    <col min="1" max="1" width="16.6328125" bestFit="1" customWidth="1"/>
    <col min="3" max="3" width="4.1796875" customWidth="1"/>
    <col min="4" max="4" width="9.6328125" bestFit="1" customWidth="1"/>
    <col min="6" max="6" width="3.81640625" customWidth="1"/>
    <col min="14" max="14" width="10.453125" bestFit="1" customWidth="1"/>
    <col min="15" max="15" width="11.26953125" customWidth="1"/>
  </cols>
  <sheetData>
    <row r="1" spans="1:16" x14ac:dyDescent="0.35">
      <c r="A1" s="28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35">
      <c r="B2" s="3"/>
      <c r="C2" s="3"/>
      <c r="D2" s="3"/>
      <c r="E2" s="3"/>
      <c r="F2" s="3"/>
      <c r="G2" s="3"/>
      <c r="H2" s="3"/>
      <c r="I2" s="3"/>
      <c r="J2" s="3"/>
      <c r="K2" s="3"/>
      <c r="N2" s="4" t="s">
        <v>6</v>
      </c>
      <c r="O2" s="3" t="s">
        <v>20</v>
      </c>
    </row>
    <row r="3" spans="1:16" x14ac:dyDescent="0.35">
      <c r="A3" s="3" t="s">
        <v>69</v>
      </c>
      <c r="B3" s="3" t="s">
        <v>16</v>
      </c>
      <c r="N3" s="1">
        <f>B7*(1-0.1)</f>
        <v>176.733</v>
      </c>
      <c r="O3" s="1">
        <f t="shared" ref="O3:O40" si="0">IF(N3&lt;=ShortStraddle_StrikePrice,-100*(ShortStraddle_StrikePrice-N3)+(ShortStraddle_CallPrice*100+ShortStraddle_PutPrice*100),-100*(-ShortStraddle_StrikePrice+N3)+(ShortStraddle_CallPrice*100+ShortStraddle_PutPrice*100))</f>
        <v>-922.75474229806218</v>
      </c>
    </row>
    <row r="4" spans="1:16" x14ac:dyDescent="0.35">
      <c r="A4" s="3" t="s">
        <v>0</v>
      </c>
      <c r="B4" s="3" t="s">
        <v>1</v>
      </c>
      <c r="N4" s="1">
        <f>N3+1</f>
        <v>177.733</v>
      </c>
      <c r="O4" s="1">
        <f t="shared" si="0"/>
        <v>-822.75474229806196</v>
      </c>
    </row>
    <row r="5" spans="1:16" x14ac:dyDescent="0.35">
      <c r="N5" s="1">
        <f t="shared" ref="N5:N40" si="1">N4+1</f>
        <v>178.733</v>
      </c>
      <c r="O5" s="1">
        <f t="shared" si="0"/>
        <v>-722.75474229806196</v>
      </c>
    </row>
    <row r="6" spans="1:16" ht="15" thickBot="1" x14ac:dyDescent="0.4">
      <c r="A6" s="28" t="s">
        <v>66</v>
      </c>
      <c r="B6" s="28"/>
      <c r="N6" s="1">
        <f t="shared" si="1"/>
        <v>179.733</v>
      </c>
      <c r="O6" s="1">
        <f t="shared" si="0"/>
        <v>-622.75474229806196</v>
      </c>
    </row>
    <row r="7" spans="1:16" ht="15" thickBot="1" x14ac:dyDescent="0.4">
      <c r="A7" s="3" t="s">
        <v>54</v>
      </c>
      <c r="B7" s="10">
        <v>196.37</v>
      </c>
      <c r="D7" s="25" t="s">
        <v>67</v>
      </c>
      <c r="E7" s="26"/>
      <c r="F7" s="26"/>
      <c r="G7" s="26"/>
      <c r="H7" s="26"/>
      <c r="I7" s="26"/>
      <c r="J7" s="26"/>
      <c r="K7" s="27"/>
      <c r="N7" s="1">
        <f t="shared" si="1"/>
        <v>180.733</v>
      </c>
      <c r="O7" s="1">
        <f t="shared" si="0"/>
        <v>-522.75474229806196</v>
      </c>
    </row>
    <row r="8" spans="1:16" x14ac:dyDescent="0.35">
      <c r="A8" s="3" t="s">
        <v>2</v>
      </c>
      <c r="B8" s="10">
        <v>197.5</v>
      </c>
      <c r="D8" s="15"/>
      <c r="E8" s="3" t="s">
        <v>14</v>
      </c>
      <c r="F8" s="3"/>
      <c r="G8" s="3" t="s">
        <v>61</v>
      </c>
      <c r="H8" s="3" t="s">
        <v>62</v>
      </c>
      <c r="I8" s="3" t="s">
        <v>63</v>
      </c>
      <c r="J8" s="3" t="s">
        <v>64</v>
      </c>
      <c r="K8" s="16" t="s">
        <v>65</v>
      </c>
      <c r="N8" s="1">
        <f t="shared" si="1"/>
        <v>181.733</v>
      </c>
      <c r="O8" s="1">
        <f t="shared" si="0"/>
        <v>-422.75474229806196</v>
      </c>
    </row>
    <row r="9" spans="1:16" x14ac:dyDescent="0.35">
      <c r="A9" s="3" t="s">
        <v>55</v>
      </c>
      <c r="B9" s="11">
        <v>0.35</v>
      </c>
      <c r="D9" s="17" t="s">
        <v>59</v>
      </c>
      <c r="E9" s="18">
        <f>U44</f>
        <v>5.2480044734199822</v>
      </c>
      <c r="G9" s="13">
        <f>V44</f>
        <v>0.48576846127639883</v>
      </c>
      <c r="H9" s="13">
        <f>W44</f>
        <v>2.7706193862366776E-2</v>
      </c>
      <c r="I9" s="13">
        <f>X44</f>
        <v>-0.18175317630482182</v>
      </c>
      <c r="J9" s="13">
        <f>Y44</f>
        <v>0.16391636381954927</v>
      </c>
      <c r="K9" s="19">
        <f>Z44</f>
        <v>3.9514454035036256E-2</v>
      </c>
      <c r="N9" s="1">
        <f t="shared" si="1"/>
        <v>182.733</v>
      </c>
      <c r="O9" s="1">
        <f t="shared" si="0"/>
        <v>-322.75474229806196</v>
      </c>
    </row>
    <row r="10" spans="1:16" ht="15" thickBot="1" x14ac:dyDescent="0.4">
      <c r="A10" s="3" t="s">
        <v>56</v>
      </c>
      <c r="B10" s="11">
        <v>0.01</v>
      </c>
      <c r="D10" s="20" t="s">
        <v>60</v>
      </c>
      <c r="E10" s="21">
        <f>AA44</f>
        <v>6.291448103599393</v>
      </c>
      <c r="F10" s="22"/>
      <c r="G10" s="23">
        <f>AB44</f>
        <v>-0.51423153872360117</v>
      </c>
      <c r="H10" s="23">
        <f>AC44</f>
        <v>2.7706193862366776E-2</v>
      </c>
      <c r="I10" s="23">
        <f>AD44</f>
        <v>-0.17634458880810455</v>
      </c>
      <c r="J10" s="23">
        <f>AE44</f>
        <v>0.16391636381954927</v>
      </c>
      <c r="K10" s="24">
        <f>AF44</f>
        <v>-4.7022945912439648E-2</v>
      </c>
      <c r="N10" s="1">
        <f t="shared" si="1"/>
        <v>183.733</v>
      </c>
      <c r="O10" s="1">
        <f t="shared" si="0"/>
        <v>-222.75474229806196</v>
      </c>
    </row>
    <row r="11" spans="1:16" x14ac:dyDescent="0.35">
      <c r="A11" s="3" t="s">
        <v>57</v>
      </c>
      <c r="B11" s="11">
        <v>0</v>
      </c>
      <c r="N11" s="1">
        <f t="shared" si="1"/>
        <v>184.733</v>
      </c>
      <c r="O11" s="1">
        <f t="shared" si="0"/>
        <v>-122.75474229806196</v>
      </c>
    </row>
    <row r="12" spans="1:16" x14ac:dyDescent="0.35">
      <c r="A12" s="3" t="s">
        <v>58</v>
      </c>
      <c r="B12" s="12">
        <v>16</v>
      </c>
      <c r="N12" s="1">
        <f t="shared" si="1"/>
        <v>185.733</v>
      </c>
      <c r="O12" s="1">
        <f t="shared" si="0"/>
        <v>-22.754742298061956</v>
      </c>
    </row>
    <row r="13" spans="1:16" x14ac:dyDescent="0.35">
      <c r="N13" s="1">
        <f t="shared" si="1"/>
        <v>186.733</v>
      </c>
      <c r="O13" s="1">
        <f t="shared" si="0"/>
        <v>77.245257701938044</v>
      </c>
    </row>
    <row r="14" spans="1:16" x14ac:dyDescent="0.35">
      <c r="N14" s="1">
        <f t="shared" si="1"/>
        <v>187.733</v>
      </c>
      <c r="O14" s="1">
        <f t="shared" si="0"/>
        <v>177.24525770193804</v>
      </c>
    </row>
    <row r="15" spans="1:16" x14ac:dyDescent="0.35">
      <c r="N15" s="1">
        <f t="shared" si="1"/>
        <v>188.733</v>
      </c>
      <c r="O15" s="1">
        <f t="shared" si="0"/>
        <v>277.24525770193804</v>
      </c>
    </row>
    <row r="16" spans="1:16" x14ac:dyDescent="0.35">
      <c r="N16" s="1">
        <f t="shared" si="1"/>
        <v>189.733</v>
      </c>
      <c r="O16" s="1">
        <f t="shared" si="0"/>
        <v>377.24525770193804</v>
      </c>
    </row>
    <row r="17" spans="1:15" x14ac:dyDescent="0.35">
      <c r="N17" s="1">
        <f t="shared" si="1"/>
        <v>190.733</v>
      </c>
      <c r="O17" s="1">
        <f t="shared" si="0"/>
        <v>477.24525770193804</v>
      </c>
    </row>
    <row r="18" spans="1:15" x14ac:dyDescent="0.35">
      <c r="N18" s="1">
        <f t="shared" si="1"/>
        <v>191.733</v>
      </c>
      <c r="O18" s="1">
        <f t="shared" si="0"/>
        <v>577.24525770193804</v>
      </c>
    </row>
    <row r="19" spans="1:15" x14ac:dyDescent="0.35">
      <c r="N19" s="1">
        <f t="shared" si="1"/>
        <v>192.733</v>
      </c>
      <c r="O19" s="1">
        <f t="shared" si="0"/>
        <v>677.24525770193804</v>
      </c>
    </row>
    <row r="20" spans="1:15" x14ac:dyDescent="0.35">
      <c r="N20" s="1">
        <f t="shared" si="1"/>
        <v>193.733</v>
      </c>
      <c r="O20" s="1">
        <f t="shared" si="0"/>
        <v>777.24525770193804</v>
      </c>
    </row>
    <row r="21" spans="1:15" x14ac:dyDescent="0.35">
      <c r="N21" s="1">
        <f t="shared" si="1"/>
        <v>194.733</v>
      </c>
      <c r="O21" s="1">
        <f t="shared" si="0"/>
        <v>877.24525770193804</v>
      </c>
    </row>
    <row r="22" spans="1:15" x14ac:dyDescent="0.35">
      <c r="N22" s="1">
        <f t="shared" si="1"/>
        <v>195.733</v>
      </c>
      <c r="O22" s="1">
        <f t="shared" si="0"/>
        <v>977.24525770193804</v>
      </c>
    </row>
    <row r="23" spans="1:15" x14ac:dyDescent="0.35">
      <c r="N23" s="1">
        <f t="shared" si="1"/>
        <v>196.733</v>
      </c>
      <c r="O23" s="1">
        <f t="shared" si="0"/>
        <v>1077.245257701938</v>
      </c>
    </row>
    <row r="24" spans="1:15" x14ac:dyDescent="0.35">
      <c r="N24" s="1">
        <f t="shared" si="1"/>
        <v>197.733</v>
      </c>
      <c r="O24" s="1">
        <f t="shared" si="0"/>
        <v>1130.6452577019372</v>
      </c>
    </row>
    <row r="25" spans="1:15" x14ac:dyDescent="0.35">
      <c r="N25" s="1">
        <f t="shared" si="1"/>
        <v>198.733</v>
      </c>
      <c r="O25" s="1">
        <f t="shared" si="0"/>
        <v>1030.6452577019372</v>
      </c>
    </row>
    <row r="26" spans="1:15" x14ac:dyDescent="0.35">
      <c r="N26" s="1">
        <f t="shared" si="1"/>
        <v>199.733</v>
      </c>
      <c r="O26" s="1">
        <f t="shared" si="0"/>
        <v>930.64525770193723</v>
      </c>
    </row>
    <row r="27" spans="1:15" x14ac:dyDescent="0.35">
      <c r="N27" s="1">
        <f t="shared" si="1"/>
        <v>200.733</v>
      </c>
      <c r="O27" s="1">
        <f t="shared" si="0"/>
        <v>830.64525770193723</v>
      </c>
    </row>
    <row r="28" spans="1:15" x14ac:dyDescent="0.35">
      <c r="D28" s="3" t="s">
        <v>77</v>
      </c>
      <c r="G28" s="3" t="s">
        <v>22</v>
      </c>
      <c r="I28" s="3" t="s">
        <v>24</v>
      </c>
      <c r="N28" s="1">
        <f t="shared" si="1"/>
        <v>201.733</v>
      </c>
      <c r="O28" s="1">
        <f t="shared" si="0"/>
        <v>730.64525770193723</v>
      </c>
    </row>
    <row r="29" spans="1:15" x14ac:dyDescent="0.35">
      <c r="D29" s="14">
        <f>ShortStraddle_StrikePrice-(ShortStraddle_CallPrice+ShortStraddle_PutPrice)</f>
        <v>185.96054742298062</v>
      </c>
      <c r="E29" s="14">
        <f>ShortStraddle_StrikePrice+(ShortStraddle_CallPrice+ShortStraddle_PutPrice)</f>
        <v>209.03945257701938</v>
      </c>
      <c r="G29" t="s">
        <v>74</v>
      </c>
      <c r="I29" t="s">
        <v>73</v>
      </c>
      <c r="N29" s="1">
        <f t="shared" si="1"/>
        <v>202.733</v>
      </c>
      <c r="O29" s="1">
        <f t="shared" si="0"/>
        <v>630.64525770193723</v>
      </c>
    </row>
    <row r="30" spans="1:15" x14ac:dyDescent="0.35">
      <c r="N30" s="1">
        <f t="shared" si="1"/>
        <v>203.733</v>
      </c>
      <c r="O30" s="1">
        <f t="shared" si="0"/>
        <v>530.64525770193723</v>
      </c>
    </row>
    <row r="31" spans="1:15" x14ac:dyDescent="0.35">
      <c r="A31" t="s">
        <v>76</v>
      </c>
      <c r="N31" s="1">
        <f t="shared" si="1"/>
        <v>204.733</v>
      </c>
      <c r="O31" s="1">
        <f t="shared" si="0"/>
        <v>430.64525770193723</v>
      </c>
    </row>
    <row r="32" spans="1:15" x14ac:dyDescent="0.35">
      <c r="N32" s="1">
        <f t="shared" si="1"/>
        <v>205.733</v>
      </c>
      <c r="O32" s="1">
        <f t="shared" si="0"/>
        <v>330.64525770193723</v>
      </c>
    </row>
    <row r="33" spans="1:32" x14ac:dyDescent="0.35">
      <c r="N33" s="1">
        <f t="shared" si="1"/>
        <v>206.733</v>
      </c>
      <c r="O33" s="1">
        <f t="shared" si="0"/>
        <v>230.64525770193723</v>
      </c>
    </row>
    <row r="34" spans="1:32" x14ac:dyDescent="0.35">
      <c r="N34" s="1">
        <f t="shared" si="1"/>
        <v>207.733</v>
      </c>
      <c r="O34" s="1">
        <f t="shared" si="0"/>
        <v>130.64525770193723</v>
      </c>
    </row>
    <row r="35" spans="1:32" x14ac:dyDescent="0.35">
      <c r="N35" s="1">
        <f t="shared" si="1"/>
        <v>208.733</v>
      </c>
      <c r="O35" s="1">
        <f t="shared" si="0"/>
        <v>30.645257701937226</v>
      </c>
    </row>
    <row r="36" spans="1:32" x14ac:dyDescent="0.35">
      <c r="N36" s="1">
        <f t="shared" si="1"/>
        <v>209.733</v>
      </c>
      <c r="O36" s="1">
        <f t="shared" si="0"/>
        <v>-69.354742298062774</v>
      </c>
    </row>
    <row r="37" spans="1:32" x14ac:dyDescent="0.35">
      <c r="N37" s="1">
        <f t="shared" si="1"/>
        <v>210.733</v>
      </c>
      <c r="O37" s="1">
        <f t="shared" si="0"/>
        <v>-169.35474229806277</v>
      </c>
    </row>
    <row r="38" spans="1:32" x14ac:dyDescent="0.35">
      <c r="N38" s="1">
        <f t="shared" si="1"/>
        <v>211.733</v>
      </c>
      <c r="O38" s="1">
        <f t="shared" si="0"/>
        <v>-269.35474229806277</v>
      </c>
    </row>
    <row r="39" spans="1:32" x14ac:dyDescent="0.35">
      <c r="N39" s="1">
        <f t="shared" si="1"/>
        <v>212.733</v>
      </c>
      <c r="O39" s="1">
        <f t="shared" si="0"/>
        <v>-369.35474229806277</v>
      </c>
    </row>
    <row r="40" spans="1:32" x14ac:dyDescent="0.35">
      <c r="N40" s="1">
        <f t="shared" si="1"/>
        <v>213.733</v>
      </c>
      <c r="O40" s="1">
        <f t="shared" si="0"/>
        <v>-469.35474229806277</v>
      </c>
    </row>
    <row r="43" spans="1:32" x14ac:dyDescent="0.35">
      <c r="A43" t="s">
        <v>3</v>
      </c>
      <c r="B43" t="s">
        <v>4</v>
      </c>
      <c r="C43" t="s">
        <v>26</v>
      </c>
      <c r="D43" t="s">
        <v>5</v>
      </c>
      <c r="E43" t="s">
        <v>27</v>
      </c>
      <c r="F43" t="s">
        <v>28</v>
      </c>
      <c r="G43" t="s">
        <v>29</v>
      </c>
      <c r="H43" t="s">
        <v>30</v>
      </c>
      <c r="I43" t="s">
        <v>31</v>
      </c>
      <c r="J43" t="s">
        <v>32</v>
      </c>
      <c r="K43" t="s">
        <v>33</v>
      </c>
      <c r="L43" t="s">
        <v>34</v>
      </c>
      <c r="M43" t="s">
        <v>35</v>
      </c>
      <c r="N43" t="s">
        <v>36</v>
      </c>
      <c r="O43" t="s">
        <v>37</v>
      </c>
      <c r="P43" t="s">
        <v>38</v>
      </c>
      <c r="Q43" t="s">
        <v>40</v>
      </c>
      <c r="R43" t="s">
        <v>39</v>
      </c>
      <c r="S43" t="s">
        <v>41</v>
      </c>
      <c r="T43" t="s">
        <v>42</v>
      </c>
      <c r="U43" s="9" t="s">
        <v>43</v>
      </c>
      <c r="V43" t="s">
        <v>44</v>
      </c>
      <c r="W43" t="s">
        <v>45</v>
      </c>
      <c r="X43" t="s">
        <v>46</v>
      </c>
      <c r="Y43" t="s">
        <v>47</v>
      </c>
      <c r="Z43" t="s">
        <v>48</v>
      </c>
      <c r="AA43" s="9" t="s">
        <v>10</v>
      </c>
      <c r="AB43" t="s">
        <v>49</v>
      </c>
      <c r="AC43" t="s">
        <v>50</v>
      </c>
      <c r="AD43" t="s">
        <v>51</v>
      </c>
      <c r="AE43" t="s">
        <v>52</v>
      </c>
      <c r="AF43" t="s">
        <v>53</v>
      </c>
    </row>
    <row r="44" spans="1:32" x14ac:dyDescent="0.35">
      <c r="A44" s="2">
        <f>B7</f>
        <v>196.37</v>
      </c>
      <c r="B44" s="7">
        <f>B8</f>
        <v>197.5</v>
      </c>
      <c r="C44" s="8">
        <f>B9</f>
        <v>0.35</v>
      </c>
      <c r="D44" s="8">
        <f>B10</f>
        <v>0.01</v>
      </c>
      <c r="E44" s="8">
        <f>B11</f>
        <v>0</v>
      </c>
      <c r="F44" s="7">
        <f>B12</f>
        <v>16</v>
      </c>
      <c r="G44" s="5">
        <f>F44/365</f>
        <v>4.3835616438356165E-2</v>
      </c>
      <c r="H44" s="6">
        <f>LN(A44/B44)</f>
        <v>-5.737949579037665E-3</v>
      </c>
      <c r="I44" s="6">
        <f>(D44-E44+POWER(C44,2)/2)*G44</f>
        <v>3.1232876712328763E-3</v>
      </c>
      <c r="J44" s="6">
        <f>C44*SQRT(G44)</f>
        <v>7.3279349162629917E-2</v>
      </c>
      <c r="K44" s="6">
        <f>(H44+I44)/J44</f>
        <v>-3.5680746863649561E-2</v>
      </c>
      <c r="L44" s="6">
        <f>K44-J44</f>
        <v>-0.10896009602627948</v>
      </c>
      <c r="M44" s="6">
        <f>_xlfn.NORM.DIST(K44,0,1,TRUE)</f>
        <v>0.48576846127639883</v>
      </c>
      <c r="N44" s="6">
        <f>_xlfn.NORM.DIST(-K44,0,1,TRUE)</f>
        <v>0.51423153872360117</v>
      </c>
      <c r="O44" s="6">
        <f>_xlfn.NORM.DIST(L44,0,1,TRUE)</f>
        <v>0.45661707029584492</v>
      </c>
      <c r="P44" s="6">
        <f>_xlfn.NORM.DIST(-L44,0,1,TRUE)</f>
        <v>0.54338292970415503</v>
      </c>
      <c r="Q44" s="6">
        <f>EXP(-D44*G44)</f>
        <v>0.99956173989964259</v>
      </c>
      <c r="R44">
        <f>B44*Q44</f>
        <v>197.41344363017942</v>
      </c>
      <c r="S44">
        <f>EXP(-E44*G44)</f>
        <v>1</v>
      </c>
      <c r="T44">
        <f>A44*S44</f>
        <v>196.37</v>
      </c>
      <c r="U44" s="9">
        <f>T44*M44-R44*O44</f>
        <v>5.2480044734199822</v>
      </c>
      <c r="V44" s="6">
        <f>M44*S44</f>
        <v>0.48576846127639883</v>
      </c>
      <c r="W44" s="6">
        <f>EXP(-1*POWER(K44,2)/2)/SQRT(2*PI())*S44/(A44*J44)</f>
        <v>2.7706193862366776E-2</v>
      </c>
      <c r="X44">
        <f>(-(A44*EXP(-1*POWER(K44,2)/2)/SQRT(2*PI())*C44*S44/(2*SQRT(G44)))-(D44*R44*O44)+(E44*A44*M44*S44))/365</f>
        <v>-0.18175317630482182</v>
      </c>
      <c r="Y44" s="6">
        <f>EXP(-1*POWER(K44,2)/2)/SQRT(2*PI())*S44*A44*SQRT(G44)/100</f>
        <v>0.16391636381954927</v>
      </c>
      <c r="Z44" s="6">
        <f>B44*G44*Q44*O44/100</f>
        <v>3.9514454035036256E-2</v>
      </c>
      <c r="AA44" s="9">
        <f>R44*P44-T44*N44</f>
        <v>6.291448103599393</v>
      </c>
      <c r="AB44">
        <f>S44*(M44-1)</f>
        <v>-0.51423153872360117</v>
      </c>
      <c r="AC44" s="6">
        <f>EXP(-1*POWER(K44,2)/2)/SQRT(2*PI())*S44/(A44*J44)</f>
        <v>2.7706193862366776E-2</v>
      </c>
      <c r="AD44" s="6">
        <f>(-(A44*EXP(-1*POWER(K44,2)/2)/SQRT(2*PI())*C44*S44/(2*SQRT(G44)))+(D44*R44*P44)-(E44*A44*N44*S44))/365</f>
        <v>-0.17634458880810455</v>
      </c>
      <c r="AE44" s="6">
        <f>EXP(-1*POWER(K44,2)/2)/SQRT(2*PI())*S44*A44*SQRT(G44)/100</f>
        <v>0.16391636381954927</v>
      </c>
      <c r="AF44" s="6">
        <f>-B44*G44*Q44*P44/100</f>
        <v>-4.7022945912439648E-2</v>
      </c>
    </row>
  </sheetData>
  <mergeCells count="3">
    <mergeCell ref="A1:P1"/>
    <mergeCell ref="A6:B6"/>
    <mergeCell ref="D7:K7"/>
  </mergeCells>
  <conditionalFormatting sqref="O3:O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{303E125A-BA1D-4F83-A179-250C7C43929A}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3E125A-BA1D-4F83-A179-250C7C4392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BS-LongCall</vt:lpstr>
      <vt:lpstr>BS-ShortCall</vt:lpstr>
      <vt:lpstr>BS-LongPut</vt:lpstr>
      <vt:lpstr>BS-ShortPut</vt:lpstr>
      <vt:lpstr>BS-LongStraddle</vt:lpstr>
      <vt:lpstr>BS-ShortStraddle</vt:lpstr>
      <vt:lpstr>LongCall_CallPrice</vt:lpstr>
      <vt:lpstr>LongCall_PutPrice</vt:lpstr>
      <vt:lpstr>LongCall_StrikePrice</vt:lpstr>
      <vt:lpstr>LongPut_CallPrice</vt:lpstr>
      <vt:lpstr>LongPut_PutPrice</vt:lpstr>
      <vt:lpstr>LongPut_StrikePrice</vt:lpstr>
      <vt:lpstr>LongStraddle_CallPrice</vt:lpstr>
      <vt:lpstr>LongStraddle_PutPrice</vt:lpstr>
      <vt:lpstr>LongStraddle_StrikePrice</vt:lpstr>
      <vt:lpstr>ShortCall_CallPrice</vt:lpstr>
      <vt:lpstr>ShortCall_PutPrice</vt:lpstr>
      <vt:lpstr>ShortCall_StrikePrice</vt:lpstr>
      <vt:lpstr>ShortPut_CallPrice</vt:lpstr>
      <vt:lpstr>ShortPut_PutPrice</vt:lpstr>
      <vt:lpstr>ShortPut_StrikePrice</vt:lpstr>
      <vt:lpstr>ShortStraddle_CallPrice</vt:lpstr>
      <vt:lpstr>ShortStraddle_PutPrice</vt:lpstr>
      <vt:lpstr>ShortStraddle_StrikePrice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Shanker</dc:creator>
  <cp:lastModifiedBy>Prakhar Sreeguru</cp:lastModifiedBy>
  <dcterms:created xsi:type="dcterms:W3CDTF">2024-06-27T05:47:29Z</dcterms:created>
  <dcterms:modified xsi:type="dcterms:W3CDTF">2024-06-29T11:41:08Z</dcterms:modified>
</cp:coreProperties>
</file>