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visha\OneDrive\Documents\assignment\"/>
    </mc:Choice>
  </mc:AlternateContent>
  <xr:revisionPtr revIDLastSave="0" documentId="13_ncr:1_{EFC5B771-8C07-49A4-8916-7B6C74018CCD}" xr6:coauthVersionLast="47" xr6:coauthVersionMax="47" xr10:uidLastSave="{00000000-0000-0000-0000-000000000000}"/>
  <bookViews>
    <workbookView xWindow="-108" yWindow="-108" windowWidth="23256" windowHeight="12456" xr2:uid="{1A7FA7B7-3AF7-4152-A11C-268A7E4ABE35}"/>
  </bookViews>
  <sheets>
    <sheet name="Sheet1" sheetId="1" r:id="rId1"/>
  </sheets>
  <definedNames>
    <definedName name="_xlchart.v1.0" hidden="1">Sheet1!$D$378:$M$378</definedName>
    <definedName name="_xlchart.v1.1" hidden="1">Sheet1!$D$379:$M$379</definedName>
    <definedName name="_xlchart.v1.10" hidden="1">Sheet1!$D$336:$M$336</definedName>
    <definedName name="_xlchart.v1.11" hidden="1">Sheet1!$D$337:$M$337</definedName>
    <definedName name="_xlchart.v1.12" hidden="1">Sheet1!$D$338:$M$338</definedName>
    <definedName name="_xlchart.v1.13" hidden="1">Sheet1!$D$339:$M$339</definedName>
    <definedName name="_xlchart.v1.14" hidden="1">Sheet1!$D$340:$M$340</definedName>
    <definedName name="_xlchart.v1.15" hidden="1">Sheet1!$C$247</definedName>
    <definedName name="_xlchart.v1.16" hidden="1">Sheet1!$D$246:$K$246</definedName>
    <definedName name="_xlchart.v1.17" hidden="1">Sheet1!$D$247:$K$247</definedName>
    <definedName name="_xlchart.v1.18" hidden="1">Sheet1!$C$286:$M$286</definedName>
    <definedName name="_xlchart.v1.19" hidden="1">Sheet1!$C$287:$M$287</definedName>
    <definedName name="_xlchart.v1.2" hidden="1">Sheet1!$D$380:$M$380</definedName>
    <definedName name="_xlchart.v1.20" hidden="1">Sheet1!$C$288:$M$288</definedName>
    <definedName name="_xlchart.v1.21" hidden="1">Sheet1!$C$289:$M$289</definedName>
    <definedName name="_xlchart.v1.22" hidden="1">Sheet1!$C$290:$M$290</definedName>
    <definedName name="_xlchart.v1.23" hidden="1">Sheet1!$C$291:$M$291</definedName>
    <definedName name="_xlchart.v1.24" hidden="1">Sheet1!$C$292:$M$292</definedName>
    <definedName name="_xlchart.v1.25" hidden="1">Sheet1!$C$293:$M$293</definedName>
    <definedName name="_xlchart.v1.26" hidden="1">Sheet1!$C$294:$M$294</definedName>
    <definedName name="_xlchart.v1.27" hidden="1">Sheet1!$C$295:$M$295</definedName>
    <definedName name="_xlchart.v1.3" hidden="1">Sheet1!$D$381:$M$381</definedName>
    <definedName name="_xlchart.v1.4" hidden="1">Sheet1!$D$382:$M$382</definedName>
    <definedName name="_xlchart.v1.5" hidden="1">Sheet1!$D$383:$M$383</definedName>
    <definedName name="_xlchart.v1.6" hidden="1">Sheet1!$D$384:$M$384</definedName>
    <definedName name="_xlchart.v1.7" hidden="1">Sheet1!$D$385:$M$385</definedName>
    <definedName name="_xlchart.v1.8" hidden="1">Sheet1!$D$386:$M$386</definedName>
    <definedName name="_xlchart.v1.9" hidden="1">Sheet1!$D$387:$M$387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84" i="1" l="1"/>
  <c r="G884" i="1"/>
  <c r="G797" i="1"/>
  <c r="K682" i="1"/>
  <c r="J684" i="1"/>
  <c r="J683" i="1"/>
  <c r="J682" i="1"/>
  <c r="F682" i="1"/>
  <c r="F684" i="1"/>
  <c r="F683" i="1"/>
  <c r="K655" i="1"/>
  <c r="K654" i="1"/>
  <c r="K653" i="1"/>
  <c r="J655" i="1"/>
  <c r="J654" i="1"/>
  <c r="J653" i="1"/>
  <c r="G655" i="1"/>
  <c r="G654" i="1"/>
  <c r="G653" i="1"/>
  <c r="F655" i="1"/>
  <c r="F654" i="1"/>
  <c r="F653" i="1"/>
  <c r="K629" i="1"/>
  <c r="K628" i="1"/>
  <c r="K627" i="1"/>
  <c r="J629" i="1"/>
  <c r="J628" i="1"/>
  <c r="J627" i="1"/>
  <c r="G629" i="1"/>
  <c r="G628" i="1"/>
  <c r="G627" i="1"/>
  <c r="F629" i="1"/>
  <c r="F628" i="1"/>
  <c r="F627" i="1"/>
  <c r="L604" i="1"/>
  <c r="L603" i="1"/>
  <c r="L602" i="1"/>
  <c r="K604" i="1"/>
  <c r="K603" i="1"/>
  <c r="K602" i="1"/>
  <c r="H604" i="1"/>
  <c r="H603" i="1"/>
  <c r="H602" i="1"/>
  <c r="G604" i="1"/>
  <c r="G603" i="1"/>
  <c r="G602" i="1"/>
  <c r="M578" i="1"/>
  <c r="M577" i="1"/>
  <c r="M576" i="1"/>
  <c r="L578" i="1"/>
  <c r="L577" i="1"/>
  <c r="L576" i="1"/>
  <c r="H579" i="1"/>
  <c r="H578" i="1"/>
  <c r="H577" i="1"/>
  <c r="H576" i="1"/>
  <c r="F881" i="1"/>
  <c r="L798" i="1"/>
  <c r="G579" i="1"/>
  <c r="G578" i="1"/>
  <c r="G577" i="1"/>
  <c r="G576" i="1"/>
  <c r="H863" i="1"/>
  <c r="G855" i="1"/>
  <c r="J854" i="1"/>
  <c r="I854" i="1"/>
  <c r="H841" i="1"/>
  <c r="H836" i="1"/>
  <c r="G830" i="1"/>
  <c r="F814" i="1"/>
  <c r="T787" i="1"/>
  <c r="T786" i="1"/>
  <c r="J786" i="1"/>
  <c r="L797" i="1"/>
  <c r="F792" i="1"/>
  <c r="F786" i="1"/>
  <c r="F775" i="1"/>
  <c r="F770" i="1"/>
  <c r="F764" i="1"/>
  <c r="F760" i="1"/>
  <c r="F755" i="1"/>
  <c r="N739" i="1"/>
  <c r="K718" i="1"/>
  <c r="K703" i="1"/>
  <c r="F553" i="1"/>
  <c r="F552" i="1"/>
  <c r="F533" i="1"/>
  <c r="F532" i="1"/>
  <c r="F513" i="1"/>
  <c r="F512" i="1"/>
  <c r="F491" i="1"/>
  <c r="F490" i="1"/>
  <c r="F468" i="1"/>
  <c r="N440" i="1"/>
  <c r="N439" i="1"/>
  <c r="N438" i="1"/>
  <c r="J440" i="1"/>
  <c r="J439" i="1"/>
  <c r="J438" i="1"/>
  <c r="F467" i="1"/>
  <c r="I406" i="1"/>
  <c r="I357" i="1"/>
  <c r="G314" i="1"/>
  <c r="M199" i="1"/>
  <c r="M198" i="1"/>
  <c r="M197" i="1"/>
  <c r="K199" i="1"/>
  <c r="K198" i="1"/>
  <c r="K197" i="1"/>
  <c r="K195" i="1"/>
  <c r="K193" i="1"/>
  <c r="N174" i="1"/>
  <c r="J173" i="1"/>
  <c r="J171" i="1"/>
  <c r="J169" i="1"/>
  <c r="R143" i="1"/>
  <c r="R141" i="1"/>
  <c r="R139" i="1"/>
  <c r="Q128" i="1"/>
  <c r="Q126" i="1"/>
  <c r="Q124" i="1"/>
  <c r="K110" i="1"/>
  <c r="K108" i="1"/>
  <c r="G92" i="1"/>
  <c r="G93" i="1"/>
  <c r="O78" i="1"/>
  <c r="L79" i="1"/>
  <c r="L78" i="1"/>
  <c r="L77" i="1"/>
  <c r="K61" i="1"/>
  <c r="I63" i="1"/>
  <c r="I62" i="1"/>
  <c r="I61" i="1"/>
  <c r="J49" i="1"/>
  <c r="J47" i="1"/>
  <c r="J45" i="1"/>
  <c r="P34" i="1"/>
  <c r="P33" i="1"/>
  <c r="P32" i="1"/>
  <c r="H18" i="1"/>
  <c r="H17" i="1"/>
  <c r="H16" i="1"/>
  <c r="H8" i="1"/>
  <c r="H7" i="1"/>
  <c r="H6" i="1"/>
  <c r="E874" i="1"/>
  <c r="E874" i="1" a="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<sst xmlns="http://schemas.openxmlformats.org/spreadsheetml/2006/main" count="364" uniqueCount="206">
  <si>
    <t>Questions on measure of central tendency</t>
  </si>
  <si>
    <t>A retail store</t>
  </si>
  <si>
    <t>Week 1: 50 units</t>
  </si>
  <si>
    <t>Week 2: 60 units</t>
  </si>
  <si>
    <t>Week 3: 55 units</t>
  </si>
  <si>
    <t>Week 4: 70 units</t>
  </si>
  <si>
    <t>mean</t>
  </si>
  <si>
    <t>median</t>
  </si>
  <si>
    <t>mode</t>
  </si>
  <si>
    <t>A restaurant</t>
  </si>
  <si>
    <t>Column1</t>
  </si>
  <si>
    <t>A car rental company</t>
  </si>
  <si>
    <t>Column2</t>
  </si>
  <si>
    <t>Column3</t>
  </si>
  <si>
    <t>Column4</t>
  </si>
  <si>
    <t>Column5</t>
  </si>
  <si>
    <t>Column6</t>
  </si>
  <si>
    <t>Column7</t>
  </si>
  <si>
    <t>Column8</t>
  </si>
  <si>
    <t>Column9</t>
  </si>
  <si>
    <t>Column10</t>
  </si>
  <si>
    <t>A manufacturing company</t>
  </si>
  <si>
    <t>units</t>
  </si>
  <si>
    <t>Day1</t>
  </si>
  <si>
    <t>Day2</t>
  </si>
  <si>
    <t>Day3</t>
  </si>
  <si>
    <t>Day4</t>
  </si>
  <si>
    <t>Day5</t>
  </si>
  <si>
    <t>Day6</t>
  </si>
  <si>
    <t>Day7</t>
  </si>
  <si>
    <t>Day8</t>
  </si>
  <si>
    <t>Day9</t>
  </si>
  <si>
    <t>Day10</t>
  </si>
  <si>
    <t>Questions on measure of dispersion</t>
  </si>
  <si>
    <t>Standard Deviation</t>
  </si>
  <si>
    <t>Variance</t>
  </si>
  <si>
    <t>Range</t>
  </si>
  <si>
    <t>RANGE</t>
  </si>
  <si>
    <t>VARIENCE</t>
  </si>
  <si>
    <t>STANDARD DEVIATION</t>
  </si>
  <si>
    <t>An e-commerce platform</t>
  </si>
  <si>
    <t>A company</t>
  </si>
  <si>
    <t>avarage=</t>
  </si>
  <si>
    <t>range=</t>
  </si>
  <si>
    <t>A survey</t>
  </si>
  <si>
    <t>AVARAGE=</t>
  </si>
  <si>
    <t>standard deviation=</t>
  </si>
  <si>
    <t>A transportation</t>
  </si>
  <si>
    <t>Model</t>
  </si>
  <si>
    <t>A:</t>
  </si>
  <si>
    <t>B:</t>
  </si>
  <si>
    <t>C:</t>
  </si>
  <si>
    <t>D:</t>
  </si>
  <si>
    <t>E:</t>
  </si>
  <si>
    <t>Column11</t>
  </si>
  <si>
    <t>Column12</t>
  </si>
  <si>
    <t xml:space="preserve">range= </t>
  </si>
  <si>
    <t xml:space="preserve"> </t>
  </si>
  <si>
    <t>variance=</t>
  </si>
  <si>
    <t>median=</t>
  </si>
  <si>
    <t>mode=</t>
  </si>
  <si>
    <t>Frequency Distribution=</t>
  </si>
  <si>
    <t>Bins=</t>
  </si>
  <si>
    <t xml:space="preserve">interquartile range=  </t>
  </si>
  <si>
    <t>interval</t>
  </si>
  <si>
    <t>quartile 1</t>
  </si>
  <si>
    <t>quartile 2</t>
  </si>
  <si>
    <t>quartile 3</t>
  </si>
  <si>
    <t>A</t>
  </si>
  <si>
    <t>B</t>
  </si>
  <si>
    <t>C</t>
  </si>
  <si>
    <t>D</t>
  </si>
  <si>
    <t>E</t>
  </si>
  <si>
    <t>F</t>
  </si>
  <si>
    <t>G</t>
  </si>
  <si>
    <t>Frequency:</t>
  </si>
  <si>
    <t>Defect Type:</t>
  </si>
  <si>
    <t>Most Common Defect =E</t>
  </si>
  <si>
    <t>Ratings:</t>
  </si>
  <si>
    <t>Sales:</t>
  </si>
  <si>
    <t>average=</t>
  </si>
  <si>
    <t>A study</t>
  </si>
  <si>
    <t>Response</t>
  </si>
  <si>
    <t>Times:</t>
  </si>
  <si>
    <t>Region 2:</t>
  </si>
  <si>
    <t>Region 3:</t>
  </si>
  <si>
    <t>Region 1:</t>
  </si>
  <si>
    <t>Questions on Measure of Skewness and Kurtosis</t>
  </si>
  <si>
    <t>Returns:</t>
  </si>
  <si>
    <t>average sales figure for each region</t>
  </si>
  <si>
    <t>range of sales figures in each region</t>
  </si>
  <si>
    <t>skewnwss=</t>
  </si>
  <si>
    <t>kurtosis=</t>
  </si>
  <si>
    <t xml:space="preserve">THE GIVEN DATA SET IS NEARLY SYMMERTRIC AND IS FLATTER THAN THE NORMAL DISTRIBUTION </t>
  </si>
  <si>
    <t>Interpretation:</t>
  </si>
  <si>
    <t>A research</t>
  </si>
  <si>
    <t>Incomes:</t>
  </si>
  <si>
    <t>AS SKEWNESS IS NEAR 0 THAT MEANS THE DATA IS NEAR TO SYMMETRIC AND IS NOT ASYMMETRIC .</t>
  </si>
  <si>
    <t>AS KURTOSIS IS NEGATIVE THAT MEANS THE DATA IN THE DATASET ARE SLIGHTLY FLATTER WHICH MEANS IT IS PLATYKURTIC.</t>
  </si>
  <si>
    <t>House</t>
  </si>
  <si>
    <t>Prices:</t>
  </si>
  <si>
    <t>Waiting</t>
  </si>
  <si>
    <t>Questions on Percentile and Quartiles</t>
  </si>
  <si>
    <t>Salaries:</t>
  </si>
  <si>
    <t>Weights:</t>
  </si>
  <si>
    <t>Purchase</t>
  </si>
  <si>
    <t>Amounts:</t>
  </si>
  <si>
    <t>Commute</t>
  </si>
  <si>
    <t>Defect</t>
  </si>
  <si>
    <t>Rates:</t>
  </si>
  <si>
    <t>Questions on Correlation and Covariance</t>
  </si>
  <si>
    <t>A marketing department</t>
  </si>
  <si>
    <t>Advertising</t>
  </si>
  <si>
    <t>Expenditure:</t>
  </si>
  <si>
    <t>Sales</t>
  </si>
  <si>
    <t>Revenue:</t>
  </si>
  <si>
    <t>correlation coefficient between advertising expenditure and sales revenue=</t>
  </si>
  <si>
    <t xml:space="preserve">AS IN THIS CASE THE CORRELATION COEFFICIENT VAUE IS NEARLY 1 THAT MEANS SALES REVENUE IS INCREASING WITH THE INCREASING VALUE OF ADVERTISING EXPENDITURE										</t>
  </si>
  <si>
    <t>An investment analyst</t>
  </si>
  <si>
    <t>Company</t>
  </si>
  <si>
    <t>covariance between the stock prices of Company A and Company B =</t>
  </si>
  <si>
    <t xml:space="preserve">COVARIANCE OF COMPANY A AND B SHOWS POSITIVE BEHAVIOUR WHICH MEANS THAT BOTH COMPANY'S VALUE INCREASES SIMULTANEOUSLY.									
A POSITIVE COVARIANCE SHOWS THAT BOTH COMPANY HAVE POSITIVE LINEAR RELATION . 									
IF COMPANY A HAS GIVE RETURNS ABOVE AVERAGE THEN THE OTHER COMPANY'S RETURNS IS ALSO LIKELY TO BE GIVING ABOVE AVERAGE RETURNS.									</t>
  </si>
  <si>
    <t>A researcher</t>
  </si>
  <si>
    <t>Hours</t>
  </si>
  <si>
    <t>Spent</t>
  </si>
  <si>
    <t>Studying:</t>
  </si>
  <si>
    <t>Exam</t>
  </si>
  <si>
    <t>Scores:</t>
  </si>
  <si>
    <t>correlation coefficient between the hours spent studying and the exam scores. =</t>
  </si>
  <si>
    <t xml:space="preserve">THE CORREALTION OF HOURS SPENT AND EXAM SCORES IS POSITIVE .THIS MEANS IF A STUDENT INCREASES THE TIME OF STUDYING THEN HIS MARKS WILL DEFINITELY INCREASED.											</t>
  </si>
  <si>
    <t>Questions on discrete and continuous random variable</t>
  </si>
  <si>
    <t>Discrete Random Variable:</t>
  </si>
  <si>
    <t>What is the probability of rolling exactly five 3's?</t>
  </si>
  <si>
    <t>probability=</t>
  </si>
  <si>
    <t>What is the probability of getting two hearts?</t>
  </si>
  <si>
    <t>what is the probability of getting at least 8 questions correct?</t>
  </si>
  <si>
    <t>What is the probability that all three balls are blue?</t>
  </si>
  <si>
    <t>what is the probability of scoring exactly three goals?</t>
  </si>
  <si>
    <t>Continuous Random Variable:</t>
  </si>
  <si>
    <t>What is the probability that a randomly selected student is taller than 180 cm?</t>
  </si>
  <si>
    <t>What is the probability that a customer waits less than 3 minutes?</t>
  </si>
  <si>
    <t>What is the probability that a randomly selected light bulb lasts between 900 and 1100 hours?</t>
  </si>
  <si>
    <t>calculating the z scores</t>
  </si>
  <si>
    <t>z1 = (x1-μ)/σ</t>
  </si>
  <si>
    <t>z1 = (x1-μ)/σ=</t>
  </si>
  <si>
    <t>value for 1.5 z score from standard normal distribution table which is smaller than 1.5 is :</t>
  </si>
  <si>
    <t xml:space="preserve">therefore for greater than 1.5 is </t>
  </si>
  <si>
    <t>What is the probability that a randomly selected apple weighs between 150 and 170 grams?</t>
  </si>
  <si>
    <t>What is the probability that the task is completed in less than 15 minutes?</t>
  </si>
  <si>
    <t>Questions on Confidence Interval and Hypothesis Testings</t>
  </si>
  <si>
    <t>Confidence Interval Problems:</t>
  </si>
  <si>
    <t>150grams</t>
  </si>
  <si>
    <t>170grams</t>
  </si>
  <si>
    <t>Questions on Discrete Distribution and Continuous Distribution</t>
  </si>
  <si>
    <t>Discrete Distribution:</t>
  </si>
  <si>
    <t>What is the probability of having exactly 3 defects in a randomly selected batch?</t>
  </si>
  <si>
    <t>what is the probability of winning exactly 3 rounds?</t>
  </si>
  <si>
    <t>What is the probability of obtaining at least one 6?</t>
  </si>
  <si>
    <t>Continuous Distribution:</t>
  </si>
  <si>
    <t>What is the probability that a randomly selected apple weighs between 140 and 160 grams?</t>
  </si>
  <si>
    <t>140grams</t>
  </si>
  <si>
    <t>160grams</t>
  </si>
  <si>
    <t xml:space="preserve">What is the probability that a randomly selected light bulb lasts more than 900 hours?
</t>
  </si>
  <si>
    <t>answer</t>
  </si>
  <si>
    <t xml:space="preserve">THE DATA IS NEARLY SYMMETRIC BECAUSE THE SKEWNESS IS NOT TOO MUCH POSITIVE THAT MEANS THE RATES OF HOUSES ARE ALMOST SAME ,THERE IS NO MAJOR DIFFERENCE.											
AND THE KURTOSIS 											</t>
  </si>
  <si>
    <t xml:space="preserve">DATA'S SKEWNEES AND KURTOSIS IS BOTH IN NEGATIVE SO THE DATA IS MORE TOWARDS LEFT SIDE I.E IT HAS MANY SMALLER VALUES AND DATA IS ALSO FLATTENED.										</t>
  </si>
  <si>
    <t xml:space="preserve">AS SKEWNESS IS NEGATIVE THE DATA IS LONGER THE LEFT SIDE MEANS THE MODE OF THE DATA IS ON LEFT SIDE WHILE THE MEAN OF THE DATA IS ON THE RIGHT SIDE OF THAT DATA.											
THE KURTOSIS IS ALSO NEGATIVE SO THE DATA IS FLAT AND BROADER AS COMPARED TO NORMAL DISTRIBUTION 											
THUS THERE ARE MORE NUMBER OF LESS RATINGS IN THIS SURVEY											</t>
  </si>
  <si>
    <t xml:space="preserve">10TH PERCENTILE = </t>
  </si>
  <si>
    <t xml:space="preserve">25TH PERCENTILE = </t>
  </si>
  <si>
    <t xml:space="preserve">75TH PERCENTILE = </t>
  </si>
  <si>
    <t xml:space="preserve">90TH PERCENTILE = </t>
  </si>
  <si>
    <t>confidence interval=</t>
  </si>
  <si>
    <t>standard error=</t>
  </si>
  <si>
    <t>Sample size (n) =</t>
  </si>
  <si>
    <t>Sample mean (x̄) =</t>
  </si>
  <si>
    <t>simpale standard deviation(s)=</t>
  </si>
  <si>
    <t>QUARTILE 1</t>
  </si>
  <si>
    <t>QUARTILE 2</t>
  </si>
  <si>
    <t>QUARTILE 3</t>
  </si>
  <si>
    <t xml:space="preserve">15TH PERCENTILE = 	
50TH PERCENTILE = 	
85TH PERCENTILE = 	</t>
  </si>
  <si>
    <t xml:space="preserve">20TH PERCENTILE=	
40TH PERCENTILE = 	
80TH PERCENTILE = 	</t>
  </si>
  <si>
    <t xml:space="preserve">30TH PERCENTILE =	
50TH PERCENTILE=	
70TH PERCENTILE =	</t>
  </si>
  <si>
    <t xml:space="preserve">25TH PERCENTILE = 	
50TH PERCENTILE = 	
75TH PERCENTILE = 	</t>
  </si>
  <si>
    <t>values for z scores from standard distribution table are:</t>
  </si>
  <si>
    <t>900 hrs</t>
  </si>
  <si>
    <t>1100 hrs</t>
  </si>
  <si>
    <t>Hypothesis Testing Problems</t>
  </si>
  <si>
    <t>HO=</t>
  </si>
  <si>
    <t>new method does not improve students's performance</t>
  </si>
  <si>
    <t>H1=</t>
  </si>
  <si>
    <t>new method improve student's performance</t>
  </si>
  <si>
    <t>The avarage weight of the product is 500 grams</t>
  </si>
  <si>
    <t>The avarage weight of the product is npt 500 grams</t>
  </si>
  <si>
    <t xml:space="preserve">Step 1 </t>
  </si>
  <si>
    <t xml:space="preserve">Step 2 </t>
  </si>
  <si>
    <t xml:space="preserve">Step 3 </t>
  </si>
  <si>
    <t xml:space="preserve">z = </t>
  </si>
  <si>
    <t>z=</t>
  </si>
  <si>
    <t>(sample mean - population mean)/S.D/sqrt of n</t>
  </si>
  <si>
    <t>Step 4</t>
  </si>
  <si>
    <t>this is two-tailed test,you need to find the critical z-values for α/2=0.025</t>
  </si>
  <si>
    <t>Step 5</t>
  </si>
  <si>
    <t>in this case , 2.5&gt;1.96 , so you reject the null hypothesis.</t>
  </si>
  <si>
    <t>Step 6</t>
  </si>
  <si>
    <t>there is enough evidence to conclude that the avarage weight of the product is different from 500 grams at the 0.05 significance level</t>
  </si>
  <si>
    <r>
      <t xml:space="preserve">Let's assume a common significance level of </t>
    </r>
    <r>
      <rPr>
        <b/>
        <sz val="11"/>
        <color theme="1"/>
        <rFont val="Calibri"/>
        <family val="2"/>
      </rPr>
      <t>α = 0.05 for this test</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</si>
</sst>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4" x14ac:knownFonts="1">
    <font>
      <sz val="11"/>
      <color theme="1"/>
      <name val="Calibri"/>
      <family val="2"/>
      <scheme val="minor"/>
    </font>
    <font>
      <b/>
      <sz val="18"/>
      <color theme="1"/>
      <name val="Calibri"/>
      <family val="2"/>
      <scheme val="minor"/>
    </font>
    <font>
      <b/>
      <sz val="14"/>
      <color theme="1"/>
      <name val="Calibri"/>
      <family val="2"/>
      <scheme val="minor"/>
    </font>
    <font>
      <sz val="12"/>
      <color theme="1"/>
      <name val="Calibri"/>
      <family val="2"/>
      <scheme val="minor"/>
    </font>
    <font>
      <b/>
      <sz val="22"/>
      <color theme="1"/>
      <name val="Calibri"/>
      <family val="2"/>
      <scheme val="minor"/>
    </font>
    <font>
      <sz val="8"/>
      <name val="Calibri"/>
      <family val="2"/>
      <scheme val="minor"/>
    </font>
    <font>
      <b/>
      <sz val="11"/>
      <color theme="1"/>
      <name val="Calibri"/>
      <family val="2"/>
      <scheme val="minor"/>
    </font>
    <font>
      <sz val="14"/>
      <color theme="1"/>
      <name val="Calibri"/>
      <family val="2"/>
      <scheme val="minor"/>
    </font>
    <font>
      <b/>
      <sz val="8"/>
      <color theme="1"/>
      <name val="Calibri"/>
      <family val="2"/>
      <scheme val="minor"/>
    </font>
    <font>
      <b/>
      <sz val="16"/>
      <color theme="1"/>
      <name val="Calibri"/>
      <family val="2"/>
      <scheme val="minor"/>
    </font>
    <font>
      <b/>
      <sz val="20"/>
      <color theme="1"/>
      <name val="Calibri"/>
      <family val="2"/>
      <scheme val="minor"/>
    </font>
    <font>
      <b/>
      <sz val="12"/>
      <color theme="1"/>
      <name val="Calibri"/>
      <family val="2"/>
      <scheme val="minor"/>
    </font>
    <font>
      <sz val="10"/>
      <color theme="1"/>
      <name val="Calibri"/>
      <family val="2"/>
      <scheme val="minor"/>
    </font>
    <font>
      <b/>
      <sz val="11"/>
      <color theme="1"/>
      <name val="Calibri"/>
      <family val="2"/>
    </font>
  </fonts>
  <fills count="9">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0" borderId="0" xfId="0" applyFont="1"/>
    <xf numFmtId="0" fontId="2" fillId="0" borderId="0" xfId="0" applyFont="1"/>
    <xf numFmtId="0" fontId="0" fillId="0" borderId="0" xfId="0" applyAlignment="1">
      <alignment wrapText="1"/>
    </xf>
    <xf numFmtId="0" fontId="0" fillId="0" borderId="0" xfId="0" applyAlignment="1">
      <alignment horizontal="center"/>
    </xf>
    <xf numFmtId="0" fontId="3" fillId="0" borderId="0" xfId="0" applyFont="1"/>
    <xf numFmtId="164" fontId="0" fillId="0" borderId="0" xfId="0" applyNumberFormat="1"/>
    <xf numFmtId="0" fontId="6" fillId="2" borderId="0" xfId="0" applyFont="1" applyFill="1"/>
    <xf numFmtId="0" fontId="0" fillId="2" borderId="0" xfId="0" applyFill="1"/>
    <xf numFmtId="0" fontId="6" fillId="2" borderId="0" xfId="0" applyFont="1" applyFill="1" applyAlignment="1">
      <alignment horizontal="left" indent="1"/>
    </xf>
    <xf numFmtId="0" fontId="0" fillId="3" borderId="0" xfId="0" applyFill="1"/>
    <xf numFmtId="0" fontId="6" fillId="0" borderId="0" xfId="0" applyFont="1"/>
    <xf numFmtId="0" fontId="0" fillId="4" borderId="0" xfId="0" applyFill="1"/>
    <xf numFmtId="0" fontId="0" fillId="5" borderId="0" xfId="0" applyFill="1"/>
    <xf numFmtId="0" fontId="0" fillId="5" borderId="0" xfId="0" applyFill="1" applyAlignment="1">
      <alignment horizontal="center"/>
    </xf>
    <xf numFmtId="0" fontId="8" fillId="0" borderId="0" xfId="0" applyFont="1"/>
    <xf numFmtId="0" fontId="11" fillId="0" borderId="0" xfId="0" applyFont="1"/>
    <xf numFmtId="0" fontId="0" fillId="6" borderId="0" xfId="0" applyFill="1"/>
    <xf numFmtId="10" fontId="0" fillId="6" borderId="0" xfId="0" applyNumberFormat="1" applyFill="1"/>
    <xf numFmtId="0" fontId="0" fillId="7" borderId="0" xfId="0" applyFill="1"/>
    <xf numFmtId="0" fontId="0" fillId="8" borderId="0" xfId="0" applyFill="1"/>
    <xf numFmtId="10" fontId="0" fillId="8" borderId="0" xfId="0" applyNumberFormat="1" applyFill="1"/>
    <xf numFmtId="0" fontId="10" fillId="0" borderId="0" xfId="0" applyFont="1" applyAlignment="1">
      <alignment horizontal="center"/>
    </xf>
    <xf numFmtId="0" fontId="9"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0" fillId="0" borderId="0" xfId="0" applyAlignment="1">
      <alignment horizontal="center"/>
    </xf>
    <xf numFmtId="0" fontId="12" fillId="0" borderId="0" xfId="0" applyFont="1" applyAlignment="1">
      <alignment horizontal="center" wrapText="1"/>
    </xf>
    <xf numFmtId="0" fontId="2" fillId="0" borderId="0" xfId="0" applyFont="1" applyAlignment="1">
      <alignment horizontal="center"/>
    </xf>
    <xf numFmtId="0" fontId="6" fillId="0" borderId="0" xfId="0" applyFont="1" applyAlignment="1">
      <alignment horizontal="center" wrapText="1"/>
    </xf>
    <xf numFmtId="0" fontId="0" fillId="0" borderId="0" xfId="0" applyAlignment="1">
      <alignment horizontal="center" wrapText="1"/>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xf>
    <xf numFmtId="0" fontId="6" fillId="5" borderId="0" xfId="0" applyFont="1" applyFill="1" applyAlignment="1">
      <alignment horizontal="center"/>
    </xf>
    <xf numFmtId="0" fontId="7" fillId="0" borderId="0" xfId="0" applyFont="1" applyAlignment="1">
      <alignment horizontal="center"/>
    </xf>
    <xf numFmtId="0" fontId="11" fillId="0" borderId="0" xfId="0" applyFont="1" applyAlignment="1">
      <alignment horizontal="left" vertical="top"/>
    </xf>
  </cellXfs>
  <cellStyles count="1">
    <cellStyle name="Normal" xfId="0" builtinId="0"/>
  </cellStyles>
  <dxfs count="8">
    <dxf>
      <numFmt numFmtId="164" formatCode="&quot;₹&quot;\ #,##0.00"/>
    </dxf>
    <dxf>
      <numFmt numFmtId="164" formatCode="&quot;₹&quot;\ #,##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Sheet1!$C$247</c:f>
              <c:strCache>
                <c:ptCount val="1"/>
                <c:pt idx="0">
                  <c:v>Frequency:</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Sheet1!$D$246:$K$246</c:f>
              <c:strCache>
                <c:ptCount val="8"/>
                <c:pt idx="1">
                  <c:v>A</c:v>
                </c:pt>
                <c:pt idx="2">
                  <c:v>B</c:v>
                </c:pt>
                <c:pt idx="3">
                  <c:v>C</c:v>
                </c:pt>
                <c:pt idx="4">
                  <c:v>D</c:v>
                </c:pt>
                <c:pt idx="5">
                  <c:v>E</c:v>
                </c:pt>
                <c:pt idx="6">
                  <c:v>F</c:v>
                </c:pt>
                <c:pt idx="7">
                  <c:v>G</c:v>
                </c:pt>
              </c:strCache>
            </c:strRef>
          </c:cat>
          <c:val>
            <c:numRef>
              <c:f>Sheet1!$D$247:$K$247</c:f>
              <c:numCache>
                <c:formatCode>General</c:formatCode>
                <c:ptCount val="8"/>
                <c:pt idx="1">
                  <c:v>30</c:v>
                </c:pt>
                <c:pt idx="2">
                  <c:v>40</c:v>
                </c:pt>
                <c:pt idx="3">
                  <c:v>20</c:v>
                </c:pt>
                <c:pt idx="4">
                  <c:v>10</c:v>
                </c:pt>
                <c:pt idx="5">
                  <c:v>45</c:v>
                </c:pt>
                <c:pt idx="6">
                  <c:v>25</c:v>
                </c:pt>
                <c:pt idx="7">
                  <c:v>30</c:v>
                </c:pt>
              </c:numCache>
            </c:numRef>
          </c:val>
          <c:extLst>
            <c:ext xmlns:c16="http://schemas.microsoft.com/office/drawing/2014/chart" uri="{C3380CC4-5D6E-409C-BE32-E72D297353CC}">
              <c16:uniqueId val="{00000000-CA01-40D4-9F67-A54A07E78039}"/>
            </c:ext>
          </c:extLst>
        </c:ser>
        <c:dLbls>
          <c:showLegendKey val="0"/>
          <c:showVal val="0"/>
          <c:showCatName val="0"/>
          <c:showSerName val="0"/>
          <c:showPercent val="0"/>
          <c:showBubbleSize val="0"/>
        </c:dLbls>
        <c:gapWidth val="65"/>
        <c:shape val="box"/>
        <c:axId val="616182271"/>
        <c:axId val="608386271"/>
        <c:axId val="0"/>
      </c:bar3DChart>
      <c:catAx>
        <c:axId val="6161822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8386271"/>
        <c:crosses val="autoZero"/>
        <c:auto val="1"/>
        <c:lblAlgn val="ctr"/>
        <c:lblOffset val="100"/>
        <c:noMultiLvlLbl val="0"/>
      </c:catAx>
      <c:valAx>
        <c:axId val="60838627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1618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0" i="0" u="none" strike="noStrike" baseline="0"/>
              <a:t>Frequency of each satisfaction rating.</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Sheet1!$D$286:$M$286</c:f>
              <c:numCache>
                <c:formatCode>General</c:formatCode>
                <c:ptCount val="10"/>
                <c:pt idx="0">
                  <c:v>4</c:v>
                </c:pt>
                <c:pt idx="1">
                  <c:v>5</c:v>
                </c:pt>
                <c:pt idx="2">
                  <c:v>3</c:v>
                </c:pt>
                <c:pt idx="3">
                  <c:v>4</c:v>
                </c:pt>
                <c:pt idx="4">
                  <c:v>4</c:v>
                </c:pt>
                <c:pt idx="5">
                  <c:v>3</c:v>
                </c:pt>
                <c:pt idx="6">
                  <c:v>2</c:v>
                </c:pt>
                <c:pt idx="7">
                  <c:v>5</c:v>
                </c:pt>
                <c:pt idx="8">
                  <c:v>4</c:v>
                </c:pt>
                <c:pt idx="9">
                  <c:v>3</c:v>
                </c:pt>
              </c:numCache>
            </c:numRef>
          </c:val>
          <c:extLst>
            <c:ext xmlns:c16="http://schemas.microsoft.com/office/drawing/2014/chart" uri="{C3380CC4-5D6E-409C-BE32-E72D297353CC}">
              <c16:uniqueId val="{00000000-12A7-44F9-AEE6-10EC912FA7BB}"/>
            </c:ext>
          </c:extLst>
        </c:ser>
        <c: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Sheet1!$D$287:$M$287</c:f>
              <c:numCache>
                <c:formatCode>General</c:formatCode>
                <c:ptCount val="10"/>
                <c:pt idx="0">
                  <c:v>5</c:v>
                </c:pt>
                <c:pt idx="1">
                  <c:v>4</c:v>
                </c:pt>
                <c:pt idx="2">
                  <c:v>2</c:v>
                </c:pt>
                <c:pt idx="3">
                  <c:v>3</c:v>
                </c:pt>
                <c:pt idx="4">
                  <c:v>4</c:v>
                </c:pt>
                <c:pt idx="5">
                  <c:v>5</c:v>
                </c:pt>
                <c:pt idx="6">
                  <c:v>3</c:v>
                </c:pt>
                <c:pt idx="7">
                  <c:v>4</c:v>
                </c:pt>
                <c:pt idx="8">
                  <c:v>5</c:v>
                </c:pt>
                <c:pt idx="9">
                  <c:v>3</c:v>
                </c:pt>
              </c:numCache>
            </c:numRef>
          </c:val>
          <c:extLst>
            <c:ext xmlns:c16="http://schemas.microsoft.com/office/drawing/2014/chart" uri="{C3380CC4-5D6E-409C-BE32-E72D297353CC}">
              <c16:uniqueId val="{00000001-12A7-44F9-AEE6-10EC912FA7BB}"/>
            </c:ext>
          </c:extLst>
        </c:ser>
        <c:ser>
          <c:idx val="2"/>
          <c:order val="2"/>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Sheet1!$D$288:$M$288</c:f>
              <c:numCache>
                <c:formatCode>General</c:formatCode>
                <c:ptCount val="10"/>
                <c:pt idx="0">
                  <c:v>4</c:v>
                </c:pt>
                <c:pt idx="1">
                  <c:v>3</c:v>
                </c:pt>
                <c:pt idx="2">
                  <c:v>2</c:v>
                </c:pt>
                <c:pt idx="3">
                  <c:v>4</c:v>
                </c:pt>
                <c:pt idx="4">
                  <c:v>5</c:v>
                </c:pt>
                <c:pt idx="5">
                  <c:v>3</c:v>
                </c:pt>
                <c:pt idx="6">
                  <c:v>4</c:v>
                </c:pt>
                <c:pt idx="7">
                  <c:v>5</c:v>
                </c:pt>
                <c:pt idx="8">
                  <c:v>4</c:v>
                </c:pt>
                <c:pt idx="9">
                  <c:v>3</c:v>
                </c:pt>
              </c:numCache>
            </c:numRef>
          </c:val>
          <c:extLst>
            <c:ext xmlns:c16="http://schemas.microsoft.com/office/drawing/2014/chart" uri="{C3380CC4-5D6E-409C-BE32-E72D297353CC}">
              <c16:uniqueId val="{00000002-12A7-44F9-AEE6-10EC912FA7BB}"/>
            </c:ext>
          </c:extLst>
        </c:ser>
        <c:ser>
          <c:idx val="3"/>
          <c:order val="3"/>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Sheet1!$D$289:$M$289</c:f>
              <c:numCache>
                <c:formatCode>General</c:formatCode>
                <c:ptCount val="10"/>
                <c:pt idx="0">
                  <c:v>3</c:v>
                </c:pt>
                <c:pt idx="1">
                  <c:v>4</c:v>
                </c:pt>
                <c:pt idx="2">
                  <c:v>5</c:v>
                </c:pt>
                <c:pt idx="3">
                  <c:v>2</c:v>
                </c:pt>
                <c:pt idx="4">
                  <c:v>3</c:v>
                </c:pt>
                <c:pt idx="5">
                  <c:v>4</c:v>
                </c:pt>
                <c:pt idx="6">
                  <c:v>4</c:v>
                </c:pt>
                <c:pt idx="7">
                  <c:v>3</c:v>
                </c:pt>
                <c:pt idx="8">
                  <c:v>5</c:v>
                </c:pt>
                <c:pt idx="9">
                  <c:v>4</c:v>
                </c:pt>
              </c:numCache>
            </c:numRef>
          </c:val>
          <c:extLst>
            <c:ext xmlns:c16="http://schemas.microsoft.com/office/drawing/2014/chart" uri="{C3380CC4-5D6E-409C-BE32-E72D297353CC}">
              <c16:uniqueId val="{00000003-12A7-44F9-AEE6-10EC912FA7BB}"/>
            </c:ext>
          </c:extLst>
        </c:ser>
        <c:ser>
          <c:idx val="4"/>
          <c:order val="4"/>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Sheet1!$D$290:$M$290</c:f>
              <c:numCache>
                <c:formatCode>General</c:formatCode>
                <c:ptCount val="10"/>
                <c:pt idx="0">
                  <c:v>3</c:v>
                </c:pt>
                <c:pt idx="1">
                  <c:v>4</c:v>
                </c:pt>
                <c:pt idx="2">
                  <c:v>5</c:v>
                </c:pt>
                <c:pt idx="3">
                  <c:v>4</c:v>
                </c:pt>
                <c:pt idx="4">
                  <c:v>2</c:v>
                </c:pt>
                <c:pt idx="5">
                  <c:v>3</c:v>
                </c:pt>
                <c:pt idx="6">
                  <c:v>4</c:v>
                </c:pt>
                <c:pt idx="7">
                  <c:v>5</c:v>
                </c:pt>
                <c:pt idx="8">
                  <c:v>3</c:v>
                </c:pt>
                <c:pt idx="9">
                  <c:v>4</c:v>
                </c:pt>
              </c:numCache>
            </c:numRef>
          </c:val>
          <c:extLst>
            <c:ext xmlns:c16="http://schemas.microsoft.com/office/drawing/2014/chart" uri="{C3380CC4-5D6E-409C-BE32-E72D297353CC}">
              <c16:uniqueId val="{00000004-12A7-44F9-AEE6-10EC912FA7BB}"/>
            </c:ext>
          </c:extLst>
        </c:ser>
        <c:ser>
          <c:idx val="5"/>
          <c:order val="5"/>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Sheet1!$D$291:$M$291</c:f>
              <c:numCache>
                <c:formatCode>General</c:formatCode>
                <c:ptCount val="10"/>
                <c:pt idx="0">
                  <c:v>5</c:v>
                </c:pt>
                <c:pt idx="1">
                  <c:v>4</c:v>
                </c:pt>
                <c:pt idx="2">
                  <c:v>3</c:v>
                </c:pt>
                <c:pt idx="3">
                  <c:v>4</c:v>
                </c:pt>
                <c:pt idx="4">
                  <c:v>5</c:v>
                </c:pt>
                <c:pt idx="5">
                  <c:v>3</c:v>
                </c:pt>
                <c:pt idx="6">
                  <c:v>4</c:v>
                </c:pt>
                <c:pt idx="7">
                  <c:v>5</c:v>
                </c:pt>
                <c:pt idx="8">
                  <c:v>4</c:v>
                </c:pt>
                <c:pt idx="9">
                  <c:v>3</c:v>
                </c:pt>
              </c:numCache>
            </c:numRef>
          </c:val>
          <c:extLst>
            <c:ext xmlns:c16="http://schemas.microsoft.com/office/drawing/2014/chart" uri="{C3380CC4-5D6E-409C-BE32-E72D297353CC}">
              <c16:uniqueId val="{00000005-12A7-44F9-AEE6-10EC912FA7BB}"/>
            </c:ext>
          </c:extLst>
        </c:ser>
        <c:ser>
          <c:idx val="6"/>
          <c:order val="6"/>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Sheet1!$D$292:$M$292</c:f>
              <c:numCache>
                <c:formatCode>General</c:formatCode>
                <c:ptCount val="10"/>
                <c:pt idx="0">
                  <c:v>3</c:v>
                </c:pt>
                <c:pt idx="1">
                  <c:v>4</c:v>
                </c:pt>
                <c:pt idx="2">
                  <c:v>5</c:v>
                </c:pt>
                <c:pt idx="3">
                  <c:v>2</c:v>
                </c:pt>
                <c:pt idx="4">
                  <c:v>3</c:v>
                </c:pt>
                <c:pt idx="5">
                  <c:v>4</c:v>
                </c:pt>
                <c:pt idx="6">
                  <c:v>4</c:v>
                </c:pt>
                <c:pt idx="7">
                  <c:v>3</c:v>
                </c:pt>
                <c:pt idx="8">
                  <c:v>5</c:v>
                </c:pt>
                <c:pt idx="9">
                  <c:v>4</c:v>
                </c:pt>
              </c:numCache>
            </c:numRef>
          </c:val>
          <c:extLst>
            <c:ext xmlns:c16="http://schemas.microsoft.com/office/drawing/2014/chart" uri="{C3380CC4-5D6E-409C-BE32-E72D297353CC}">
              <c16:uniqueId val="{00000006-12A7-44F9-AEE6-10EC912FA7BB}"/>
            </c:ext>
          </c:extLst>
        </c:ser>
        <c:ser>
          <c:idx val="7"/>
          <c:order val="7"/>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Sheet1!$D$293:$M$293</c:f>
              <c:numCache>
                <c:formatCode>General</c:formatCode>
                <c:ptCount val="10"/>
                <c:pt idx="0">
                  <c:v>3</c:v>
                </c:pt>
                <c:pt idx="1">
                  <c:v>4</c:v>
                </c:pt>
                <c:pt idx="2">
                  <c:v>5</c:v>
                </c:pt>
                <c:pt idx="3">
                  <c:v>4</c:v>
                </c:pt>
                <c:pt idx="4">
                  <c:v>2</c:v>
                </c:pt>
                <c:pt idx="5">
                  <c:v>3</c:v>
                </c:pt>
                <c:pt idx="6">
                  <c:v>4</c:v>
                </c:pt>
                <c:pt idx="7">
                  <c:v>5</c:v>
                </c:pt>
                <c:pt idx="8">
                  <c:v>3</c:v>
                </c:pt>
                <c:pt idx="9">
                  <c:v>4</c:v>
                </c:pt>
              </c:numCache>
            </c:numRef>
          </c:val>
          <c:extLst>
            <c:ext xmlns:c16="http://schemas.microsoft.com/office/drawing/2014/chart" uri="{C3380CC4-5D6E-409C-BE32-E72D297353CC}">
              <c16:uniqueId val="{00000007-12A7-44F9-AEE6-10EC912FA7BB}"/>
            </c:ext>
          </c:extLst>
        </c:ser>
        <c:ser>
          <c:idx val="8"/>
          <c:order val="8"/>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Sheet1!$D$294:$M$294</c:f>
              <c:numCache>
                <c:formatCode>General</c:formatCode>
                <c:ptCount val="10"/>
                <c:pt idx="0">
                  <c:v>5</c:v>
                </c:pt>
                <c:pt idx="1">
                  <c:v>4</c:v>
                </c:pt>
                <c:pt idx="2">
                  <c:v>3</c:v>
                </c:pt>
                <c:pt idx="3">
                  <c:v>4</c:v>
                </c:pt>
                <c:pt idx="4">
                  <c:v>5</c:v>
                </c:pt>
                <c:pt idx="5">
                  <c:v>3</c:v>
                </c:pt>
                <c:pt idx="6">
                  <c:v>4</c:v>
                </c:pt>
                <c:pt idx="7">
                  <c:v>5</c:v>
                </c:pt>
                <c:pt idx="8">
                  <c:v>4</c:v>
                </c:pt>
                <c:pt idx="9">
                  <c:v>3</c:v>
                </c:pt>
              </c:numCache>
            </c:numRef>
          </c:val>
          <c:extLst>
            <c:ext xmlns:c16="http://schemas.microsoft.com/office/drawing/2014/chart" uri="{C3380CC4-5D6E-409C-BE32-E72D297353CC}">
              <c16:uniqueId val="{00000008-12A7-44F9-AEE6-10EC912FA7BB}"/>
            </c:ext>
          </c:extLst>
        </c:ser>
        <c:ser>
          <c:idx val="9"/>
          <c:order val="9"/>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Sheet1!$D$295:$M$295</c:f>
              <c:numCache>
                <c:formatCode>General</c:formatCode>
                <c:ptCount val="10"/>
                <c:pt idx="0">
                  <c:v>3</c:v>
                </c:pt>
                <c:pt idx="1">
                  <c:v>4</c:v>
                </c:pt>
                <c:pt idx="2">
                  <c:v>5</c:v>
                </c:pt>
                <c:pt idx="3">
                  <c:v>2</c:v>
                </c:pt>
                <c:pt idx="4">
                  <c:v>3</c:v>
                </c:pt>
                <c:pt idx="5">
                  <c:v>4</c:v>
                </c:pt>
                <c:pt idx="6">
                  <c:v>4</c:v>
                </c:pt>
                <c:pt idx="7">
                  <c:v>3</c:v>
                </c:pt>
                <c:pt idx="8">
                  <c:v>5</c:v>
                </c:pt>
                <c:pt idx="9">
                  <c:v>4</c:v>
                </c:pt>
              </c:numCache>
            </c:numRef>
          </c:val>
          <c:extLst>
            <c:ext xmlns:c16="http://schemas.microsoft.com/office/drawing/2014/chart" uri="{C3380CC4-5D6E-409C-BE32-E72D297353CC}">
              <c16:uniqueId val="{00000009-12A7-44F9-AEE6-10EC912FA7BB}"/>
            </c:ext>
          </c:extLst>
        </c:ser>
        <c:dLbls>
          <c:dLblPos val="ctr"/>
          <c:showLegendKey val="0"/>
          <c:showVal val="1"/>
          <c:showCatName val="0"/>
          <c:showSerName val="0"/>
          <c:showPercent val="0"/>
          <c:showBubbleSize val="0"/>
        </c:dLbls>
        <c:gapWidth val="150"/>
        <c:overlap val="100"/>
        <c:axId val="1143914575"/>
        <c:axId val="1022613631"/>
      </c:barChart>
      <c:catAx>
        <c:axId val="1143914575"/>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22613631"/>
        <c:crosses val="autoZero"/>
        <c:auto val="1"/>
        <c:lblAlgn val="ctr"/>
        <c:lblOffset val="100"/>
        <c:noMultiLvlLbl val="0"/>
      </c:catAx>
      <c:valAx>
        <c:axId val="102261363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14391457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0" i="0" u="none" strike="noStrike" baseline="0"/>
              <a:t>Frequency of sales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Sheet1!$D$336:$M$336</c:f>
              <c:numCache>
                <c:formatCode>General</c:formatCode>
                <c:ptCount val="10"/>
                <c:pt idx="0">
                  <c:v>35</c:v>
                </c:pt>
                <c:pt idx="1">
                  <c:v>28</c:v>
                </c:pt>
                <c:pt idx="2">
                  <c:v>32</c:v>
                </c:pt>
                <c:pt idx="3">
                  <c:v>45</c:v>
                </c:pt>
                <c:pt idx="4">
                  <c:v>38</c:v>
                </c:pt>
                <c:pt idx="5">
                  <c:v>29</c:v>
                </c:pt>
                <c:pt idx="6">
                  <c:v>42</c:v>
                </c:pt>
                <c:pt idx="7">
                  <c:v>30</c:v>
                </c:pt>
                <c:pt idx="8">
                  <c:v>36</c:v>
                </c:pt>
                <c:pt idx="9">
                  <c:v>41</c:v>
                </c:pt>
              </c:numCache>
            </c:numRef>
          </c:val>
          <c:extLst>
            <c:ext xmlns:c16="http://schemas.microsoft.com/office/drawing/2014/chart" uri="{C3380CC4-5D6E-409C-BE32-E72D297353CC}">
              <c16:uniqueId val="{00000000-3E3E-4AC8-970E-7137297787C2}"/>
            </c:ext>
          </c:extLst>
        </c:ser>
        <c: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Sheet1!$D$337:$M$337</c:f>
              <c:numCache>
                <c:formatCode>General</c:formatCode>
                <c:ptCount val="10"/>
                <c:pt idx="0">
                  <c:v>47</c:v>
                </c:pt>
                <c:pt idx="1">
                  <c:v>31</c:v>
                </c:pt>
                <c:pt idx="2">
                  <c:v>39</c:v>
                </c:pt>
                <c:pt idx="3">
                  <c:v>43</c:v>
                </c:pt>
                <c:pt idx="4">
                  <c:v>37</c:v>
                </c:pt>
                <c:pt idx="5">
                  <c:v>30</c:v>
                </c:pt>
                <c:pt idx="6">
                  <c:v>34</c:v>
                </c:pt>
                <c:pt idx="7">
                  <c:v>39</c:v>
                </c:pt>
                <c:pt idx="8">
                  <c:v>28</c:v>
                </c:pt>
                <c:pt idx="9">
                  <c:v>33</c:v>
                </c:pt>
              </c:numCache>
            </c:numRef>
          </c:val>
          <c:extLst>
            <c:ext xmlns:c16="http://schemas.microsoft.com/office/drawing/2014/chart" uri="{C3380CC4-5D6E-409C-BE32-E72D297353CC}">
              <c16:uniqueId val="{00000001-3E3E-4AC8-970E-7137297787C2}"/>
            </c:ext>
          </c:extLst>
        </c:ser>
        <c:ser>
          <c:idx val="2"/>
          <c:order val="2"/>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Sheet1!$D$338:$M$338</c:f>
              <c:numCache>
                <c:formatCode>General</c:formatCode>
                <c:ptCount val="10"/>
                <c:pt idx="0">
                  <c:v>36</c:v>
                </c:pt>
                <c:pt idx="1">
                  <c:v>40</c:v>
                </c:pt>
                <c:pt idx="2">
                  <c:v>42</c:v>
                </c:pt>
                <c:pt idx="3">
                  <c:v>29</c:v>
                </c:pt>
                <c:pt idx="4">
                  <c:v>31</c:v>
                </c:pt>
                <c:pt idx="5">
                  <c:v>45</c:v>
                </c:pt>
                <c:pt idx="6">
                  <c:v>38</c:v>
                </c:pt>
                <c:pt idx="7">
                  <c:v>33</c:v>
                </c:pt>
                <c:pt idx="8">
                  <c:v>41</c:v>
                </c:pt>
                <c:pt idx="9">
                  <c:v>35</c:v>
                </c:pt>
              </c:numCache>
            </c:numRef>
          </c:val>
          <c:extLst>
            <c:ext xmlns:c16="http://schemas.microsoft.com/office/drawing/2014/chart" uri="{C3380CC4-5D6E-409C-BE32-E72D297353CC}">
              <c16:uniqueId val="{00000002-3E3E-4AC8-970E-7137297787C2}"/>
            </c:ext>
          </c:extLst>
        </c:ser>
        <c:ser>
          <c:idx val="3"/>
          <c:order val="3"/>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Sheet1!$D$339:$M$339</c:f>
              <c:numCache>
                <c:formatCode>General</c:formatCode>
                <c:ptCount val="10"/>
                <c:pt idx="0">
                  <c:v>37</c:v>
                </c:pt>
                <c:pt idx="1">
                  <c:v>34</c:v>
                </c:pt>
                <c:pt idx="2">
                  <c:v>46</c:v>
                </c:pt>
                <c:pt idx="3">
                  <c:v>30</c:v>
                </c:pt>
                <c:pt idx="4">
                  <c:v>39</c:v>
                </c:pt>
                <c:pt idx="5">
                  <c:v>43</c:v>
                </c:pt>
                <c:pt idx="6">
                  <c:v>28</c:v>
                </c:pt>
                <c:pt idx="7">
                  <c:v>32</c:v>
                </c:pt>
                <c:pt idx="8">
                  <c:v>36</c:v>
                </c:pt>
                <c:pt idx="9">
                  <c:v>29</c:v>
                </c:pt>
              </c:numCache>
            </c:numRef>
          </c:val>
          <c:extLst>
            <c:ext xmlns:c16="http://schemas.microsoft.com/office/drawing/2014/chart" uri="{C3380CC4-5D6E-409C-BE32-E72D297353CC}">
              <c16:uniqueId val="{00000003-3E3E-4AC8-970E-7137297787C2}"/>
            </c:ext>
          </c:extLst>
        </c:ser>
        <c:ser>
          <c:idx val="4"/>
          <c:order val="4"/>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Sheet1!$D$340:$M$340</c:f>
              <c:numCache>
                <c:formatCode>General</c:formatCode>
                <c:ptCount val="10"/>
                <c:pt idx="0">
                  <c:v>31</c:v>
                </c:pt>
                <c:pt idx="1">
                  <c:v>37</c:v>
                </c:pt>
                <c:pt idx="2">
                  <c:v>40</c:v>
                </c:pt>
                <c:pt idx="3">
                  <c:v>42</c:v>
                </c:pt>
                <c:pt idx="4">
                  <c:v>33</c:v>
                </c:pt>
                <c:pt idx="5">
                  <c:v>39</c:v>
                </c:pt>
                <c:pt idx="6">
                  <c:v>28</c:v>
                </c:pt>
                <c:pt idx="7">
                  <c:v>35</c:v>
                </c:pt>
                <c:pt idx="8">
                  <c:v>38</c:v>
                </c:pt>
                <c:pt idx="9">
                  <c:v>43</c:v>
                </c:pt>
              </c:numCache>
            </c:numRef>
          </c:val>
          <c:extLst>
            <c:ext xmlns:c16="http://schemas.microsoft.com/office/drawing/2014/chart" uri="{C3380CC4-5D6E-409C-BE32-E72D297353CC}">
              <c16:uniqueId val="{00000004-3E3E-4AC8-970E-7137297787C2}"/>
            </c:ext>
          </c:extLst>
        </c:ser>
        <c:dLbls>
          <c:dLblPos val="ctr"/>
          <c:showLegendKey val="0"/>
          <c:showVal val="1"/>
          <c:showCatName val="0"/>
          <c:showSerName val="0"/>
          <c:showPercent val="0"/>
          <c:showBubbleSize val="0"/>
        </c:dLbls>
        <c:gapWidth val="150"/>
        <c:overlap val="100"/>
        <c:axId val="1268537247"/>
        <c:axId val="1022660175"/>
      </c:barChart>
      <c:catAx>
        <c:axId val="1268537247"/>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22660175"/>
        <c:crosses val="autoZero"/>
        <c:auto val="1"/>
        <c:lblAlgn val="ctr"/>
        <c:lblOffset val="100"/>
        <c:noMultiLvlLbl val="0"/>
      </c:catAx>
      <c:valAx>
        <c:axId val="102266017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2685372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Frequancy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Sheet1!$D$378:$M$378</c:f>
              <c:numCache>
                <c:formatCode>General</c:formatCode>
                <c:ptCount val="10"/>
                <c:pt idx="0">
                  <c:v>125</c:v>
                </c:pt>
                <c:pt idx="1">
                  <c:v>148</c:v>
                </c:pt>
                <c:pt idx="2">
                  <c:v>137</c:v>
                </c:pt>
                <c:pt idx="3">
                  <c:v>120</c:v>
                </c:pt>
                <c:pt idx="4">
                  <c:v>135</c:v>
                </c:pt>
                <c:pt idx="5">
                  <c:v>132</c:v>
                </c:pt>
                <c:pt idx="6">
                  <c:v>145</c:v>
                </c:pt>
                <c:pt idx="7">
                  <c:v>122</c:v>
                </c:pt>
                <c:pt idx="8">
                  <c:v>130</c:v>
                </c:pt>
                <c:pt idx="9">
                  <c:v>141</c:v>
                </c:pt>
              </c:numCache>
            </c:numRef>
          </c:val>
          <c:extLst>
            <c:ext xmlns:c16="http://schemas.microsoft.com/office/drawing/2014/chart" uri="{C3380CC4-5D6E-409C-BE32-E72D297353CC}">
              <c16:uniqueId val="{00000000-F56A-4454-ACCE-C6CDF96548BC}"/>
            </c:ext>
          </c:extLst>
        </c:ser>
        <c: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Sheet1!$D$379:$M$379</c:f>
              <c:numCache>
                <c:formatCode>General</c:formatCode>
                <c:ptCount val="10"/>
                <c:pt idx="0">
                  <c:v>118</c:v>
                </c:pt>
                <c:pt idx="1">
                  <c:v>125</c:v>
                </c:pt>
                <c:pt idx="2">
                  <c:v>132</c:v>
                </c:pt>
                <c:pt idx="3">
                  <c:v>136</c:v>
                </c:pt>
                <c:pt idx="4">
                  <c:v>128</c:v>
                </c:pt>
                <c:pt idx="5">
                  <c:v>123</c:v>
                </c:pt>
                <c:pt idx="6">
                  <c:v>132</c:v>
                </c:pt>
                <c:pt idx="7">
                  <c:v>138</c:v>
                </c:pt>
                <c:pt idx="8">
                  <c:v>126</c:v>
                </c:pt>
                <c:pt idx="9">
                  <c:v>129</c:v>
                </c:pt>
              </c:numCache>
            </c:numRef>
          </c:val>
          <c:extLst>
            <c:ext xmlns:c16="http://schemas.microsoft.com/office/drawing/2014/chart" uri="{C3380CC4-5D6E-409C-BE32-E72D297353CC}">
              <c16:uniqueId val="{00000001-F56A-4454-ACCE-C6CDF96548BC}"/>
            </c:ext>
          </c:extLst>
        </c:ser>
        <c:ser>
          <c:idx val="2"/>
          <c:order val="2"/>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Sheet1!$D$380:$M$380</c:f>
              <c:numCache>
                <c:formatCode>General</c:formatCode>
                <c:ptCount val="10"/>
                <c:pt idx="0">
                  <c:v>136</c:v>
                </c:pt>
                <c:pt idx="1">
                  <c:v>127</c:v>
                </c:pt>
                <c:pt idx="2">
                  <c:v>130</c:v>
                </c:pt>
                <c:pt idx="3">
                  <c:v>122</c:v>
                </c:pt>
                <c:pt idx="4">
                  <c:v>125</c:v>
                </c:pt>
                <c:pt idx="5">
                  <c:v>133</c:v>
                </c:pt>
                <c:pt idx="6">
                  <c:v>140</c:v>
                </c:pt>
                <c:pt idx="7">
                  <c:v>126</c:v>
                </c:pt>
                <c:pt idx="8">
                  <c:v>133</c:v>
                </c:pt>
                <c:pt idx="9">
                  <c:v>135</c:v>
                </c:pt>
              </c:numCache>
            </c:numRef>
          </c:val>
          <c:extLst>
            <c:ext xmlns:c16="http://schemas.microsoft.com/office/drawing/2014/chart" uri="{C3380CC4-5D6E-409C-BE32-E72D297353CC}">
              <c16:uniqueId val="{00000002-F56A-4454-ACCE-C6CDF96548BC}"/>
            </c:ext>
          </c:extLst>
        </c:ser>
        <c:ser>
          <c:idx val="3"/>
          <c:order val="3"/>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Sheet1!$D$381:$M$381</c:f>
              <c:numCache>
                <c:formatCode>General</c:formatCode>
                <c:ptCount val="10"/>
                <c:pt idx="0">
                  <c:v>130</c:v>
                </c:pt>
                <c:pt idx="1">
                  <c:v>134</c:v>
                </c:pt>
                <c:pt idx="2">
                  <c:v>141</c:v>
                </c:pt>
                <c:pt idx="3">
                  <c:v>119</c:v>
                </c:pt>
                <c:pt idx="4">
                  <c:v>125</c:v>
                </c:pt>
                <c:pt idx="5">
                  <c:v>131</c:v>
                </c:pt>
                <c:pt idx="6">
                  <c:v>136</c:v>
                </c:pt>
                <c:pt idx="7">
                  <c:v>128</c:v>
                </c:pt>
                <c:pt idx="8">
                  <c:v>124</c:v>
                </c:pt>
                <c:pt idx="9">
                  <c:v>132</c:v>
                </c:pt>
              </c:numCache>
            </c:numRef>
          </c:val>
          <c:extLst>
            <c:ext xmlns:c16="http://schemas.microsoft.com/office/drawing/2014/chart" uri="{C3380CC4-5D6E-409C-BE32-E72D297353CC}">
              <c16:uniqueId val="{00000003-F56A-4454-ACCE-C6CDF96548BC}"/>
            </c:ext>
          </c:extLst>
        </c:ser>
        <c:ser>
          <c:idx val="4"/>
          <c:order val="4"/>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Sheet1!$D$382:$M$382</c:f>
              <c:numCache>
                <c:formatCode>General</c:formatCode>
                <c:ptCount val="10"/>
                <c:pt idx="0">
                  <c:v>136</c:v>
                </c:pt>
                <c:pt idx="1">
                  <c:v>127</c:v>
                </c:pt>
                <c:pt idx="2">
                  <c:v>130</c:v>
                </c:pt>
                <c:pt idx="3">
                  <c:v>122</c:v>
                </c:pt>
                <c:pt idx="4">
                  <c:v>125</c:v>
                </c:pt>
                <c:pt idx="5">
                  <c:v>133</c:v>
                </c:pt>
                <c:pt idx="6">
                  <c:v>140</c:v>
                </c:pt>
                <c:pt idx="7">
                  <c:v>126</c:v>
                </c:pt>
                <c:pt idx="8">
                  <c:v>133</c:v>
                </c:pt>
                <c:pt idx="9">
                  <c:v>135</c:v>
                </c:pt>
              </c:numCache>
            </c:numRef>
          </c:val>
          <c:extLst>
            <c:ext xmlns:c16="http://schemas.microsoft.com/office/drawing/2014/chart" uri="{C3380CC4-5D6E-409C-BE32-E72D297353CC}">
              <c16:uniqueId val="{00000004-F56A-4454-ACCE-C6CDF96548BC}"/>
            </c:ext>
          </c:extLst>
        </c:ser>
        <c:ser>
          <c:idx val="5"/>
          <c:order val="5"/>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Sheet1!$D$383:$M$383</c:f>
              <c:numCache>
                <c:formatCode>General</c:formatCode>
                <c:ptCount val="10"/>
                <c:pt idx="0">
                  <c:v>130</c:v>
                </c:pt>
                <c:pt idx="1">
                  <c:v>134</c:v>
                </c:pt>
                <c:pt idx="2">
                  <c:v>141</c:v>
                </c:pt>
                <c:pt idx="3">
                  <c:v>119</c:v>
                </c:pt>
                <c:pt idx="4">
                  <c:v>125</c:v>
                </c:pt>
                <c:pt idx="5">
                  <c:v>131</c:v>
                </c:pt>
                <c:pt idx="6">
                  <c:v>136</c:v>
                </c:pt>
                <c:pt idx="7">
                  <c:v>128</c:v>
                </c:pt>
                <c:pt idx="8">
                  <c:v>124</c:v>
                </c:pt>
                <c:pt idx="9">
                  <c:v>132</c:v>
                </c:pt>
              </c:numCache>
            </c:numRef>
          </c:val>
          <c:extLst>
            <c:ext xmlns:c16="http://schemas.microsoft.com/office/drawing/2014/chart" uri="{C3380CC4-5D6E-409C-BE32-E72D297353CC}">
              <c16:uniqueId val="{00000005-F56A-4454-ACCE-C6CDF96548BC}"/>
            </c:ext>
          </c:extLst>
        </c:ser>
        <c:ser>
          <c:idx val="6"/>
          <c:order val="6"/>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Sheet1!$D$384:$M$384</c:f>
              <c:numCache>
                <c:formatCode>General</c:formatCode>
                <c:ptCount val="10"/>
                <c:pt idx="0">
                  <c:v>136</c:v>
                </c:pt>
                <c:pt idx="1">
                  <c:v>127</c:v>
                </c:pt>
                <c:pt idx="2">
                  <c:v>130</c:v>
                </c:pt>
                <c:pt idx="3">
                  <c:v>122</c:v>
                </c:pt>
                <c:pt idx="4">
                  <c:v>125</c:v>
                </c:pt>
                <c:pt idx="5">
                  <c:v>133</c:v>
                </c:pt>
                <c:pt idx="6">
                  <c:v>140</c:v>
                </c:pt>
                <c:pt idx="7">
                  <c:v>126</c:v>
                </c:pt>
                <c:pt idx="8">
                  <c:v>133</c:v>
                </c:pt>
                <c:pt idx="9">
                  <c:v>135</c:v>
                </c:pt>
              </c:numCache>
            </c:numRef>
          </c:val>
          <c:extLst>
            <c:ext xmlns:c16="http://schemas.microsoft.com/office/drawing/2014/chart" uri="{C3380CC4-5D6E-409C-BE32-E72D297353CC}">
              <c16:uniqueId val="{00000006-F56A-4454-ACCE-C6CDF96548BC}"/>
            </c:ext>
          </c:extLst>
        </c:ser>
        <c:ser>
          <c:idx val="7"/>
          <c:order val="7"/>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Sheet1!$D$385:$M$385</c:f>
              <c:numCache>
                <c:formatCode>General</c:formatCode>
                <c:ptCount val="10"/>
                <c:pt idx="0">
                  <c:v>130</c:v>
                </c:pt>
                <c:pt idx="1">
                  <c:v>134</c:v>
                </c:pt>
                <c:pt idx="2">
                  <c:v>141</c:v>
                </c:pt>
                <c:pt idx="3">
                  <c:v>119</c:v>
                </c:pt>
                <c:pt idx="4">
                  <c:v>125</c:v>
                </c:pt>
                <c:pt idx="5">
                  <c:v>131</c:v>
                </c:pt>
                <c:pt idx="6">
                  <c:v>136</c:v>
                </c:pt>
                <c:pt idx="7">
                  <c:v>128</c:v>
                </c:pt>
                <c:pt idx="8">
                  <c:v>124</c:v>
                </c:pt>
                <c:pt idx="9">
                  <c:v>132</c:v>
                </c:pt>
              </c:numCache>
            </c:numRef>
          </c:val>
          <c:extLst>
            <c:ext xmlns:c16="http://schemas.microsoft.com/office/drawing/2014/chart" uri="{C3380CC4-5D6E-409C-BE32-E72D297353CC}">
              <c16:uniqueId val="{00000007-F56A-4454-ACCE-C6CDF96548BC}"/>
            </c:ext>
          </c:extLst>
        </c:ser>
        <c:ser>
          <c:idx val="8"/>
          <c:order val="8"/>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Sheet1!$D$386:$M$386</c:f>
              <c:numCache>
                <c:formatCode>General</c:formatCode>
                <c:ptCount val="10"/>
                <c:pt idx="0">
                  <c:v>136</c:v>
                </c:pt>
                <c:pt idx="1">
                  <c:v>127</c:v>
                </c:pt>
                <c:pt idx="2">
                  <c:v>130</c:v>
                </c:pt>
                <c:pt idx="3">
                  <c:v>122</c:v>
                </c:pt>
                <c:pt idx="4">
                  <c:v>125</c:v>
                </c:pt>
                <c:pt idx="5">
                  <c:v>133</c:v>
                </c:pt>
                <c:pt idx="6">
                  <c:v>140</c:v>
                </c:pt>
                <c:pt idx="7">
                  <c:v>126</c:v>
                </c:pt>
                <c:pt idx="8">
                  <c:v>133</c:v>
                </c:pt>
                <c:pt idx="9">
                  <c:v>135</c:v>
                </c:pt>
              </c:numCache>
            </c:numRef>
          </c:val>
          <c:extLst>
            <c:ext xmlns:c16="http://schemas.microsoft.com/office/drawing/2014/chart" uri="{C3380CC4-5D6E-409C-BE32-E72D297353CC}">
              <c16:uniqueId val="{00000008-F56A-4454-ACCE-C6CDF96548BC}"/>
            </c:ext>
          </c:extLst>
        </c:ser>
        <c:ser>
          <c:idx val="9"/>
          <c:order val="9"/>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Sheet1!$D$387:$M$387</c:f>
              <c:numCache>
                <c:formatCode>General</c:formatCode>
                <c:ptCount val="10"/>
                <c:pt idx="0">
                  <c:v>130</c:v>
                </c:pt>
                <c:pt idx="1">
                  <c:v>134</c:v>
                </c:pt>
                <c:pt idx="2">
                  <c:v>141</c:v>
                </c:pt>
                <c:pt idx="3">
                  <c:v>119</c:v>
                </c:pt>
                <c:pt idx="4">
                  <c:v>125</c:v>
                </c:pt>
                <c:pt idx="5">
                  <c:v>131</c:v>
                </c:pt>
                <c:pt idx="6">
                  <c:v>136</c:v>
                </c:pt>
                <c:pt idx="7">
                  <c:v>128</c:v>
                </c:pt>
                <c:pt idx="8">
                  <c:v>124</c:v>
                </c:pt>
                <c:pt idx="9">
                  <c:v>132</c:v>
                </c:pt>
              </c:numCache>
            </c:numRef>
          </c:val>
          <c:extLst>
            <c:ext xmlns:c16="http://schemas.microsoft.com/office/drawing/2014/chart" uri="{C3380CC4-5D6E-409C-BE32-E72D297353CC}">
              <c16:uniqueId val="{00000009-F56A-4454-ACCE-C6CDF96548BC}"/>
            </c:ext>
          </c:extLst>
        </c:ser>
        <c:dLbls>
          <c:dLblPos val="ctr"/>
          <c:showLegendKey val="0"/>
          <c:showVal val="1"/>
          <c:showCatName val="0"/>
          <c:showSerName val="0"/>
          <c:showPercent val="0"/>
          <c:showBubbleSize val="0"/>
        </c:dLbls>
        <c:gapWidth val="150"/>
        <c:overlap val="100"/>
        <c:axId val="1265542751"/>
        <c:axId val="1144951871"/>
      </c:barChart>
      <c:catAx>
        <c:axId val="1265542751"/>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4951871"/>
        <c:crosses val="autoZero"/>
        <c:auto val="1"/>
        <c:lblAlgn val="ctr"/>
        <c:lblOffset val="100"/>
        <c:noMultiLvlLbl val="0"/>
      </c:catAx>
      <c:valAx>
        <c:axId val="114495187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655427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Bar</a:t>
            </a:r>
            <a:r>
              <a:rPr lang="en-IN" baseline="0"/>
              <a:t> chart of sales figures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Sheet1!$F$425:$O$425</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F6DB-462A-B78A-93A382B99B8F}"/>
            </c:ext>
          </c:extLst>
        </c:ser>
        <c: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Sheet1!$F$426:$O$426</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F6DB-462A-B78A-93A382B99B8F}"/>
            </c:ext>
          </c:extLst>
        </c:ser>
        <c:ser>
          <c:idx val="2"/>
          <c:order val="2"/>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Sheet1!$F$427:$O$427</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F6DB-462A-B78A-93A382B99B8F}"/>
            </c:ext>
          </c:extLst>
        </c:ser>
        <c:dLbls>
          <c:dLblPos val="ctr"/>
          <c:showLegendKey val="0"/>
          <c:showVal val="1"/>
          <c:showCatName val="0"/>
          <c:showSerName val="0"/>
          <c:showPercent val="0"/>
          <c:showBubbleSize val="0"/>
        </c:dLbls>
        <c:gapWidth val="150"/>
        <c:overlap val="100"/>
        <c:axId val="1271239471"/>
        <c:axId val="1144965791"/>
      </c:barChart>
      <c:catAx>
        <c:axId val="1271239471"/>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4965791"/>
        <c:crosses val="autoZero"/>
        <c:auto val="1"/>
        <c:lblAlgn val="ctr"/>
        <c:lblOffset val="100"/>
        <c:noMultiLvlLbl val="0"/>
      </c:catAx>
      <c:valAx>
        <c:axId val="114496579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7123947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_xlchart.v1.18</cx:f>
      </cx:numDim>
    </cx:data>
    <cx:data id="1">
      <cx:numDim type="val">
        <cx:f dir="row">_xlchart.v1.19</cx:f>
      </cx:numDim>
    </cx:data>
    <cx:data id="2">
      <cx:numDim type="val">
        <cx:f dir="row">_xlchart.v1.20</cx:f>
      </cx:numDim>
    </cx:data>
    <cx:data id="3">
      <cx:numDim type="val">
        <cx:f dir="row">_xlchart.v1.21</cx:f>
      </cx:numDim>
    </cx:data>
    <cx:data id="4">
      <cx:numDim type="val">
        <cx:f dir="row">_xlchart.v1.22</cx:f>
      </cx:numDim>
    </cx:data>
    <cx:data id="5">
      <cx:numDim type="val">
        <cx:f dir="row">_xlchart.v1.23</cx:f>
      </cx:numDim>
    </cx:data>
    <cx:data id="6">
      <cx:numDim type="val">
        <cx:f dir="row">_xlchart.v1.24</cx:f>
      </cx:numDim>
    </cx:data>
    <cx:data id="7">
      <cx:numDim type="val">
        <cx:f dir="row">_xlchart.v1.25</cx:f>
      </cx:numDim>
    </cx:data>
    <cx:data id="8">
      <cx:numDim type="val">
        <cx:f dir="row">_xlchart.v1.26</cx:f>
      </cx:numDim>
    </cx:data>
    <cx:data id="9">
      <cx:numDim type="val">
        <cx:f dir="row">_xlchart.v1.27</cx:f>
      </cx:numDim>
    </cx:data>
  </cx:chartData>
  <cx:chart>
    <cx:title pos="t" align="ctr" overlay="0">
      <cx:tx>
        <cx:rich>
          <a:bodyPr spcFirstLastPara="1" vertOverflow="ellipsis" horzOverflow="overflow" wrap="square" lIns="0" tIns="0" rIns="0" bIns="0" anchor="ctr" anchorCtr="1"/>
          <a:lstStyle/>
          <a:p>
            <a:pPr algn="ctr" rtl="0">
              <a:defRPr/>
            </a:pPr>
            <a:r>
              <a:rPr lang="en-IN" sz="1800" b="0" i="0" u="none" strike="noStrike" baseline="0">
                <a:solidFill>
                  <a:sysClr val="windowText" lastClr="000000">
                    <a:lumMod val="75000"/>
                    <a:lumOff val="25000"/>
                  </a:sysClr>
                </a:solidFill>
                <a:latin typeface="Calibri" panose="020F0502020204030204"/>
                <a:ea typeface="Calibri" panose="020F0502020204030204" pitchFamily="34" charset="0"/>
                <a:cs typeface="Calibri" panose="020F0502020204030204" pitchFamily="34" charset="0"/>
              </a:rPr>
              <a:t>distribution of satisfaction ratings</a:t>
            </a:r>
            <a:endParaRPr lang="en-US" sz="1800" b="1" i="0" u="none" strike="noStrike" baseline="0">
              <a:solidFill>
                <a:sysClr val="windowText" lastClr="000000">
                  <a:lumMod val="75000"/>
                  <a:lumOff val="25000"/>
                </a:sysClr>
              </a:solidFill>
              <a:latin typeface="Calibri" panose="020F0502020204030204"/>
            </a:endParaRPr>
          </a:p>
        </cx:rich>
      </cx:tx>
    </cx:title>
    <cx:plotArea>
      <cx:plotAreaRegion>
        <cx:series layoutId="clusteredColumn" uniqueId="{6EEE3F0C-FFDF-4167-9534-F5CCE276D0E1}" formatIdx="0">
          <cx:dataLabels pos="inEnd">
            <cx:visibility seriesName="0" categoryName="0" value="1"/>
          </cx:dataLabels>
          <cx:dataId val="0"/>
          <cx:layoutPr>
            <cx:binning intervalClosed="r"/>
          </cx:layoutPr>
        </cx:series>
        <cx:series layoutId="clusteredColumn" hidden="1" uniqueId="{E12AEA2D-653A-4B07-917A-A5F8F0BBF77F}" formatIdx="1">
          <cx:dataLabels pos="inEnd">
            <cx:visibility seriesName="0" categoryName="0" value="1"/>
          </cx:dataLabels>
          <cx:dataId val="1"/>
          <cx:layoutPr>
            <cx:binning intervalClosed="r"/>
          </cx:layoutPr>
        </cx:series>
        <cx:series layoutId="clusteredColumn" hidden="1" uniqueId="{52F786AC-6FD8-4042-A467-AAC62198D0EF}" formatIdx="2">
          <cx:dataLabels pos="inEnd">
            <cx:visibility seriesName="0" categoryName="0" value="1"/>
          </cx:dataLabels>
          <cx:dataId val="2"/>
          <cx:layoutPr>
            <cx:binning intervalClosed="r"/>
          </cx:layoutPr>
        </cx:series>
        <cx:series layoutId="clusteredColumn" hidden="1" uniqueId="{CDE39471-3372-463D-A876-01636D3F90EC}" formatIdx="3">
          <cx:dataLabels pos="inEnd">
            <cx:visibility seriesName="0" categoryName="0" value="1"/>
          </cx:dataLabels>
          <cx:dataId val="3"/>
          <cx:layoutPr>
            <cx:binning intervalClosed="r"/>
          </cx:layoutPr>
        </cx:series>
        <cx:series layoutId="clusteredColumn" hidden="1" uniqueId="{6850AD92-5CD0-4271-8981-349CD0F0EB75}" formatIdx="4">
          <cx:dataLabels pos="inEnd">
            <cx:visibility seriesName="0" categoryName="0" value="1"/>
          </cx:dataLabels>
          <cx:dataId val="4"/>
          <cx:layoutPr>
            <cx:binning intervalClosed="r"/>
          </cx:layoutPr>
        </cx:series>
        <cx:series layoutId="clusteredColumn" hidden="1" uniqueId="{15609FB0-E7F0-45AB-9372-CAC3AC2DFFD3}" formatIdx="5">
          <cx:dataLabels pos="inEnd">
            <cx:visibility seriesName="0" categoryName="0" value="1"/>
          </cx:dataLabels>
          <cx:dataId val="5"/>
          <cx:layoutPr>
            <cx:binning intervalClosed="r"/>
          </cx:layoutPr>
        </cx:series>
        <cx:series layoutId="clusteredColumn" hidden="1" uniqueId="{C327E000-57B7-4AB0-9B6C-32423781343E}" formatIdx="6">
          <cx:dataLabels pos="inEnd">
            <cx:visibility seriesName="0" categoryName="0" value="1"/>
          </cx:dataLabels>
          <cx:dataId val="6"/>
          <cx:layoutPr>
            <cx:binning intervalClosed="r"/>
          </cx:layoutPr>
        </cx:series>
        <cx:series layoutId="clusteredColumn" hidden="1" uniqueId="{F401D8C7-267E-4FCE-9B0C-6F5F34F2394D}" formatIdx="7">
          <cx:dataLabels pos="inEnd">
            <cx:visibility seriesName="0" categoryName="0" value="1"/>
          </cx:dataLabels>
          <cx:dataId val="7"/>
          <cx:layoutPr>
            <cx:binning intervalClosed="r"/>
          </cx:layoutPr>
        </cx:series>
        <cx:series layoutId="clusteredColumn" hidden="1" uniqueId="{9BDEAAFA-47A0-4A9A-A85D-34AB3054BD67}" formatIdx="8">
          <cx:dataLabels pos="inEnd">
            <cx:visibility seriesName="0" categoryName="0" value="1"/>
          </cx:dataLabels>
          <cx:dataId val="8"/>
          <cx:layoutPr>
            <cx:binning intervalClosed="r"/>
          </cx:layoutPr>
        </cx:series>
        <cx:series layoutId="clusteredColumn" hidden="1" uniqueId="{9F1379FB-8029-451A-8FB9-C301E63F001B}" formatIdx="9">
          <cx:dataLabels pos="inEnd">
            <cx:visibility seriesName="0" categoryName="0" value="1"/>
          </cx:dataLabels>
          <cx:dataId val="9"/>
          <cx:layoutPr>
            <cx:binning intervalClosed="r"/>
          </cx:layoutPr>
        </cx:series>
      </cx:plotAreaRegion>
      <cx:axis id="0">
        <cx:catScaling gapWidth="0"/>
        <cx:tickLabels/>
      </cx:axis>
      <cx:axis id="1" hidden="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_xlchart.v1.10</cx:f>
      </cx:numDim>
    </cx:data>
    <cx:data id="1">
      <cx:numDim type="val">
        <cx:f dir="row">_xlchart.v1.11</cx:f>
      </cx:numDim>
    </cx:data>
    <cx:data id="2">
      <cx:numDim type="val">
        <cx:f dir="row">_xlchart.v1.12</cx:f>
      </cx:numDim>
    </cx:data>
    <cx:data id="3">
      <cx:numDim type="val">
        <cx:f dir="row">_xlchart.v1.13</cx:f>
      </cx:numDim>
    </cx:data>
    <cx:data id="4">
      <cx:numDim type="val">
        <cx:f dir="row">_xlchart.v1.14</cx:f>
      </cx:numDim>
    </cx:data>
  </cx:chartData>
  <cx:chart>
    <cx:title pos="t" align="ctr" overlay="0">
      <cx:tx>
        <cx:rich>
          <a:bodyPr spcFirstLastPara="1" vertOverflow="ellipsis" horzOverflow="overflow" wrap="square" lIns="0" tIns="0" rIns="0" bIns="0" anchor="ctr" anchorCtr="1"/>
          <a:lstStyle/>
          <a:p>
            <a:pPr algn="ctr" rtl="0">
              <a:defRPr/>
            </a:pPr>
            <a:r>
              <a:rPr lang="en-IN" sz="1800" b="0" i="0" u="none" strike="noStrike" baseline="0">
                <a:solidFill>
                  <a:sysClr val="windowText" lastClr="000000">
                    <a:lumMod val="75000"/>
                    <a:lumOff val="25000"/>
                  </a:sysClr>
                </a:solidFill>
                <a:latin typeface="Calibri" panose="020F0502020204030204"/>
                <a:ea typeface="Calibri" panose="020F0502020204030204" pitchFamily="34" charset="0"/>
                <a:cs typeface="Calibri" panose="020F0502020204030204" pitchFamily="34" charset="0"/>
              </a:rPr>
              <a:t>visualize the sales distribution</a:t>
            </a:r>
            <a:endParaRPr lang="en-US" sz="1800" b="1" i="0" u="none" strike="noStrike" baseline="0">
              <a:solidFill>
                <a:sysClr val="windowText" lastClr="000000">
                  <a:lumMod val="75000"/>
                  <a:lumOff val="25000"/>
                </a:sysClr>
              </a:solidFill>
              <a:latin typeface="Calibri" panose="020F0502020204030204"/>
            </a:endParaRPr>
          </a:p>
        </cx:rich>
      </cx:tx>
    </cx:title>
    <cx:plotArea>
      <cx:plotAreaRegion>
        <cx:series layoutId="clusteredColumn" uniqueId="{6385E3FD-FA5F-44BF-903B-A6751B7DE6DD}" formatIdx="0">
          <cx:dataLabels pos="inEnd">
            <cx:visibility seriesName="0" categoryName="0" value="1"/>
          </cx:dataLabels>
          <cx:dataId val="0"/>
          <cx:layoutPr>
            <cx:binning intervalClosed="r"/>
          </cx:layoutPr>
        </cx:series>
        <cx:series layoutId="clusteredColumn" hidden="1" uniqueId="{94531146-8D79-4F14-99FC-1D2FD6D6191B}" formatIdx="1">
          <cx:dataLabels pos="inEnd">
            <cx:visibility seriesName="0" categoryName="0" value="1"/>
          </cx:dataLabels>
          <cx:dataId val="1"/>
          <cx:layoutPr>
            <cx:binning intervalClosed="r"/>
          </cx:layoutPr>
        </cx:series>
        <cx:series layoutId="clusteredColumn" hidden="1" uniqueId="{8CDD6DB5-99C0-45A2-845A-7BEC4482BBBA}" formatIdx="2">
          <cx:dataLabels pos="inEnd">
            <cx:visibility seriesName="0" categoryName="0" value="1"/>
          </cx:dataLabels>
          <cx:dataId val="2"/>
          <cx:layoutPr>
            <cx:binning intervalClosed="r"/>
          </cx:layoutPr>
        </cx:series>
        <cx:series layoutId="clusteredColumn" hidden="1" uniqueId="{4AE3F97B-015B-4F22-AF36-FC40A52D3000}" formatIdx="3">
          <cx:dataLabels pos="inEnd">
            <cx:visibility seriesName="0" categoryName="0" value="1"/>
          </cx:dataLabels>
          <cx:dataId val="3"/>
          <cx:layoutPr>
            <cx:binning intervalClosed="r"/>
          </cx:layoutPr>
        </cx:series>
        <cx:series layoutId="clusteredColumn" hidden="1" uniqueId="{ACB28C41-7F56-47CE-BA43-B3D3D6616E01}" formatIdx="4">
          <cx:dataLabels pos="inEnd">
            <cx:visibility seriesName="0" categoryName="0" value="1"/>
          </cx:dataLabels>
          <cx:dataId val="4"/>
          <cx:layoutPr>
            <cx:binning intervalClosed="r"/>
          </cx:layoutPr>
        </cx:series>
      </cx:plotAreaRegion>
      <cx:axis id="0">
        <cx:catScaling gapWidth="0"/>
        <cx:title/>
        <cx:tickLabels/>
      </cx:axis>
      <cx:axis id="1" hidden="1">
        <cx:valScaling/>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_xlchart.v1.0</cx:f>
      </cx:numDim>
    </cx:data>
    <cx:data id="1">
      <cx:numDim type="val">
        <cx:f dir="row">_xlchart.v1.1</cx:f>
      </cx:numDim>
    </cx:data>
    <cx:data id="2">
      <cx:numDim type="val">
        <cx:f dir="row">_xlchart.v1.2</cx:f>
      </cx:numDim>
    </cx:data>
    <cx:data id="3">
      <cx:numDim type="val">
        <cx:f dir="row">_xlchart.v1.3</cx:f>
      </cx:numDim>
    </cx:data>
    <cx:data id="4">
      <cx:numDim type="val">
        <cx:f dir="row">_xlchart.v1.4</cx:f>
      </cx:numDim>
    </cx:data>
    <cx:data id="5">
      <cx:numDim type="val">
        <cx:f dir="row">_xlchart.v1.5</cx:f>
      </cx:numDim>
    </cx:data>
    <cx:data id="6">
      <cx:numDim type="val">
        <cx:f dir="row">_xlchart.v1.6</cx:f>
      </cx:numDim>
    </cx:data>
    <cx:data id="7">
      <cx:numDim type="val">
        <cx:f dir="row">_xlchart.v1.7</cx:f>
      </cx:numDim>
    </cx:data>
    <cx:data id="8">
      <cx:numDim type="val">
        <cx:f dir="row">_xlchart.v1.8</cx:f>
      </cx:numDim>
    </cx:data>
    <cx:data id="9">
      <cx:numDim type="val">
        <cx:f dir="row">_xlchart.v1.9</cx:f>
      </cx:numDim>
    </cx:data>
  </cx:chartData>
  <cx:chart>
    <cx:title pos="t" align="ctr" overlay="0">
      <cx:tx>
        <cx:rich>
          <a:bodyPr spcFirstLastPara="1" vertOverflow="ellipsis" horzOverflow="overflow" wrap="square" lIns="0" tIns="0" rIns="0" bIns="0" anchor="ctr" anchorCtr="1"/>
          <a:lstStyle/>
          <a:p>
            <a:pPr algn="ctr" rtl="0">
              <a:defRPr/>
            </a:pPr>
            <a:r>
              <a:rPr lang="en-IN" sz="1800" b="0" i="0" u="none" strike="noStrike" baseline="0">
                <a:solidFill>
                  <a:sysClr val="windowText" lastClr="000000">
                    <a:lumMod val="75000"/>
                    <a:lumOff val="25000"/>
                  </a:sysClr>
                </a:solidFill>
                <a:latin typeface="Calibri" panose="020F0502020204030204"/>
                <a:ea typeface="Calibri" panose="020F0502020204030204" pitchFamily="34" charset="0"/>
                <a:cs typeface="Calibri" panose="020F0502020204030204" pitchFamily="34" charset="0"/>
              </a:rPr>
              <a:t>visualize the distribution of response times</a:t>
            </a:r>
            <a:endParaRPr lang="en-US" sz="1800" b="1" i="0" u="none" strike="noStrike" baseline="0">
              <a:solidFill>
                <a:sysClr val="windowText" lastClr="000000">
                  <a:lumMod val="75000"/>
                  <a:lumOff val="25000"/>
                </a:sysClr>
              </a:solidFill>
              <a:latin typeface="Calibri" panose="020F0502020204030204"/>
            </a:endParaRPr>
          </a:p>
        </cx:rich>
      </cx:tx>
    </cx:title>
    <cx:plotArea>
      <cx:plotAreaRegion>
        <cx:series layoutId="clusteredColumn" uniqueId="{FDF23FD3-F60E-4D85-AA18-EAF0E635890E}" formatIdx="0">
          <cx:dataLabels pos="inEnd">
            <cx:visibility seriesName="0" categoryName="0" value="1"/>
          </cx:dataLabels>
          <cx:dataId val="0"/>
          <cx:layoutPr>
            <cx:binning intervalClosed="r"/>
          </cx:layoutPr>
        </cx:series>
        <cx:series layoutId="clusteredColumn" hidden="1" uniqueId="{7AB51B0F-9588-4CCC-989E-2490FEBC9C66}" formatIdx="1">
          <cx:dataLabels pos="inEnd">
            <cx:visibility seriesName="0" categoryName="0" value="1"/>
          </cx:dataLabels>
          <cx:dataId val="1"/>
          <cx:layoutPr>
            <cx:binning intervalClosed="r"/>
          </cx:layoutPr>
        </cx:series>
        <cx:series layoutId="clusteredColumn" hidden="1" uniqueId="{B53EA2DF-AD21-4E57-BA07-AE6F98CA14FC}" formatIdx="2">
          <cx:dataLabels pos="inEnd">
            <cx:visibility seriesName="0" categoryName="0" value="1"/>
          </cx:dataLabels>
          <cx:dataId val="2"/>
          <cx:layoutPr>
            <cx:binning intervalClosed="r"/>
          </cx:layoutPr>
        </cx:series>
        <cx:series layoutId="clusteredColumn" hidden="1" uniqueId="{E0FA2423-1239-44BC-8E35-7F2ED0EE87AA}" formatIdx="3">
          <cx:dataLabels pos="inEnd">
            <cx:visibility seriesName="0" categoryName="0" value="1"/>
          </cx:dataLabels>
          <cx:dataId val="3"/>
          <cx:layoutPr>
            <cx:binning intervalClosed="r"/>
          </cx:layoutPr>
        </cx:series>
        <cx:series layoutId="clusteredColumn" hidden="1" uniqueId="{C1E7CBBE-28C9-42DF-9AF8-426F4A7F41FB}" formatIdx="4">
          <cx:dataLabels pos="inEnd">
            <cx:visibility seriesName="0" categoryName="0" value="1"/>
          </cx:dataLabels>
          <cx:dataId val="4"/>
          <cx:layoutPr>
            <cx:binning intervalClosed="r"/>
          </cx:layoutPr>
        </cx:series>
        <cx:series layoutId="clusteredColumn" hidden="1" uniqueId="{2D44EA3B-954D-4702-A6F6-DFF32618D6FE}" formatIdx="5">
          <cx:dataLabels pos="inEnd">
            <cx:visibility seriesName="0" categoryName="0" value="1"/>
          </cx:dataLabels>
          <cx:dataId val="5"/>
          <cx:layoutPr>
            <cx:binning intervalClosed="r"/>
          </cx:layoutPr>
        </cx:series>
        <cx:series layoutId="clusteredColumn" hidden="1" uniqueId="{F56064C0-52E9-428A-AF98-B4F81ED089BB}" formatIdx="6">
          <cx:dataLabels pos="inEnd">
            <cx:visibility seriesName="0" categoryName="0" value="1"/>
          </cx:dataLabels>
          <cx:dataId val="6"/>
          <cx:layoutPr>
            <cx:binning intervalClosed="r"/>
          </cx:layoutPr>
        </cx:series>
        <cx:series layoutId="clusteredColumn" hidden="1" uniqueId="{CDA9BA30-C3CB-4DAA-9D9F-CDB71B0DC207}" formatIdx="7">
          <cx:dataLabels pos="inEnd">
            <cx:visibility seriesName="0" categoryName="0" value="1"/>
          </cx:dataLabels>
          <cx:dataId val="7"/>
          <cx:layoutPr>
            <cx:binning intervalClosed="r"/>
          </cx:layoutPr>
        </cx:series>
        <cx:series layoutId="clusteredColumn" hidden="1" uniqueId="{A43327D4-0ADC-4567-9B1E-791622ACAACB}" formatIdx="8">
          <cx:dataLabels pos="inEnd">
            <cx:visibility seriesName="0" categoryName="0" value="1"/>
          </cx:dataLabels>
          <cx:dataId val="8"/>
          <cx:layoutPr>
            <cx:binning intervalClosed="r"/>
          </cx:layoutPr>
        </cx:series>
        <cx:series layoutId="clusteredColumn" hidden="1" uniqueId="{EF7940B2-CECD-430F-ACCF-DB0CC7FBD7CB}" formatIdx="9">
          <cx:dataLabels pos="inEnd">
            <cx:visibility seriesName="0" categoryName="0" value="1"/>
          </cx:dataLabels>
          <cx:dataId val="9"/>
          <cx:layoutPr>
            <cx:binning intervalClosed="r"/>
          </cx:layoutPr>
        </cx:series>
      </cx:plotAreaRegion>
      <cx:axis id="0">
        <cx:catScaling gapWidth="0"/>
        <cx:title/>
        <cx:tickLabels/>
      </cx:axis>
      <cx:axis id="1" hidden="1">
        <cx:valScaling/>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_xlchart.v1.16</cx:f>
      </cx:strDim>
      <cx:numDim type="val">
        <cx:f dir="row">_xlchart.v1.17</cx:f>
      </cx:numDim>
    </cx:data>
  </cx:chartData>
  <cx:chart>
    <cx:title pos="t" align="ctr" overlay="0">
      <cx:tx>
        <cx:rich>
          <a:bodyPr spcFirstLastPara="1" vertOverflow="ellipsis" horzOverflow="overflow" wrap="square" lIns="0" tIns="0" rIns="0" bIns="0" anchor="ctr" anchorCtr="1"/>
          <a:lstStyle/>
          <a:p>
            <a:pPr algn="ctr" rtl="0">
              <a:defRPr/>
            </a:pPr>
            <a:r>
              <a:rPr lang="en-IN" sz="1800" b="0" i="0" u="none" strike="noStrike" baseline="0">
                <a:solidFill>
                  <a:sysClr val="windowText" lastClr="000000">
                    <a:lumMod val="75000"/>
                    <a:lumOff val="25000"/>
                  </a:sysClr>
                </a:solidFill>
                <a:latin typeface="Calibri" panose="020F0502020204030204"/>
                <a:ea typeface="Calibri" panose="020F0502020204030204" pitchFamily="34" charset="0"/>
                <a:cs typeface="Calibri" panose="020F0502020204030204" pitchFamily="34" charset="0"/>
              </a:rPr>
              <a:t>represent the defect frequencies</a:t>
            </a:r>
            <a:endParaRPr lang="en-US" sz="1800" b="1" i="0" u="none" strike="noStrike" baseline="0">
              <a:solidFill>
                <a:sysClr val="windowText" lastClr="000000">
                  <a:lumMod val="75000"/>
                  <a:lumOff val="25000"/>
                </a:sysClr>
              </a:solidFill>
              <a:latin typeface="Calibri" panose="020F0502020204030204"/>
            </a:endParaRPr>
          </a:p>
        </cx:rich>
      </cx:tx>
    </cx:title>
    <cx:plotArea>
      <cx:plotAreaRegion>
        <cx:series layoutId="clusteredColumn" uniqueId="{2D7E0A83-EB4A-46FF-8FD3-8622015D7A64}">
          <cx:tx>
            <cx:txData>
              <cx:f>_xlchart.v1.15</cx:f>
              <cx:v>Frequency:</cx:v>
            </cx:txData>
          </cx:tx>
          <cx:dataLabels pos="inEnd">
            <cx:visibility seriesName="0" categoryName="0" value="1"/>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1.xml"/><Relationship Id="rId6" Type="http://schemas.microsoft.com/office/2014/relationships/chartEx" Target="../charts/chartEx3.xml"/><Relationship Id="rId5" Type="http://schemas.openxmlformats.org/officeDocument/2006/relationships/chart" Target="../charts/chart3.xml"/><Relationship Id="rId4" Type="http://schemas.microsoft.com/office/2014/relationships/chartEx" Target="../charts/chartEx2.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4</xdr:col>
      <xdr:colOff>236220</xdr:colOff>
      <xdr:row>248</xdr:row>
      <xdr:rowOff>72390</xdr:rowOff>
    </xdr:from>
    <xdr:to>
      <xdr:col>9</xdr:col>
      <xdr:colOff>480060</xdr:colOff>
      <xdr:row>263</xdr:row>
      <xdr:rowOff>72390</xdr:rowOff>
    </xdr:to>
    <xdr:graphicFrame macro="">
      <xdr:nvGraphicFramePr>
        <xdr:cNvPr id="2" name="Chart 1">
          <a:extLst>
            <a:ext uri="{FF2B5EF4-FFF2-40B4-BE49-F238E27FC236}">
              <a16:creationId xmlns:a16="http://schemas.microsoft.com/office/drawing/2014/main" id="{B4030A47-4B04-185B-75FE-46E148226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487680</xdr:colOff>
      <xdr:row>296</xdr:row>
      <xdr:rowOff>121920</xdr:rowOff>
    </xdr:from>
    <xdr:to>
      <xdr:col>10</xdr:col>
      <xdr:colOff>502920</xdr:colOff>
      <xdr:row>310</xdr:row>
      <xdr:rowOff>26670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EA94372-3381-DF58-CFA4-D698A37CC6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16580" y="55237380"/>
              <a:ext cx="4221480" cy="24650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190500</xdr:colOff>
      <xdr:row>315</xdr:row>
      <xdr:rowOff>87630</xdr:rowOff>
    </xdr:from>
    <xdr:to>
      <xdr:col>10</xdr:col>
      <xdr:colOff>556260</xdr:colOff>
      <xdr:row>330</xdr:row>
      <xdr:rowOff>87630</xdr:rowOff>
    </xdr:to>
    <xdr:graphicFrame macro="">
      <xdr:nvGraphicFramePr>
        <xdr:cNvPr id="5" name="Chart 4">
          <a:extLst>
            <a:ext uri="{FF2B5EF4-FFF2-40B4-BE49-F238E27FC236}">
              <a16:creationId xmlns:a16="http://schemas.microsoft.com/office/drawing/2014/main" id="{93E312AB-FDA7-A713-57B9-336C4B19A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205740</xdr:colOff>
      <xdr:row>341</xdr:row>
      <xdr:rowOff>22860</xdr:rowOff>
    </xdr:from>
    <xdr:to>
      <xdr:col>10</xdr:col>
      <xdr:colOff>685800</xdr:colOff>
      <xdr:row>352</xdr:row>
      <xdr:rowOff>175260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E2CAF0E-058B-5213-4F97-F3BF9E6CE8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550920" y="63413640"/>
              <a:ext cx="3970020" cy="2164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281940</xdr:colOff>
      <xdr:row>358</xdr:row>
      <xdr:rowOff>129540</xdr:rowOff>
    </xdr:from>
    <xdr:to>
      <xdr:col>10</xdr:col>
      <xdr:colOff>548640</xdr:colOff>
      <xdr:row>370</xdr:row>
      <xdr:rowOff>156210</xdr:rowOff>
    </xdr:to>
    <xdr:graphicFrame macro="">
      <xdr:nvGraphicFramePr>
        <xdr:cNvPr id="7" name="Chart 6">
          <a:extLst>
            <a:ext uri="{FF2B5EF4-FFF2-40B4-BE49-F238E27FC236}">
              <a16:creationId xmlns:a16="http://schemas.microsoft.com/office/drawing/2014/main" id="{3D176765-0118-1B9B-84A8-2ACD45CC0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152400</xdr:colOff>
      <xdr:row>388</xdr:row>
      <xdr:rowOff>175260</xdr:rowOff>
    </xdr:from>
    <xdr:to>
      <xdr:col>11</xdr:col>
      <xdr:colOff>396240</xdr:colOff>
      <xdr:row>402</xdr:row>
      <xdr:rowOff>148590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294AB3E5-62F4-49F7-AABE-9F2A56A613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497580" y="72207120"/>
              <a:ext cx="4427220" cy="2533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106680</xdr:colOff>
      <xdr:row>406</xdr:row>
      <xdr:rowOff>160020</xdr:rowOff>
    </xdr:from>
    <xdr:to>
      <xdr:col>12</xdr:col>
      <xdr:colOff>228600</xdr:colOff>
      <xdr:row>420</xdr:row>
      <xdr:rowOff>53340</xdr:rowOff>
    </xdr:to>
    <xdr:graphicFrame macro="">
      <xdr:nvGraphicFramePr>
        <xdr:cNvPr id="9" name="Chart 8">
          <a:extLst>
            <a:ext uri="{FF2B5EF4-FFF2-40B4-BE49-F238E27FC236}">
              <a16:creationId xmlns:a16="http://schemas.microsoft.com/office/drawing/2014/main" id="{36A83239-56B7-ACFA-3142-EADAC94D4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99060</xdr:colOff>
      <xdr:row>429</xdr:row>
      <xdr:rowOff>11430</xdr:rowOff>
    </xdr:from>
    <xdr:to>
      <xdr:col>7</xdr:col>
      <xdr:colOff>525780</xdr:colOff>
      <xdr:row>444</xdr:row>
      <xdr:rowOff>11430</xdr:rowOff>
    </xdr:to>
    <xdr:graphicFrame macro="">
      <xdr:nvGraphicFramePr>
        <xdr:cNvPr id="10" name="Chart 9">
          <a:extLst>
            <a:ext uri="{FF2B5EF4-FFF2-40B4-BE49-F238E27FC236}">
              <a16:creationId xmlns:a16="http://schemas.microsoft.com/office/drawing/2014/main" id="{5A6D9EEF-0FD3-6FA9-BCC2-1983BB369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678180</xdr:colOff>
      <xdr:row>269</xdr:row>
      <xdr:rowOff>121920</xdr:rowOff>
    </xdr:from>
    <xdr:to>
      <xdr:col>9</xdr:col>
      <xdr:colOff>464820</xdr:colOff>
      <xdr:row>281</xdr:row>
      <xdr:rowOff>179070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202D889-16C3-E97B-222F-D17EA9B56D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590800" y="50253900"/>
              <a:ext cx="4015740" cy="22517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F61265-8820-4728-A1D3-CFE5879FDE60}" name="Table1" displayName="Table1" ref="C16:C26" totalsRowShown="0">
  <autoFilter ref="C16:C26" xr:uid="{9FF61265-8820-4728-A1D3-CFE5879FDE60}"/>
  <sortState xmlns:xlrd2="http://schemas.microsoft.com/office/spreadsheetml/2017/richdata2" ref="C17">
    <sortCondition ref="C16:C17"/>
  </sortState>
  <tableColumns count="1">
    <tableColumn id="1" xr3:uid="{CAB855B4-733D-4AB3-B929-21EC21B67B2B}" name="Column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DD4FA49-5BF1-49F0-9911-A8961F59725E}" name="Table12" displayName="Table12" ref="C107:G117" totalsRowShown="0">
  <autoFilter ref="C107:G117" xr:uid="{0DD4FA49-5BF1-49F0-9911-A8961F59725E}"/>
  <tableColumns count="5">
    <tableColumn id="1" xr3:uid="{3005B291-F4C7-4F3C-851C-7B159C694E98}" name="Column1"/>
    <tableColumn id="2" xr3:uid="{20926BE4-87D2-449B-A2E5-6CB18A1E5D71}" name="Column2"/>
    <tableColumn id="3" xr3:uid="{95F347D1-463C-4FE7-8C30-1BA5657EB5F2}" name="Column3"/>
    <tableColumn id="4" xr3:uid="{6A52FB93-E957-4D81-AB78-F972F86A04B8}" name="Column4"/>
    <tableColumn id="5" xr3:uid="{1EF67E95-A93E-494B-83B5-78EF326CB520}" name="Column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8E43195-4444-4FA1-8BB4-2330F6498BA5}" name="Table13" displayName="Table13" ref="C123:L133" totalsRowShown="0">
  <autoFilter ref="C123:L133" xr:uid="{C8E43195-4444-4FA1-8BB4-2330F6498BA5}"/>
  <tableColumns count="10">
    <tableColumn id="1" xr3:uid="{ED7EFB68-631A-4D9D-BB1D-5B9A512BE44E}" name="Column1"/>
    <tableColumn id="2" xr3:uid="{F4A65E6D-101F-4C7F-9BF3-25893C8BCFBE}" name="Column2"/>
    <tableColumn id="3" xr3:uid="{BEDFF000-22F9-4E59-80DB-B16F7C0B8AE5}" name="Column3"/>
    <tableColumn id="4" xr3:uid="{BFDFD1E0-B762-4836-9848-9940844E82C1}" name="Column4"/>
    <tableColumn id="5" xr3:uid="{5377BE8B-0D23-416C-9929-DF6FFBD27D5D}" name="Column5"/>
    <tableColumn id="6" xr3:uid="{CE7E9E97-3976-4CC1-912A-4A0323D10D63}" name="Column6"/>
    <tableColumn id="7" xr3:uid="{D0A05257-62DB-40FD-B811-922324C5097B}" name="Column7"/>
    <tableColumn id="8" xr3:uid="{686B5362-D002-4B61-86DB-B40DC2D6E43A}" name="Column8"/>
    <tableColumn id="9" xr3:uid="{830D9922-B1CC-4F2D-93D4-C2F005BE0200}" name="Column9"/>
    <tableColumn id="10" xr3:uid="{94AB3BD5-5AE5-45B8-B37A-9405FE8B3AFF}" name="Column1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82232FA-E076-4805-8D2B-6054C0001F94}" name="Table14" displayName="Table14" ref="C139:N144" totalsRowShown="0">
  <autoFilter ref="C139:N144" xr:uid="{B82232FA-E076-4805-8D2B-6054C0001F94}"/>
  <tableColumns count="12">
    <tableColumn id="1" xr3:uid="{167C85B8-75D9-45FA-BFC1-7470145EEB61}" name="Column1"/>
    <tableColumn id="2" xr3:uid="{1B45A706-7D63-470C-BF0C-A24023CD7053}" name="Column2"/>
    <tableColumn id="3" xr3:uid="{6AC6E317-5BFA-417F-8687-1FBE1EC46C2F}" name="Column3"/>
    <tableColumn id="4" xr3:uid="{37BF1E79-96EC-420E-AD06-0F0F4E70B435}" name="Column4"/>
    <tableColumn id="5" xr3:uid="{9FC0742F-FDA5-449D-AAD4-2108994D39AE}" name="Column5"/>
    <tableColumn id="6" xr3:uid="{04EA68E8-943E-435D-ADA9-B871EB790032}" name="Column6"/>
    <tableColumn id="7" xr3:uid="{8A2268D3-17CB-4D93-9F02-F8A4A0BB940C}" name="Column7"/>
    <tableColumn id="8" xr3:uid="{68D90AAB-0FE2-44F3-82E3-EA502E70D8B8}" name="Column8"/>
    <tableColumn id="9" xr3:uid="{10EEDBB5-73D4-4D8D-BB19-8A2045F30062}" name="Column9"/>
    <tableColumn id="10" xr3:uid="{36C8A055-2C52-4B95-B239-CE198D1D2399}" name="Column10"/>
    <tableColumn id="11" xr3:uid="{E9217C4B-AAB4-47D0-AE79-FD85F67FE2F1}" name="Column11"/>
    <tableColumn id="12" xr3:uid="{7F7E9E90-D3DA-48D0-9B89-85402A607FDD}" name="Column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3B7B7C4-A1C2-445A-8001-5F1273A0158E}" name="Table10" displayName="Table10" ref="C152:L162" totalsRowShown="0">
  <autoFilter ref="C152:L162" xr:uid="{63B7B7C4-A1C2-445A-8001-5F1273A0158E}"/>
  <tableColumns count="10">
    <tableColumn id="1" xr3:uid="{9591411E-FD20-4648-990F-334D1E0C585B}" name="Column1"/>
    <tableColumn id="2" xr3:uid="{27ED6B2F-3201-4699-B128-4511343315BD}" name="Column2"/>
    <tableColumn id="3" xr3:uid="{E24D2B4D-0850-46C2-80AC-B2B763970ABB}" name="Column3"/>
    <tableColumn id="4" xr3:uid="{DF46DB6D-20BB-400F-8B52-5CF557C1016E}" name="Column4"/>
    <tableColumn id="5" xr3:uid="{ECE6E931-0F17-4901-BC48-B9CBDB9CD46B}" name="Column5"/>
    <tableColumn id="6" xr3:uid="{0B448B83-46CB-4C35-8B53-ED12814EA9A5}" name="Column6"/>
    <tableColumn id="7" xr3:uid="{A260A735-B533-4B0B-A926-14F6E51F0BEF}" name="Column7"/>
    <tableColumn id="8" xr3:uid="{D5E52EFF-1182-4AF9-B890-70B5501A653B}" name="Column8"/>
    <tableColumn id="9" xr3:uid="{812D3E4E-E8A8-4FAF-ABDC-DF0D285F614D}" name="Column9"/>
    <tableColumn id="10" xr3:uid="{52269C48-6485-49ED-B4EE-E94DE21351DC}" name="Column1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C81C971-674C-4AA0-9EBC-6F0D6DC99A08}" name="Table16" displayName="Table16" ref="C182:L187" totalsRowShown="0">
  <autoFilter ref="C182:L187" xr:uid="{3C81C971-674C-4AA0-9EBC-6F0D6DC99A08}"/>
  <tableColumns count="10">
    <tableColumn id="1" xr3:uid="{60E97E5A-0DD5-490B-9AFA-17B0C6E15733}" name="Column1"/>
    <tableColumn id="2" xr3:uid="{883C3B9E-0FC9-46E8-ABD6-7304DE22CF53}" name="Column2"/>
    <tableColumn id="3" xr3:uid="{A1F25A11-48FB-42B1-BB1F-030FE9678478}" name="Column3"/>
    <tableColumn id="4" xr3:uid="{1E3C14F4-3CE2-4ACF-BC11-6E608E8A3F6E}" name="Column4"/>
    <tableColumn id="5" xr3:uid="{3F1B0517-1BC2-4D64-80AF-E3FD5BC09EAC}" name="Column5"/>
    <tableColumn id="6" xr3:uid="{80940483-D20C-42E9-BF5C-4FAEFE57B5D7}" name="Column6"/>
    <tableColumn id="7" xr3:uid="{3CBE9721-CA57-42F2-81D5-33467E5F665F}" name="Column7"/>
    <tableColumn id="8" xr3:uid="{EBE5EA62-BF52-4B3C-AF51-69E8A23D366F}" name="Column8"/>
    <tableColumn id="9" xr3:uid="{728D274E-56A4-4FF8-9C85-9BDBAB618D0E}" name="Column9"/>
    <tableColumn id="10" xr3:uid="{98066167-803B-4527-A1FC-FD73BDF99F1E}" name="Column1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F916411-78BB-49F8-9012-D601E92FACDC}" name="Table18" displayName="Table18" ref="C190:C240" totalsRowShown="0" headerRowDxfId="1">
  <autoFilter ref="C190:C240" xr:uid="{BF916411-78BB-49F8-9012-D601E92FACDC}"/>
  <tableColumns count="1">
    <tableColumn id="1" xr3:uid="{915A3E82-5CF6-46F1-B126-52BA445774CF}" name="Column1"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8F6F9C-BC0D-446F-AF82-FA961939BE7A}" name="Table2" displayName="Table2" ref="D16:D26" totalsRowShown="0">
  <autoFilter ref="D16:D26" xr:uid="{2E8F6F9C-BC0D-446F-AF82-FA961939BE7A}"/>
  <tableColumns count="1">
    <tableColumn id="1" xr3:uid="{C614DA23-DBB8-41F5-896F-FA9701468894}"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C7235B-54EF-4210-BD1B-22550D14C1AE}" name="Table4" displayName="Table4" ref="C32:K37" totalsRowShown="0">
  <autoFilter ref="C32:K37" xr:uid="{EDC7235B-54EF-4210-BD1B-22550D14C1AE}"/>
  <tableColumns count="9">
    <tableColumn id="1" xr3:uid="{9CEB5CA0-0778-4FFA-8888-F8BE91BD85A8}" name="Column1"/>
    <tableColumn id="2" xr3:uid="{4BF1231C-F3AB-431F-B39F-811F7C7ED231}" name="Column2"/>
    <tableColumn id="3" xr3:uid="{D4673E7B-3B0C-4AF2-B250-5B2DBA030F56}" name="Column3"/>
    <tableColumn id="4" xr3:uid="{5F79D8A9-D905-473F-A6A7-583C6AD87655}" name="Column4"/>
    <tableColumn id="5" xr3:uid="{123CD635-E9E3-4EFF-A7F3-9E1D8B4E7998}" name="Column5"/>
    <tableColumn id="6" xr3:uid="{ABEF2300-2D4D-45AB-8C98-3894C3E19339}" name="Column6"/>
    <tableColumn id="7" xr3:uid="{37FA16C5-BDED-4F44-AD0A-9784E51BB005}" name="Column7"/>
    <tableColumn id="8" xr3:uid="{1CAF6DFA-8BF8-4C35-8E5E-9E65F1438786}" name="Column8"/>
    <tableColumn id="9" xr3:uid="{A9201319-9B11-4292-8464-338A281B2F82}" name="Column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6FD733-5A4B-4D07-BC91-C637D695F1B0}" name="Table5" displayName="Table5" ref="L32:L37" totalsRowShown="0">
  <autoFilter ref="L32:L37" xr:uid="{BB6FD733-5A4B-4D07-BC91-C637D695F1B0}"/>
  <tableColumns count="1">
    <tableColumn id="1" xr3:uid="{6659C42C-1649-4ECF-BFF3-124FDEAE0679}" name="Column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7A3900-F454-4527-AA27-09BAB5957ACC}" name="Table3" displayName="Table3" ref="C60:C70" totalsRowShown="0" headerRowDxfId="7" dataDxfId="6">
  <autoFilter ref="C60:C70" xr:uid="{B17A3900-F454-4527-AA27-09BAB5957ACC}"/>
  <tableColumns count="1">
    <tableColumn id="1" xr3:uid="{9F5862A7-3C39-409B-92DD-808F5BD6CCBE}" name="Column1" dataDxf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AD58C4D-7B29-4C6D-A53A-8BF33A7AC006}" name="Table6" displayName="Table6" ref="D60:D70" totalsRowShown="0" headerRowDxfId="4" dataDxfId="3">
  <autoFilter ref="D60:D70" xr:uid="{DAD58C4D-7B29-4C6D-A53A-8BF33A7AC006}"/>
  <tableColumns count="1">
    <tableColumn id="1" xr3:uid="{5F190549-D555-4A28-B955-380C500DF9BA}" name="Column1"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48BA46D-2224-441C-9849-A9364104CA2D}" name="Table7" displayName="Table7" ref="E60:E70" totalsRowShown="0">
  <autoFilter ref="E60:E70" xr:uid="{B48BA46D-2224-441C-9849-A9364104CA2D}"/>
  <tableColumns count="1">
    <tableColumn id="1" xr3:uid="{D0DBFDA9-2929-4CF2-8AA0-992CD6A7FF6F}" name="Column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435042-8618-4A59-9A23-97C08BC4422F}" name="Table8" displayName="Table8" ref="C75:G85" totalsRowShown="0">
  <autoFilter ref="C75:G85" xr:uid="{31435042-8618-4A59-9A23-97C08BC4422F}"/>
  <tableColumns count="5">
    <tableColumn id="1" xr3:uid="{D6EB6736-38E9-4479-9E4D-D4C519B64182}" name="Column1"/>
    <tableColumn id="2" xr3:uid="{E6EF56B9-1768-4A2A-BA1C-6A482D889977}" name="Column2"/>
    <tableColumn id="3" xr3:uid="{16F5DA33-F658-48AE-8231-741BF3A1928F}" name="Column3"/>
    <tableColumn id="4" xr3:uid="{45195C81-5214-45A7-B245-715C4709EEC8}" name="Column4"/>
    <tableColumn id="5" xr3:uid="{B75DBA51-1E0A-4A48-A6F6-A8432D8F4F7A}" name="Column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4407719-324F-4914-86EB-6BFB2D336E42}" name="Table9" displayName="Table9" ref="C90:C102" totalsRowShown="0">
  <autoFilter ref="C90:C102" xr:uid="{A4407719-324F-4914-86EB-6BFB2D336E42}"/>
  <tableColumns count="1">
    <tableColumn id="1" xr3:uid="{C0120B84-AE2B-48DA-99B4-76D9C268372C}"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 Type="http://schemas.openxmlformats.org/officeDocument/2006/relationships/drawing" Target="../drawings/drawing1.xml"/><Relationship Id="rId16" Type="http://schemas.openxmlformats.org/officeDocument/2006/relationships/table" Target="../tables/table14.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EF9C0-A844-4925-8D48-EDD97219F749}">
  <dimension ref="B2:AJ925"/>
  <sheetViews>
    <sheetView tabSelected="1" topLeftCell="A126" zoomScaleNormal="100" workbookViewId="0">
      <selection activeCell="J881" sqref="J881"/>
    </sheetView>
  </sheetViews>
  <sheetFormatPr defaultRowHeight="14.4" x14ac:dyDescent="0.3"/>
  <cols>
    <col min="3" max="3" width="10.109375" customWidth="1"/>
    <col min="4" max="6" width="10.44140625" customWidth="1"/>
    <col min="7" max="11" width="10.109375" customWidth="1"/>
    <col min="12" max="14" width="11.109375" customWidth="1"/>
  </cols>
  <sheetData>
    <row r="2" spans="2:8" ht="23.4" x14ac:dyDescent="0.45">
      <c r="D2" s="1" t="s">
        <v>0</v>
      </c>
      <c r="E2" s="1"/>
      <c r="F2" s="1"/>
      <c r="G2" s="1"/>
    </row>
    <row r="4" spans="2:8" ht="18" x14ac:dyDescent="0.35">
      <c r="B4" s="2">
        <v>1</v>
      </c>
      <c r="E4" s="2" t="s">
        <v>1</v>
      </c>
    </row>
    <row r="6" spans="2:8" x14ac:dyDescent="0.3">
      <c r="C6" t="s">
        <v>2</v>
      </c>
      <c r="G6" t="s">
        <v>6</v>
      </c>
      <c r="H6">
        <f>AVERAGE(50,60,55,70)</f>
        <v>58.75</v>
      </c>
    </row>
    <row r="7" spans="2:8" x14ac:dyDescent="0.3">
      <c r="C7" t="s">
        <v>3</v>
      </c>
      <c r="G7" t="s">
        <v>7</v>
      </c>
      <c r="H7">
        <f>MEDIAN(50,60,55,70)</f>
        <v>57.5</v>
      </c>
    </row>
    <row r="8" spans="2:8" x14ac:dyDescent="0.3">
      <c r="C8" t="s">
        <v>4</v>
      </c>
      <c r="G8" t="s">
        <v>8</v>
      </c>
      <c r="H8" t="e">
        <f>MODE(50,60,55,70)</f>
        <v>#N/A</v>
      </c>
    </row>
    <row r="9" spans="2:8" x14ac:dyDescent="0.3">
      <c r="C9" t="s">
        <v>5</v>
      </c>
    </row>
    <row r="14" spans="2:8" ht="18" x14ac:dyDescent="0.35">
      <c r="B14" s="2">
        <v>2</v>
      </c>
      <c r="E14" s="2" t="s">
        <v>9</v>
      </c>
    </row>
    <row r="16" spans="2:8" x14ac:dyDescent="0.3">
      <c r="C16" t="s">
        <v>10</v>
      </c>
      <c r="D16" t="s">
        <v>10</v>
      </c>
      <c r="G16" t="s">
        <v>6</v>
      </c>
      <c r="H16">
        <f>AVERAGE(Table1[Column1],Table2[Column1])</f>
        <v>17</v>
      </c>
    </row>
    <row r="17" spans="2:16" x14ac:dyDescent="0.3">
      <c r="C17" s="3">
        <v>15</v>
      </c>
      <c r="D17">
        <v>10</v>
      </c>
      <c r="G17" t="s">
        <v>7</v>
      </c>
      <c r="H17">
        <f>MEDIAN(Table1[Column1],Table2[Column1])</f>
        <v>15</v>
      </c>
    </row>
    <row r="18" spans="2:16" x14ac:dyDescent="0.3">
      <c r="C18">
        <v>10</v>
      </c>
      <c r="D18">
        <v>25</v>
      </c>
      <c r="G18" t="s">
        <v>8</v>
      </c>
      <c r="H18">
        <f>MODE(Table1[Column1],Table2[Column1])</f>
        <v>10</v>
      </c>
    </row>
    <row r="19" spans="2:16" x14ac:dyDescent="0.3">
      <c r="C19">
        <v>20</v>
      </c>
      <c r="D19">
        <v>15</v>
      </c>
    </row>
    <row r="20" spans="2:16" x14ac:dyDescent="0.3">
      <c r="C20">
        <v>25</v>
      </c>
      <c r="D20">
        <v>20</v>
      </c>
    </row>
    <row r="21" spans="2:16" x14ac:dyDescent="0.3">
      <c r="C21">
        <v>15</v>
      </c>
      <c r="D21">
        <v>20</v>
      </c>
    </row>
    <row r="22" spans="2:16" x14ac:dyDescent="0.3">
      <c r="C22">
        <v>10</v>
      </c>
      <c r="D22">
        <v>15</v>
      </c>
    </row>
    <row r="23" spans="2:16" x14ac:dyDescent="0.3">
      <c r="C23">
        <v>30</v>
      </c>
      <c r="D23">
        <v>10</v>
      </c>
    </row>
    <row r="24" spans="2:16" x14ac:dyDescent="0.3">
      <c r="C24">
        <v>20</v>
      </c>
      <c r="D24">
        <v>10</v>
      </c>
    </row>
    <row r="25" spans="2:16" x14ac:dyDescent="0.3">
      <c r="C25">
        <v>15</v>
      </c>
      <c r="D25">
        <v>20</v>
      </c>
    </row>
    <row r="26" spans="2:16" x14ac:dyDescent="0.3">
      <c r="C26">
        <v>10</v>
      </c>
      <c r="D26">
        <v>25</v>
      </c>
    </row>
    <row r="30" spans="2:16" ht="18" x14ac:dyDescent="0.35">
      <c r="B30" s="2">
        <v>3</v>
      </c>
      <c r="E30" s="2" t="s">
        <v>11</v>
      </c>
    </row>
    <row r="32" spans="2:16" x14ac:dyDescent="0.3">
      <c r="C32" t="s">
        <v>10</v>
      </c>
      <c r="D32" t="s">
        <v>12</v>
      </c>
      <c r="E32" t="s">
        <v>13</v>
      </c>
      <c r="F32" t="s">
        <v>14</v>
      </c>
      <c r="G32" t="s">
        <v>15</v>
      </c>
      <c r="H32" t="s">
        <v>16</v>
      </c>
      <c r="I32" t="s">
        <v>17</v>
      </c>
      <c r="J32" t="s">
        <v>18</v>
      </c>
      <c r="K32" t="s">
        <v>19</v>
      </c>
      <c r="L32" t="s">
        <v>20</v>
      </c>
      <c r="O32" t="s">
        <v>6</v>
      </c>
      <c r="P32">
        <f>AVERAGE(Table4[Column1],D33:D38,Table4[Column3],Table4[Column4],Table4[Column5],Table4[Column6],Table4[Column7],Table4[Column8],Table4[Column9],Table5[Column10])</f>
        <v>3.44</v>
      </c>
    </row>
    <row r="33" spans="2:16" x14ac:dyDescent="0.3">
      <c r="C33">
        <v>3</v>
      </c>
      <c r="D33">
        <v>2</v>
      </c>
      <c r="E33">
        <v>5</v>
      </c>
      <c r="F33">
        <v>4</v>
      </c>
      <c r="G33">
        <v>7</v>
      </c>
      <c r="H33">
        <v>2</v>
      </c>
      <c r="I33">
        <v>3</v>
      </c>
      <c r="J33">
        <v>3</v>
      </c>
      <c r="K33">
        <v>1</v>
      </c>
      <c r="L33">
        <v>6</v>
      </c>
      <c r="O33" t="s">
        <v>7</v>
      </c>
      <c r="P33">
        <f>MEDIAN(Table4[Column1],Table4[Column2],Table4[Column3],Table4[Column4],Table4[Column5],Table4[Column6],Table4[Column7],Table4[Column8],Table4[Column9],Table5[Column10])</f>
        <v>3</v>
      </c>
    </row>
    <row r="34" spans="2:16" x14ac:dyDescent="0.3">
      <c r="C34">
        <v>4</v>
      </c>
      <c r="D34">
        <v>2</v>
      </c>
      <c r="E34">
        <v>3</v>
      </c>
      <c r="F34">
        <v>5</v>
      </c>
      <c r="G34">
        <v>2</v>
      </c>
      <c r="H34">
        <v>4</v>
      </c>
      <c r="I34">
        <v>2</v>
      </c>
      <c r="J34">
        <v>1</v>
      </c>
      <c r="K34">
        <v>3</v>
      </c>
      <c r="L34">
        <v>5</v>
      </c>
      <c r="O34" t="s">
        <v>8</v>
      </c>
      <c r="P34">
        <f>MODE(Table4[Column1],Table4[Column2],Table4[Column3],Table4[Column4],Table4[Column5],Table4[Column6],Table4[Column7],Table4[Column8],Table4[Column9],Table5[Column10])</f>
        <v>2</v>
      </c>
    </row>
    <row r="35" spans="2:16" x14ac:dyDescent="0.3">
      <c r="C35">
        <v>6</v>
      </c>
      <c r="D35">
        <v>3</v>
      </c>
      <c r="E35">
        <v>2</v>
      </c>
      <c r="F35">
        <v>1</v>
      </c>
      <c r="G35">
        <v>4</v>
      </c>
      <c r="H35">
        <v>2</v>
      </c>
      <c r="I35">
        <v>4</v>
      </c>
      <c r="J35">
        <v>5</v>
      </c>
      <c r="K35">
        <v>3</v>
      </c>
      <c r="L35">
        <v>2</v>
      </c>
    </row>
    <row r="36" spans="2:16" x14ac:dyDescent="0.3">
      <c r="C36">
        <v>7</v>
      </c>
      <c r="D36">
        <v>2</v>
      </c>
      <c r="E36">
        <v>3</v>
      </c>
      <c r="F36">
        <v>4</v>
      </c>
      <c r="G36">
        <v>5</v>
      </c>
      <c r="H36">
        <v>1</v>
      </c>
      <c r="I36">
        <v>6</v>
      </c>
      <c r="J36">
        <v>2</v>
      </c>
      <c r="K36">
        <v>4</v>
      </c>
      <c r="L36">
        <v>3</v>
      </c>
    </row>
    <row r="37" spans="2:16" x14ac:dyDescent="0.3">
      <c r="C37">
        <v>5</v>
      </c>
      <c r="D37">
        <v>3</v>
      </c>
      <c r="E37">
        <v>2</v>
      </c>
      <c r="F37">
        <v>4</v>
      </c>
      <c r="G37">
        <v>2</v>
      </c>
      <c r="H37">
        <v>6</v>
      </c>
      <c r="I37">
        <v>3</v>
      </c>
      <c r="J37">
        <v>2</v>
      </c>
      <c r="K37">
        <v>4</v>
      </c>
      <c r="L37">
        <v>5</v>
      </c>
    </row>
    <row r="39" spans="2:16" ht="28.8" x14ac:dyDescent="0.3">
      <c r="D39" s="36" t="s">
        <v>33</v>
      </c>
      <c r="E39" s="36"/>
      <c r="F39" s="36"/>
      <c r="G39" s="36"/>
      <c r="H39" s="36"/>
      <c r="I39" s="36"/>
      <c r="J39" s="36"/>
      <c r="K39" s="36"/>
    </row>
    <row r="42" spans="2:16" ht="18" x14ac:dyDescent="0.35">
      <c r="B42" s="2">
        <v>1</v>
      </c>
      <c r="E42" s="2" t="s">
        <v>21</v>
      </c>
    </row>
    <row r="45" spans="2:16" ht="15.6" x14ac:dyDescent="0.3">
      <c r="C45" t="s">
        <v>23</v>
      </c>
      <c r="E45">
        <v>120</v>
      </c>
      <c r="F45" t="s">
        <v>22</v>
      </c>
      <c r="H45" s="5" t="s">
        <v>36</v>
      </c>
      <c r="J45">
        <f>140-105</f>
        <v>35</v>
      </c>
    </row>
    <row r="46" spans="2:16" x14ac:dyDescent="0.3">
      <c r="C46" t="s">
        <v>24</v>
      </c>
      <c r="E46">
        <v>110</v>
      </c>
      <c r="F46" t="s">
        <v>22</v>
      </c>
    </row>
    <row r="47" spans="2:16" ht="15.6" x14ac:dyDescent="0.3">
      <c r="C47" t="s">
        <v>25</v>
      </c>
      <c r="E47">
        <v>130</v>
      </c>
      <c r="F47" t="s">
        <v>22</v>
      </c>
      <c r="H47" s="5" t="s">
        <v>35</v>
      </c>
      <c r="J47">
        <f>_xlfn.VAR.S(C45:C54,E45:E54)</f>
        <v>123.33333333333333</v>
      </c>
    </row>
    <row r="48" spans="2:16" x14ac:dyDescent="0.3">
      <c r="C48" t="s">
        <v>26</v>
      </c>
      <c r="E48">
        <v>115</v>
      </c>
      <c r="F48" t="s">
        <v>22</v>
      </c>
    </row>
    <row r="49" spans="2:11" ht="15.6" x14ac:dyDescent="0.3">
      <c r="C49" t="s">
        <v>27</v>
      </c>
      <c r="E49">
        <v>125</v>
      </c>
      <c r="F49" t="s">
        <v>22</v>
      </c>
      <c r="H49" s="37" t="s">
        <v>34</v>
      </c>
      <c r="I49" s="30"/>
      <c r="J49">
        <f>_xlfn.STDEV.S(C45:C54,E45:E54)</f>
        <v>11.105554165971787</v>
      </c>
    </row>
    <row r="50" spans="2:11" x14ac:dyDescent="0.3">
      <c r="C50" t="s">
        <v>28</v>
      </c>
      <c r="E50">
        <v>105</v>
      </c>
      <c r="F50" t="s">
        <v>22</v>
      </c>
    </row>
    <row r="51" spans="2:11" x14ac:dyDescent="0.3">
      <c r="C51" t="s">
        <v>29</v>
      </c>
      <c r="E51">
        <v>135</v>
      </c>
      <c r="F51" t="s">
        <v>22</v>
      </c>
    </row>
    <row r="52" spans="2:11" x14ac:dyDescent="0.3">
      <c r="C52" t="s">
        <v>30</v>
      </c>
      <c r="E52">
        <v>115</v>
      </c>
      <c r="F52" t="s">
        <v>22</v>
      </c>
    </row>
    <row r="53" spans="2:11" x14ac:dyDescent="0.3">
      <c r="C53" t="s">
        <v>31</v>
      </c>
      <c r="E53">
        <v>125</v>
      </c>
      <c r="F53" t="s">
        <v>22</v>
      </c>
    </row>
    <row r="54" spans="2:11" x14ac:dyDescent="0.3">
      <c r="C54" t="s">
        <v>32</v>
      </c>
      <c r="E54">
        <v>140</v>
      </c>
      <c r="F54" t="s">
        <v>22</v>
      </c>
    </row>
    <row r="56" spans="2:11" x14ac:dyDescent="0.3">
      <c r="C56" s="4"/>
      <c r="D56" s="4"/>
    </row>
    <row r="57" spans="2:11" x14ac:dyDescent="0.3">
      <c r="C57" s="4"/>
      <c r="D57" s="4"/>
    </row>
    <row r="58" spans="2:11" ht="18" x14ac:dyDescent="0.35">
      <c r="B58" s="2">
        <v>2</v>
      </c>
      <c r="C58" s="4"/>
      <c r="D58" s="4"/>
      <c r="E58" s="32" t="s">
        <v>1</v>
      </c>
      <c r="F58" s="32"/>
    </row>
    <row r="59" spans="2:11" x14ac:dyDescent="0.3">
      <c r="C59" s="4"/>
      <c r="D59" s="4"/>
    </row>
    <row r="60" spans="2:11" x14ac:dyDescent="0.3">
      <c r="C60" s="4" t="s">
        <v>10</v>
      </c>
      <c r="D60" s="4" t="s">
        <v>10</v>
      </c>
      <c r="E60" t="s">
        <v>10</v>
      </c>
    </row>
    <row r="61" spans="2:11" x14ac:dyDescent="0.3">
      <c r="C61" s="4">
        <v>500</v>
      </c>
      <c r="D61" s="4">
        <v>800</v>
      </c>
      <c r="E61">
        <v>700</v>
      </c>
      <c r="G61" t="s">
        <v>37</v>
      </c>
      <c r="I61">
        <f>800-400</f>
        <v>400</v>
      </c>
      <c r="K61">
        <f>AVERAGE(Table3[Column1],Table6[Column1],Table7[Column1])</f>
        <v>595</v>
      </c>
    </row>
    <row r="62" spans="2:11" x14ac:dyDescent="0.3">
      <c r="C62" s="4">
        <v>700</v>
      </c>
      <c r="D62" s="4">
        <v>450</v>
      </c>
      <c r="E62">
        <v>600</v>
      </c>
      <c r="G62" t="s">
        <v>38</v>
      </c>
      <c r="I62">
        <f>_xlfn.VAR.S(Table3[Column1],Table6[Column1],Table7[Column1])</f>
        <v>13163.793103448275</v>
      </c>
    </row>
    <row r="63" spans="2:11" x14ac:dyDescent="0.3">
      <c r="C63" s="4">
        <v>400</v>
      </c>
      <c r="D63" s="4">
        <v>700</v>
      </c>
      <c r="E63">
        <v>500</v>
      </c>
      <c r="G63" t="s">
        <v>39</v>
      </c>
      <c r="I63">
        <f>_xlfn.STDEV.S(Table3[Column1],Table6[Column1],Table7[Column1])</f>
        <v>114.73357443855863</v>
      </c>
    </row>
    <row r="64" spans="2:11" x14ac:dyDescent="0.3">
      <c r="C64" s="4">
        <v>600</v>
      </c>
      <c r="D64" s="4">
        <v>550</v>
      </c>
      <c r="E64">
        <v>800</v>
      </c>
    </row>
    <row r="65" spans="2:15" x14ac:dyDescent="0.3">
      <c r="C65" s="4">
        <v>550</v>
      </c>
      <c r="D65" s="4">
        <v>600</v>
      </c>
      <c r="E65">
        <v>550</v>
      </c>
    </row>
    <row r="66" spans="2:15" x14ac:dyDescent="0.3">
      <c r="C66" s="4">
        <v>750</v>
      </c>
      <c r="D66" s="4">
        <v>400</v>
      </c>
      <c r="E66">
        <v>650</v>
      </c>
    </row>
    <row r="67" spans="2:15" x14ac:dyDescent="0.3">
      <c r="C67" s="4">
        <v>650</v>
      </c>
      <c r="D67" s="4">
        <v>650</v>
      </c>
      <c r="E67">
        <v>400</v>
      </c>
    </row>
    <row r="68" spans="2:15" x14ac:dyDescent="0.3">
      <c r="C68" s="4">
        <v>500</v>
      </c>
      <c r="D68" s="4">
        <v>500</v>
      </c>
      <c r="E68">
        <v>600</v>
      </c>
    </row>
    <row r="69" spans="2:15" x14ac:dyDescent="0.3">
      <c r="C69" s="4">
        <v>600</v>
      </c>
      <c r="D69" s="4">
        <v>750</v>
      </c>
      <c r="E69">
        <v>750</v>
      </c>
    </row>
    <row r="70" spans="2:15" x14ac:dyDescent="0.3">
      <c r="C70" s="4">
        <v>550</v>
      </c>
      <c r="D70" s="4">
        <v>550</v>
      </c>
      <c r="E70">
        <v>550</v>
      </c>
    </row>
    <row r="73" spans="2:15" ht="18" x14ac:dyDescent="0.35">
      <c r="B73" s="2">
        <v>3</v>
      </c>
      <c r="E73" s="32" t="s">
        <v>40</v>
      </c>
      <c r="F73" s="32"/>
      <c r="G73" s="32"/>
      <c r="H73" s="32"/>
      <c r="I73" s="30"/>
      <c r="J73" s="30"/>
      <c r="K73" s="30"/>
      <c r="L73" s="30"/>
    </row>
    <row r="75" spans="2:15" x14ac:dyDescent="0.3">
      <c r="C75" t="s">
        <v>10</v>
      </c>
      <c r="D75" t="s">
        <v>12</v>
      </c>
      <c r="E75" t="s">
        <v>13</v>
      </c>
      <c r="F75" t="s">
        <v>14</v>
      </c>
      <c r="G75" t="s">
        <v>15</v>
      </c>
    </row>
    <row r="76" spans="2:15" x14ac:dyDescent="0.3">
      <c r="C76">
        <v>3</v>
      </c>
      <c r="D76">
        <v>7</v>
      </c>
      <c r="E76">
        <v>3</v>
      </c>
      <c r="F76">
        <v>2</v>
      </c>
      <c r="G76">
        <v>3</v>
      </c>
    </row>
    <row r="77" spans="2:15" x14ac:dyDescent="0.3">
      <c r="C77">
        <v>5</v>
      </c>
      <c r="D77">
        <v>2</v>
      </c>
      <c r="E77">
        <v>2</v>
      </c>
      <c r="F77">
        <v>3</v>
      </c>
      <c r="G77">
        <v>2</v>
      </c>
      <c r="J77" t="s">
        <v>37</v>
      </c>
      <c r="L77">
        <f>7-1</f>
        <v>6</v>
      </c>
    </row>
    <row r="78" spans="2:15" x14ac:dyDescent="0.3">
      <c r="C78">
        <v>2</v>
      </c>
      <c r="D78">
        <v>3</v>
      </c>
      <c r="E78">
        <v>1</v>
      </c>
      <c r="F78">
        <v>4</v>
      </c>
      <c r="G78">
        <v>4</v>
      </c>
      <c r="J78" t="s">
        <v>38</v>
      </c>
      <c r="L78">
        <f>_xlfn.VAR.S(Table8[Column1],Table8[Column2],Table8[Column3],Table8[Column4],Table8[Column5])</f>
        <v>2.3363265306122454</v>
      </c>
      <c r="O78">
        <f>AVERAGE(Table8[])</f>
        <v>3.52</v>
      </c>
    </row>
    <row r="79" spans="2:15" x14ac:dyDescent="0.3">
      <c r="C79">
        <v>4</v>
      </c>
      <c r="D79">
        <v>4</v>
      </c>
      <c r="E79">
        <v>4</v>
      </c>
      <c r="F79">
        <v>5</v>
      </c>
      <c r="G79">
        <v>2</v>
      </c>
      <c r="J79" t="s">
        <v>39</v>
      </c>
      <c r="L79">
        <f>_xlfn.STDEV.S(Table8[Column1],Table8[Column2],Table8[Column3],Table8[Column4],Table8[Column5])</f>
        <v>1.5285046714394579</v>
      </c>
    </row>
    <row r="80" spans="2:15" x14ac:dyDescent="0.3">
      <c r="C80">
        <v>6</v>
      </c>
      <c r="D80">
        <v>2</v>
      </c>
      <c r="E80">
        <v>2</v>
      </c>
      <c r="F80">
        <v>1</v>
      </c>
      <c r="G80">
        <v>6</v>
      </c>
    </row>
    <row r="81" spans="2:7" x14ac:dyDescent="0.3">
      <c r="C81">
        <v>2</v>
      </c>
      <c r="D81">
        <v>4</v>
      </c>
      <c r="E81">
        <v>4</v>
      </c>
      <c r="F81">
        <v>6</v>
      </c>
      <c r="G81">
        <v>3</v>
      </c>
    </row>
    <row r="82" spans="2:7" x14ac:dyDescent="0.3">
      <c r="C82">
        <v>3</v>
      </c>
      <c r="D82">
        <v>2</v>
      </c>
      <c r="E82">
        <v>5</v>
      </c>
      <c r="F82">
        <v>2</v>
      </c>
      <c r="G82">
        <v>2</v>
      </c>
    </row>
    <row r="83" spans="2:7" x14ac:dyDescent="0.3">
      <c r="C83">
        <v>4</v>
      </c>
      <c r="D83">
        <v>3</v>
      </c>
      <c r="E83">
        <v>3</v>
      </c>
      <c r="F83">
        <v>4</v>
      </c>
      <c r="G83">
        <v>4</v>
      </c>
    </row>
    <row r="84" spans="2:7" x14ac:dyDescent="0.3">
      <c r="C84">
        <v>2</v>
      </c>
      <c r="D84">
        <v>5</v>
      </c>
      <c r="E84">
        <v>2</v>
      </c>
      <c r="F84">
        <v>3</v>
      </c>
      <c r="G84">
        <v>5</v>
      </c>
    </row>
    <row r="85" spans="2:7" x14ac:dyDescent="0.3">
      <c r="C85">
        <v>5</v>
      </c>
      <c r="D85">
        <v>6</v>
      </c>
      <c r="E85">
        <v>7</v>
      </c>
      <c r="F85">
        <v>5</v>
      </c>
      <c r="G85">
        <v>3</v>
      </c>
    </row>
    <row r="88" spans="2:7" ht="18" x14ac:dyDescent="0.35">
      <c r="B88" s="2">
        <v>4</v>
      </c>
      <c r="E88" s="32" t="s">
        <v>41</v>
      </c>
      <c r="F88" s="32"/>
    </row>
    <row r="90" spans="2:7" x14ac:dyDescent="0.3">
      <c r="C90" t="s">
        <v>10</v>
      </c>
    </row>
    <row r="91" spans="2:7" x14ac:dyDescent="0.3">
      <c r="C91">
        <v>120</v>
      </c>
    </row>
    <row r="92" spans="2:7" x14ac:dyDescent="0.3">
      <c r="C92">
        <v>150</v>
      </c>
      <c r="F92" t="s">
        <v>42</v>
      </c>
      <c r="G92">
        <f>AVERAGE(C91,Table9[[#This Row],[Column1]],C93,C94,C95,C96,C97,C98,C99,C100,C101,C102)</f>
        <v>132.5</v>
      </c>
    </row>
    <row r="93" spans="2:7" x14ac:dyDescent="0.3">
      <c r="C93">
        <v>110</v>
      </c>
      <c r="F93" t="s">
        <v>43</v>
      </c>
      <c r="G93">
        <f>155-110</f>
        <v>45</v>
      </c>
    </row>
    <row r="94" spans="2:7" x14ac:dyDescent="0.3">
      <c r="C94">
        <v>135</v>
      </c>
    </row>
    <row r="95" spans="2:7" x14ac:dyDescent="0.3">
      <c r="C95">
        <v>125</v>
      </c>
    </row>
    <row r="96" spans="2:7" x14ac:dyDescent="0.3">
      <c r="C96">
        <v>140</v>
      </c>
    </row>
    <row r="97" spans="2:11" x14ac:dyDescent="0.3">
      <c r="C97">
        <v>130</v>
      </c>
    </row>
    <row r="98" spans="2:11" x14ac:dyDescent="0.3">
      <c r="C98">
        <v>155</v>
      </c>
    </row>
    <row r="99" spans="2:11" x14ac:dyDescent="0.3">
      <c r="C99">
        <v>115</v>
      </c>
    </row>
    <row r="100" spans="2:11" x14ac:dyDescent="0.3">
      <c r="C100">
        <v>145</v>
      </c>
    </row>
    <row r="101" spans="2:11" x14ac:dyDescent="0.3">
      <c r="C101">
        <v>135</v>
      </c>
    </row>
    <row r="102" spans="2:11" x14ac:dyDescent="0.3">
      <c r="C102">
        <v>130</v>
      </c>
    </row>
    <row r="105" spans="2:11" ht="18" x14ac:dyDescent="0.35">
      <c r="B105" s="2">
        <v>5</v>
      </c>
      <c r="E105" s="32" t="s">
        <v>44</v>
      </c>
      <c r="F105" s="25"/>
    </row>
    <row r="107" spans="2:11" x14ac:dyDescent="0.3">
      <c r="C107" t="s">
        <v>10</v>
      </c>
      <c r="D107" t="s">
        <v>12</v>
      </c>
      <c r="E107" t="s">
        <v>13</v>
      </c>
      <c r="F107" t="s">
        <v>14</v>
      </c>
      <c r="G107" t="s">
        <v>15</v>
      </c>
    </row>
    <row r="108" spans="2:11" x14ac:dyDescent="0.3">
      <c r="C108">
        <v>8</v>
      </c>
      <c r="D108">
        <v>8</v>
      </c>
      <c r="E108">
        <v>8</v>
      </c>
      <c r="F108">
        <v>9</v>
      </c>
      <c r="G108">
        <v>9</v>
      </c>
      <c r="I108" t="s">
        <v>45</v>
      </c>
      <c r="K108">
        <f>AVERAGE(Table12[Column1],Table12[Column2],Table12[Column3],Table12[Column4],Table12[Column5])</f>
        <v>7.5</v>
      </c>
    </row>
    <row r="109" spans="2:11" x14ac:dyDescent="0.3">
      <c r="C109">
        <v>7</v>
      </c>
      <c r="D109">
        <v>9</v>
      </c>
      <c r="E109">
        <v>9</v>
      </c>
      <c r="F109">
        <v>8</v>
      </c>
      <c r="G109">
        <v>8</v>
      </c>
    </row>
    <row r="110" spans="2:11" x14ac:dyDescent="0.3">
      <c r="C110">
        <v>9</v>
      </c>
      <c r="D110">
        <v>7</v>
      </c>
      <c r="E110">
        <v>7</v>
      </c>
      <c r="F110">
        <v>7</v>
      </c>
      <c r="G110">
        <v>7</v>
      </c>
      <c r="I110" t="s">
        <v>46</v>
      </c>
      <c r="K110">
        <f>_xlfn.STDEV.S(Table12[Column1],Table12[Column2],Table12[Column3],Table12[Column4],Table12[Column5])</f>
        <v>1.0350983390135313</v>
      </c>
    </row>
    <row r="111" spans="2:11" x14ac:dyDescent="0.3">
      <c r="C111">
        <v>6</v>
      </c>
      <c r="D111">
        <v>8</v>
      </c>
      <c r="E111">
        <v>6</v>
      </c>
      <c r="F111">
        <v>6</v>
      </c>
      <c r="G111">
        <v>6</v>
      </c>
    </row>
    <row r="112" spans="2:11" x14ac:dyDescent="0.3">
      <c r="C112">
        <v>7</v>
      </c>
      <c r="D112">
        <v>7</v>
      </c>
      <c r="E112">
        <v>7</v>
      </c>
      <c r="F112">
        <v>8</v>
      </c>
      <c r="G112">
        <v>7</v>
      </c>
    </row>
    <row r="113" spans="2:17" x14ac:dyDescent="0.3">
      <c r="C113">
        <v>8</v>
      </c>
      <c r="D113">
        <v>6</v>
      </c>
      <c r="E113">
        <v>8</v>
      </c>
      <c r="F113">
        <v>9</v>
      </c>
      <c r="G113">
        <v>8</v>
      </c>
    </row>
    <row r="114" spans="2:17" x14ac:dyDescent="0.3">
      <c r="C114">
        <v>9</v>
      </c>
      <c r="D114">
        <v>8</v>
      </c>
      <c r="E114">
        <v>9</v>
      </c>
      <c r="F114">
        <v>7</v>
      </c>
      <c r="G114">
        <v>9</v>
      </c>
    </row>
    <row r="115" spans="2:17" x14ac:dyDescent="0.3">
      <c r="C115">
        <v>8</v>
      </c>
      <c r="D115">
        <v>9</v>
      </c>
      <c r="E115">
        <v>8</v>
      </c>
      <c r="F115">
        <v>8</v>
      </c>
      <c r="G115">
        <v>8</v>
      </c>
    </row>
    <row r="116" spans="2:17" x14ac:dyDescent="0.3">
      <c r="C116">
        <v>7</v>
      </c>
      <c r="D116">
        <v>6</v>
      </c>
      <c r="E116">
        <v>7</v>
      </c>
      <c r="F116">
        <v>7</v>
      </c>
      <c r="G116">
        <v>7</v>
      </c>
    </row>
    <row r="117" spans="2:17" x14ac:dyDescent="0.3">
      <c r="C117">
        <v>6</v>
      </c>
      <c r="D117">
        <v>7</v>
      </c>
      <c r="E117">
        <v>6</v>
      </c>
      <c r="F117">
        <v>6</v>
      </c>
      <c r="G117">
        <v>6</v>
      </c>
    </row>
    <row r="121" spans="2:17" ht="18" x14ac:dyDescent="0.35">
      <c r="B121" s="2">
        <v>6</v>
      </c>
      <c r="E121" s="32" t="s">
        <v>41</v>
      </c>
      <c r="F121" s="25"/>
      <c r="G121" s="25"/>
    </row>
    <row r="123" spans="2:17" x14ac:dyDescent="0.3">
      <c r="C123" t="s">
        <v>10</v>
      </c>
      <c r="D123" t="s">
        <v>12</v>
      </c>
      <c r="E123" t="s">
        <v>13</v>
      </c>
      <c r="F123" t="s">
        <v>14</v>
      </c>
      <c r="G123" t="s">
        <v>15</v>
      </c>
      <c r="H123" t="s">
        <v>16</v>
      </c>
      <c r="I123" t="s">
        <v>17</v>
      </c>
      <c r="J123" t="s">
        <v>18</v>
      </c>
      <c r="K123" t="s">
        <v>19</v>
      </c>
      <c r="L123" t="s">
        <v>20</v>
      </c>
    </row>
    <row r="124" spans="2:17" x14ac:dyDescent="0.3">
      <c r="C124">
        <v>10</v>
      </c>
      <c r="D124">
        <v>15</v>
      </c>
      <c r="E124">
        <v>12</v>
      </c>
      <c r="F124">
        <v>18</v>
      </c>
      <c r="G124">
        <v>20</v>
      </c>
      <c r="H124">
        <v>25</v>
      </c>
      <c r="I124">
        <v>8</v>
      </c>
      <c r="J124">
        <v>14</v>
      </c>
      <c r="K124">
        <v>16</v>
      </c>
      <c r="L124">
        <v>22</v>
      </c>
      <c r="O124" t="s">
        <v>42</v>
      </c>
      <c r="Q124">
        <f>AVERAGE(Table13[])</f>
        <v>16.739999999999998</v>
      </c>
    </row>
    <row r="125" spans="2:17" x14ac:dyDescent="0.3">
      <c r="C125">
        <v>9</v>
      </c>
      <c r="D125">
        <v>17</v>
      </c>
      <c r="E125">
        <v>11</v>
      </c>
      <c r="F125">
        <v>13</v>
      </c>
      <c r="G125">
        <v>19</v>
      </c>
      <c r="H125">
        <v>23</v>
      </c>
      <c r="I125">
        <v>21</v>
      </c>
      <c r="J125">
        <v>16</v>
      </c>
      <c r="K125">
        <v>24</v>
      </c>
      <c r="L125">
        <v>27</v>
      </c>
    </row>
    <row r="126" spans="2:17" x14ac:dyDescent="0.3">
      <c r="C126">
        <v>13</v>
      </c>
      <c r="D126">
        <v>10</v>
      </c>
      <c r="E126">
        <v>18</v>
      </c>
      <c r="F126">
        <v>16</v>
      </c>
      <c r="G126">
        <v>12</v>
      </c>
      <c r="H126">
        <v>14</v>
      </c>
      <c r="I126">
        <v>19</v>
      </c>
      <c r="J126">
        <v>21</v>
      </c>
      <c r="K126">
        <v>11</v>
      </c>
      <c r="L126">
        <v>17</v>
      </c>
      <c r="O126" t="s">
        <v>43</v>
      </c>
      <c r="Q126">
        <f>27-8</f>
        <v>19</v>
      </c>
    </row>
    <row r="127" spans="2:17" x14ac:dyDescent="0.3">
      <c r="C127">
        <v>15</v>
      </c>
      <c r="D127">
        <v>20</v>
      </c>
      <c r="E127">
        <v>26</v>
      </c>
      <c r="F127">
        <v>13</v>
      </c>
      <c r="G127">
        <v>12</v>
      </c>
      <c r="H127">
        <v>14</v>
      </c>
      <c r="I127">
        <v>22</v>
      </c>
      <c r="J127">
        <v>19</v>
      </c>
      <c r="K127">
        <v>16</v>
      </c>
      <c r="L127">
        <v>11</v>
      </c>
    </row>
    <row r="128" spans="2:17" x14ac:dyDescent="0.3">
      <c r="C128">
        <v>25</v>
      </c>
      <c r="D128">
        <v>18</v>
      </c>
      <c r="E128">
        <v>16</v>
      </c>
      <c r="F128">
        <v>13</v>
      </c>
      <c r="G128">
        <v>21</v>
      </c>
      <c r="H128">
        <v>20</v>
      </c>
      <c r="I128">
        <v>15</v>
      </c>
      <c r="J128">
        <v>12</v>
      </c>
      <c r="K128">
        <v>19</v>
      </c>
      <c r="L128">
        <v>17</v>
      </c>
      <c r="O128" t="s">
        <v>46</v>
      </c>
      <c r="Q128">
        <f>_xlfn.STDEV.S(Table13[])</f>
        <v>4.1429506881014673</v>
      </c>
    </row>
    <row r="129" spans="2:18" x14ac:dyDescent="0.3">
      <c r="C129">
        <v>14</v>
      </c>
      <c r="D129">
        <v>16</v>
      </c>
      <c r="E129">
        <v>23</v>
      </c>
      <c r="F129">
        <v>18</v>
      </c>
      <c r="G129">
        <v>15</v>
      </c>
      <c r="H129">
        <v>11</v>
      </c>
      <c r="I129">
        <v>19</v>
      </c>
      <c r="J129">
        <v>22</v>
      </c>
      <c r="K129">
        <v>17</v>
      </c>
      <c r="L129">
        <v>12</v>
      </c>
    </row>
    <row r="130" spans="2:18" x14ac:dyDescent="0.3">
      <c r="C130">
        <v>16</v>
      </c>
      <c r="D130">
        <v>14</v>
      </c>
      <c r="E130">
        <v>18</v>
      </c>
      <c r="F130">
        <v>20</v>
      </c>
      <c r="G130">
        <v>25</v>
      </c>
      <c r="H130">
        <v>13</v>
      </c>
      <c r="I130">
        <v>11</v>
      </c>
      <c r="J130">
        <v>22</v>
      </c>
      <c r="K130">
        <v>19</v>
      </c>
      <c r="L130">
        <v>17</v>
      </c>
    </row>
    <row r="131" spans="2:18" x14ac:dyDescent="0.3">
      <c r="C131">
        <v>15</v>
      </c>
      <c r="D131">
        <v>16</v>
      </c>
      <c r="E131">
        <v>13</v>
      </c>
      <c r="F131">
        <v>14</v>
      </c>
      <c r="G131">
        <v>18</v>
      </c>
      <c r="H131">
        <v>20</v>
      </c>
      <c r="I131">
        <v>19</v>
      </c>
      <c r="J131">
        <v>21</v>
      </c>
      <c r="K131">
        <v>17</v>
      </c>
      <c r="L131">
        <v>12</v>
      </c>
    </row>
    <row r="132" spans="2:18" x14ac:dyDescent="0.3">
      <c r="C132">
        <v>15</v>
      </c>
      <c r="D132">
        <v>13</v>
      </c>
      <c r="E132">
        <v>16</v>
      </c>
      <c r="F132">
        <v>14</v>
      </c>
      <c r="G132">
        <v>22</v>
      </c>
      <c r="H132">
        <v>21</v>
      </c>
      <c r="I132">
        <v>19</v>
      </c>
      <c r="J132">
        <v>18</v>
      </c>
      <c r="K132">
        <v>16</v>
      </c>
      <c r="L132">
        <v>11</v>
      </c>
    </row>
    <row r="133" spans="2:18" x14ac:dyDescent="0.3">
      <c r="C133">
        <v>17</v>
      </c>
      <c r="D133">
        <v>14</v>
      </c>
      <c r="E133">
        <v>12</v>
      </c>
      <c r="F133">
        <v>20</v>
      </c>
      <c r="G133">
        <v>23</v>
      </c>
      <c r="H133">
        <v>19</v>
      </c>
      <c r="I133">
        <v>15</v>
      </c>
      <c r="J133">
        <v>16</v>
      </c>
      <c r="K133">
        <v>13</v>
      </c>
      <c r="L133">
        <v>18</v>
      </c>
    </row>
    <row r="137" spans="2:18" ht="18" x14ac:dyDescent="0.35">
      <c r="B137" s="2">
        <v>7</v>
      </c>
      <c r="E137" s="32" t="s">
        <v>47</v>
      </c>
      <c r="F137" s="32"/>
      <c r="G137" s="32"/>
    </row>
    <row r="139" spans="2:18" x14ac:dyDescent="0.3">
      <c r="C139" t="s">
        <v>10</v>
      </c>
      <c r="D139" t="s">
        <v>12</v>
      </c>
      <c r="E139" t="s">
        <v>13</v>
      </c>
      <c r="F139" t="s">
        <v>14</v>
      </c>
      <c r="G139" t="s">
        <v>15</v>
      </c>
      <c r="H139" t="s">
        <v>16</v>
      </c>
      <c r="I139" t="s">
        <v>17</v>
      </c>
      <c r="J139" t="s">
        <v>18</v>
      </c>
      <c r="K139" t="s">
        <v>19</v>
      </c>
      <c r="L139" t="s">
        <v>20</v>
      </c>
      <c r="M139" t="s">
        <v>54</v>
      </c>
      <c r="N139" t="s">
        <v>55</v>
      </c>
      <c r="P139" t="s">
        <v>42</v>
      </c>
      <c r="R139">
        <f>AVERAGE(Table14[[Column3]:[Column12]])</f>
        <v>26.48</v>
      </c>
    </row>
    <row r="140" spans="2:18" x14ac:dyDescent="0.3">
      <c r="C140" t="s">
        <v>48</v>
      </c>
      <c r="D140" t="s">
        <v>49</v>
      </c>
      <c r="E140">
        <v>30</v>
      </c>
      <c r="F140">
        <v>32</v>
      </c>
      <c r="G140">
        <v>33</v>
      </c>
      <c r="H140">
        <v>28</v>
      </c>
      <c r="I140">
        <v>31</v>
      </c>
      <c r="J140">
        <v>30</v>
      </c>
      <c r="K140">
        <v>29</v>
      </c>
      <c r="L140">
        <v>30</v>
      </c>
      <c r="M140">
        <v>32</v>
      </c>
      <c r="N140">
        <v>31</v>
      </c>
    </row>
    <row r="141" spans="2:18" x14ac:dyDescent="0.3">
      <c r="C141" t="s">
        <v>48</v>
      </c>
      <c r="D141" t="s">
        <v>50</v>
      </c>
      <c r="E141">
        <v>25</v>
      </c>
      <c r="F141">
        <v>27</v>
      </c>
      <c r="G141">
        <v>26</v>
      </c>
      <c r="H141">
        <v>23</v>
      </c>
      <c r="I141">
        <v>28</v>
      </c>
      <c r="J141">
        <v>24</v>
      </c>
      <c r="K141">
        <v>26</v>
      </c>
      <c r="L141">
        <v>25</v>
      </c>
      <c r="M141">
        <v>27</v>
      </c>
      <c r="N141">
        <v>28</v>
      </c>
      <c r="P141" t="s">
        <v>56</v>
      </c>
      <c r="R141">
        <f>36-17</f>
        <v>19</v>
      </c>
    </row>
    <row r="142" spans="2:18" x14ac:dyDescent="0.3">
      <c r="C142" t="s">
        <v>48</v>
      </c>
      <c r="D142" t="s">
        <v>51</v>
      </c>
      <c r="E142">
        <v>22</v>
      </c>
      <c r="F142">
        <v>23</v>
      </c>
      <c r="G142">
        <v>20</v>
      </c>
      <c r="H142">
        <v>25</v>
      </c>
      <c r="I142">
        <v>21</v>
      </c>
      <c r="J142">
        <v>24</v>
      </c>
      <c r="K142">
        <v>23</v>
      </c>
      <c r="L142">
        <v>22</v>
      </c>
      <c r="M142">
        <v>25</v>
      </c>
      <c r="N142">
        <v>24</v>
      </c>
      <c r="P142" t="s">
        <v>57</v>
      </c>
    </row>
    <row r="143" spans="2:18" x14ac:dyDescent="0.3">
      <c r="C143" t="s">
        <v>48</v>
      </c>
      <c r="D143" t="s">
        <v>52</v>
      </c>
      <c r="E143">
        <v>18</v>
      </c>
      <c r="F143">
        <v>17</v>
      </c>
      <c r="G143">
        <v>19</v>
      </c>
      <c r="H143">
        <v>20</v>
      </c>
      <c r="I143">
        <v>21</v>
      </c>
      <c r="J143">
        <v>18</v>
      </c>
      <c r="K143">
        <v>19</v>
      </c>
      <c r="L143">
        <v>17</v>
      </c>
      <c r="M143">
        <v>20</v>
      </c>
      <c r="N143">
        <v>19</v>
      </c>
      <c r="P143" t="s">
        <v>58</v>
      </c>
      <c r="R143">
        <f>_xlfn.VAR.S(Table14[[Column3]:[Column12]])</f>
        <v>32.417959183673531</v>
      </c>
    </row>
    <row r="144" spans="2:18" x14ac:dyDescent="0.3">
      <c r="C144" t="s">
        <v>48</v>
      </c>
      <c r="D144" t="s">
        <v>53</v>
      </c>
      <c r="E144">
        <v>35</v>
      </c>
      <c r="F144">
        <v>36</v>
      </c>
      <c r="G144">
        <v>34</v>
      </c>
      <c r="H144">
        <v>35</v>
      </c>
      <c r="I144">
        <v>33</v>
      </c>
      <c r="J144">
        <v>34</v>
      </c>
      <c r="K144">
        <v>32</v>
      </c>
      <c r="L144">
        <v>33</v>
      </c>
      <c r="M144">
        <v>36</v>
      </c>
      <c r="N144">
        <v>34</v>
      </c>
    </row>
    <row r="150" spans="2:12" ht="18" x14ac:dyDescent="0.35">
      <c r="B150" s="2">
        <v>8</v>
      </c>
      <c r="E150" s="32" t="s">
        <v>41</v>
      </c>
      <c r="F150" s="32"/>
    </row>
    <row r="152" spans="2:12" x14ac:dyDescent="0.3">
      <c r="C152" t="s">
        <v>10</v>
      </c>
      <c r="D152" t="s">
        <v>12</v>
      </c>
      <c r="E152" t="s">
        <v>13</v>
      </c>
      <c r="F152" t="s">
        <v>14</v>
      </c>
      <c r="G152" t="s">
        <v>15</v>
      </c>
      <c r="H152" t="s">
        <v>16</v>
      </c>
      <c r="I152" t="s">
        <v>17</v>
      </c>
      <c r="J152" t="s">
        <v>18</v>
      </c>
      <c r="K152" t="s">
        <v>19</v>
      </c>
      <c r="L152" t="s">
        <v>20</v>
      </c>
    </row>
    <row r="153" spans="2:12" x14ac:dyDescent="0.3">
      <c r="C153">
        <v>28</v>
      </c>
      <c r="D153">
        <v>32</v>
      </c>
      <c r="E153">
        <v>35</v>
      </c>
      <c r="F153">
        <v>40</v>
      </c>
      <c r="G153">
        <v>42</v>
      </c>
      <c r="H153">
        <v>28</v>
      </c>
      <c r="I153">
        <v>33</v>
      </c>
      <c r="J153">
        <v>38</v>
      </c>
      <c r="K153">
        <v>30</v>
      </c>
      <c r="L153">
        <v>41</v>
      </c>
    </row>
    <row r="154" spans="2:12" x14ac:dyDescent="0.3">
      <c r="C154">
        <v>37</v>
      </c>
      <c r="D154">
        <v>31</v>
      </c>
      <c r="E154">
        <v>34</v>
      </c>
      <c r="F154">
        <v>29</v>
      </c>
      <c r="G154">
        <v>36</v>
      </c>
      <c r="H154">
        <v>43</v>
      </c>
      <c r="I154">
        <v>39</v>
      </c>
      <c r="J154">
        <v>27</v>
      </c>
      <c r="K154">
        <v>35</v>
      </c>
      <c r="L154">
        <v>31</v>
      </c>
    </row>
    <row r="155" spans="2:12" x14ac:dyDescent="0.3">
      <c r="C155">
        <v>39</v>
      </c>
      <c r="D155">
        <v>45</v>
      </c>
      <c r="E155">
        <v>29</v>
      </c>
      <c r="F155">
        <v>33</v>
      </c>
      <c r="G155">
        <v>37</v>
      </c>
      <c r="H155">
        <v>40</v>
      </c>
      <c r="I155">
        <v>36</v>
      </c>
      <c r="J155">
        <v>29</v>
      </c>
      <c r="K155">
        <v>31</v>
      </c>
      <c r="L155">
        <v>38</v>
      </c>
    </row>
    <row r="156" spans="2:12" x14ac:dyDescent="0.3">
      <c r="C156">
        <v>35</v>
      </c>
      <c r="D156">
        <v>44</v>
      </c>
      <c r="E156">
        <v>32</v>
      </c>
      <c r="F156">
        <v>39</v>
      </c>
      <c r="G156">
        <v>36</v>
      </c>
      <c r="H156">
        <v>30</v>
      </c>
      <c r="I156">
        <v>33</v>
      </c>
      <c r="J156">
        <v>28</v>
      </c>
      <c r="K156">
        <v>41</v>
      </c>
      <c r="L156">
        <v>35</v>
      </c>
    </row>
    <row r="157" spans="2:12" x14ac:dyDescent="0.3">
      <c r="C157">
        <v>31</v>
      </c>
      <c r="D157">
        <v>37</v>
      </c>
      <c r="E157">
        <v>42</v>
      </c>
      <c r="F157">
        <v>29</v>
      </c>
      <c r="G157">
        <v>34</v>
      </c>
      <c r="H157">
        <v>40</v>
      </c>
      <c r="I157">
        <v>31</v>
      </c>
      <c r="J157">
        <v>33</v>
      </c>
      <c r="K157">
        <v>38</v>
      </c>
      <c r="L157">
        <v>36</v>
      </c>
    </row>
    <row r="158" spans="2:12" x14ac:dyDescent="0.3">
      <c r="C158">
        <v>39</v>
      </c>
      <c r="D158">
        <v>27</v>
      </c>
      <c r="E158">
        <v>35</v>
      </c>
      <c r="F158">
        <v>30</v>
      </c>
      <c r="G158">
        <v>43</v>
      </c>
      <c r="H158">
        <v>29</v>
      </c>
      <c r="I158">
        <v>32</v>
      </c>
      <c r="J158">
        <v>36</v>
      </c>
      <c r="K158">
        <v>31</v>
      </c>
      <c r="L158">
        <v>40</v>
      </c>
    </row>
    <row r="159" spans="2:12" x14ac:dyDescent="0.3">
      <c r="C159">
        <v>38</v>
      </c>
      <c r="D159">
        <v>44</v>
      </c>
      <c r="E159">
        <v>37</v>
      </c>
      <c r="F159">
        <v>33</v>
      </c>
      <c r="G159">
        <v>35</v>
      </c>
      <c r="H159">
        <v>41</v>
      </c>
      <c r="I159">
        <v>30</v>
      </c>
      <c r="J159">
        <v>31</v>
      </c>
      <c r="K159">
        <v>39</v>
      </c>
      <c r="L159">
        <v>28</v>
      </c>
    </row>
    <row r="160" spans="2:12" x14ac:dyDescent="0.3">
      <c r="C160">
        <v>45</v>
      </c>
      <c r="D160">
        <v>29</v>
      </c>
      <c r="E160">
        <v>33</v>
      </c>
      <c r="F160">
        <v>38</v>
      </c>
      <c r="G160">
        <v>34</v>
      </c>
      <c r="H160">
        <v>32</v>
      </c>
      <c r="I160">
        <v>35</v>
      </c>
      <c r="J160">
        <v>31</v>
      </c>
      <c r="K160">
        <v>40</v>
      </c>
      <c r="L160">
        <v>36</v>
      </c>
    </row>
    <row r="161" spans="3:14" x14ac:dyDescent="0.3">
      <c r="C161">
        <v>39</v>
      </c>
      <c r="D161">
        <v>27</v>
      </c>
      <c r="E161">
        <v>35</v>
      </c>
      <c r="F161">
        <v>30</v>
      </c>
      <c r="G161">
        <v>43</v>
      </c>
      <c r="H161">
        <v>29</v>
      </c>
      <c r="I161">
        <v>32</v>
      </c>
      <c r="J161">
        <v>36</v>
      </c>
      <c r="K161">
        <v>31</v>
      </c>
      <c r="L161">
        <v>40</v>
      </c>
    </row>
    <row r="162" spans="3:14" x14ac:dyDescent="0.3">
      <c r="C162">
        <v>38</v>
      </c>
      <c r="D162">
        <v>44</v>
      </c>
      <c r="E162">
        <v>37</v>
      </c>
      <c r="F162">
        <v>33</v>
      </c>
      <c r="G162">
        <v>35</v>
      </c>
      <c r="H162">
        <v>41</v>
      </c>
      <c r="I162">
        <v>30</v>
      </c>
      <c r="J162">
        <v>31</v>
      </c>
      <c r="K162">
        <v>39</v>
      </c>
      <c r="L162">
        <v>28</v>
      </c>
    </row>
    <row r="167" spans="3:14" x14ac:dyDescent="0.3">
      <c r="H167" s="30" t="s">
        <v>61</v>
      </c>
      <c r="I167" s="30"/>
      <c r="M167" t="s">
        <v>62</v>
      </c>
    </row>
    <row r="168" spans="3:14" x14ac:dyDescent="0.3">
      <c r="M168">
        <v>20</v>
      </c>
      <c r="N168">
        <v>30</v>
      </c>
    </row>
    <row r="169" spans="3:14" x14ac:dyDescent="0.3">
      <c r="H169" t="s">
        <v>60</v>
      </c>
      <c r="J169">
        <f>MODE(Table10[#All])</f>
        <v>31</v>
      </c>
      <c r="M169">
        <v>31</v>
      </c>
      <c r="N169">
        <v>40</v>
      </c>
    </row>
    <row r="170" spans="3:14" x14ac:dyDescent="0.3">
      <c r="M170">
        <v>41</v>
      </c>
      <c r="N170">
        <v>50</v>
      </c>
    </row>
    <row r="171" spans="3:14" x14ac:dyDescent="0.3">
      <c r="H171" t="s">
        <v>59</v>
      </c>
      <c r="J171">
        <f>MEDIAN(Table10[])</f>
        <v>35</v>
      </c>
      <c r="M171">
        <v>51</v>
      </c>
      <c r="N171">
        <v>60</v>
      </c>
    </row>
    <row r="173" spans="3:14" x14ac:dyDescent="0.3">
      <c r="H173" t="s">
        <v>43</v>
      </c>
      <c r="J173">
        <f>MAX(Table10[])-MIN(Table10[])</f>
        <v>18</v>
      </c>
    </row>
    <row r="174" spans="3:14" x14ac:dyDescent="0.3">
      <c r="N174">
        <f>COUNT(Table10[])</f>
        <v>100</v>
      </c>
    </row>
    <row r="180" spans="2:12" ht="18" x14ac:dyDescent="0.35">
      <c r="B180" s="2">
        <v>9</v>
      </c>
      <c r="E180" s="25" t="s">
        <v>1</v>
      </c>
      <c r="F180" s="25"/>
      <c r="G180" s="25"/>
    </row>
    <row r="182" spans="2:12" x14ac:dyDescent="0.3">
      <c r="C182" t="s">
        <v>10</v>
      </c>
      <c r="D182" t="s">
        <v>12</v>
      </c>
      <c r="E182" t="s">
        <v>13</v>
      </c>
      <c r="F182" t="s">
        <v>14</v>
      </c>
      <c r="G182" t="s">
        <v>15</v>
      </c>
      <c r="H182" t="s">
        <v>16</v>
      </c>
      <c r="I182" t="s">
        <v>17</v>
      </c>
      <c r="J182" t="s">
        <v>18</v>
      </c>
      <c r="K182" t="s">
        <v>19</v>
      </c>
      <c r="L182" t="s">
        <v>20</v>
      </c>
    </row>
    <row r="183" spans="2:12" x14ac:dyDescent="0.3">
      <c r="C183">
        <v>56</v>
      </c>
      <c r="D183">
        <v>40</v>
      </c>
      <c r="E183">
        <v>28</v>
      </c>
      <c r="F183">
        <v>73</v>
      </c>
      <c r="G183">
        <v>52</v>
      </c>
      <c r="H183">
        <v>61</v>
      </c>
      <c r="I183">
        <v>35</v>
      </c>
      <c r="J183">
        <v>40</v>
      </c>
      <c r="K183">
        <v>47</v>
      </c>
      <c r="L183">
        <v>65</v>
      </c>
    </row>
    <row r="184" spans="2:12" x14ac:dyDescent="0.3">
      <c r="C184">
        <v>52</v>
      </c>
      <c r="D184">
        <v>44</v>
      </c>
      <c r="E184">
        <v>38</v>
      </c>
      <c r="F184">
        <v>60</v>
      </c>
      <c r="G184">
        <v>56</v>
      </c>
      <c r="H184">
        <v>40</v>
      </c>
      <c r="I184">
        <v>36</v>
      </c>
      <c r="J184">
        <v>49</v>
      </c>
      <c r="K184">
        <v>68</v>
      </c>
      <c r="L184">
        <v>57</v>
      </c>
    </row>
    <row r="185" spans="2:12" x14ac:dyDescent="0.3">
      <c r="C185">
        <v>52</v>
      </c>
      <c r="D185">
        <v>63</v>
      </c>
      <c r="E185">
        <v>41</v>
      </c>
      <c r="F185">
        <v>48</v>
      </c>
      <c r="G185">
        <v>55</v>
      </c>
      <c r="H185">
        <v>42</v>
      </c>
      <c r="I185">
        <v>39</v>
      </c>
      <c r="J185">
        <v>58</v>
      </c>
      <c r="K185">
        <v>62</v>
      </c>
      <c r="L185">
        <v>49</v>
      </c>
    </row>
    <row r="186" spans="2:12" x14ac:dyDescent="0.3">
      <c r="C186">
        <v>59</v>
      </c>
      <c r="D186">
        <v>45</v>
      </c>
      <c r="E186">
        <v>47</v>
      </c>
      <c r="F186">
        <v>51</v>
      </c>
      <c r="G186">
        <v>65</v>
      </c>
      <c r="H186">
        <v>41</v>
      </c>
      <c r="I186">
        <v>48</v>
      </c>
      <c r="J186">
        <v>55</v>
      </c>
      <c r="K186">
        <v>42</v>
      </c>
      <c r="L186">
        <v>39</v>
      </c>
    </row>
    <row r="187" spans="2:12" x14ac:dyDescent="0.3">
      <c r="C187">
        <v>58</v>
      </c>
      <c r="D187">
        <v>62</v>
      </c>
      <c r="E187">
        <v>49</v>
      </c>
      <c r="F187">
        <v>59</v>
      </c>
      <c r="G187">
        <v>45</v>
      </c>
      <c r="H187">
        <v>47</v>
      </c>
      <c r="I187">
        <v>51</v>
      </c>
      <c r="J187">
        <v>65</v>
      </c>
      <c r="K187">
        <v>43</v>
      </c>
      <c r="L187">
        <v>58</v>
      </c>
    </row>
    <row r="190" spans="2:12" ht="14.4" customHeight="1" x14ac:dyDescent="0.3">
      <c r="C190" s="6" t="s">
        <v>10</v>
      </c>
      <c r="D190" s="6"/>
      <c r="E190" s="6"/>
    </row>
    <row r="191" spans="2:12" ht="14.4" customHeight="1" x14ac:dyDescent="0.3">
      <c r="C191">
        <v>56</v>
      </c>
      <c r="D191" s="6"/>
      <c r="E191" s="6"/>
      <c r="I191" s="30" t="s">
        <v>61</v>
      </c>
      <c r="J191" s="30"/>
    </row>
    <row r="192" spans="2:12" ht="14.4" customHeight="1" x14ac:dyDescent="0.3">
      <c r="C192">
        <v>40</v>
      </c>
      <c r="E192" s="6" t="s">
        <v>64</v>
      </c>
    </row>
    <row r="193" spans="3:13" ht="14.4" customHeight="1" x14ac:dyDescent="0.3">
      <c r="C193">
        <v>28</v>
      </c>
      <c r="D193" s="6"/>
      <c r="E193">
        <v>20</v>
      </c>
      <c r="F193">
        <v>30</v>
      </c>
      <c r="I193" t="s">
        <v>60</v>
      </c>
      <c r="K193">
        <f>MODE(Table16[])</f>
        <v>40</v>
      </c>
    </row>
    <row r="194" spans="3:13" ht="14.4" customHeight="1" x14ac:dyDescent="0.3">
      <c r="C194">
        <v>73</v>
      </c>
      <c r="D194" s="6"/>
      <c r="E194">
        <v>31</v>
      </c>
      <c r="F194">
        <v>40</v>
      </c>
    </row>
    <row r="195" spans="3:13" x14ac:dyDescent="0.3">
      <c r="C195">
        <v>52</v>
      </c>
      <c r="D195" s="6"/>
      <c r="E195">
        <v>41</v>
      </c>
      <c r="F195">
        <v>50</v>
      </c>
      <c r="I195" t="s">
        <v>59</v>
      </c>
      <c r="K195">
        <f>MEDIAN(Table16[])</f>
        <v>50</v>
      </c>
    </row>
    <row r="196" spans="3:13" x14ac:dyDescent="0.3">
      <c r="C196">
        <v>61</v>
      </c>
      <c r="E196">
        <v>51</v>
      </c>
      <c r="F196">
        <v>60</v>
      </c>
    </row>
    <row r="197" spans="3:13" x14ac:dyDescent="0.3">
      <c r="C197">
        <v>35</v>
      </c>
      <c r="E197">
        <v>61</v>
      </c>
      <c r="F197">
        <v>70</v>
      </c>
      <c r="I197" t="s">
        <v>63</v>
      </c>
      <c r="K197">
        <f>25/100*51</f>
        <v>12.75</v>
      </c>
      <c r="L197" s="7" t="s">
        <v>65</v>
      </c>
      <c r="M197">
        <f>(42+42)/2</f>
        <v>42</v>
      </c>
    </row>
    <row r="198" spans="3:13" x14ac:dyDescent="0.3">
      <c r="C198">
        <v>40</v>
      </c>
      <c r="E198">
        <v>71</v>
      </c>
      <c r="F198">
        <v>80</v>
      </c>
      <c r="K198">
        <f>50/100*51</f>
        <v>25.5</v>
      </c>
      <c r="L198" s="7" t="s">
        <v>66</v>
      </c>
      <c r="M198">
        <f>(49+51)/2</f>
        <v>50</v>
      </c>
    </row>
    <row r="199" spans="3:13" x14ac:dyDescent="0.3">
      <c r="C199">
        <v>47</v>
      </c>
      <c r="K199">
        <f>75/100*51</f>
        <v>38.25</v>
      </c>
      <c r="L199" s="7" t="s">
        <v>67</v>
      </c>
      <c r="M199">
        <f>(58+59)/2</f>
        <v>58.5</v>
      </c>
    </row>
    <row r="200" spans="3:13" x14ac:dyDescent="0.3">
      <c r="C200">
        <v>65</v>
      </c>
    </row>
    <row r="201" spans="3:13" x14ac:dyDescent="0.3">
      <c r="C201">
        <v>52</v>
      </c>
    </row>
    <row r="202" spans="3:13" x14ac:dyDescent="0.3">
      <c r="C202">
        <v>44</v>
      </c>
    </row>
    <row r="203" spans="3:13" x14ac:dyDescent="0.3">
      <c r="C203">
        <v>38</v>
      </c>
    </row>
    <row r="204" spans="3:13" x14ac:dyDescent="0.3">
      <c r="C204">
        <v>60</v>
      </c>
    </row>
    <row r="205" spans="3:13" x14ac:dyDescent="0.3">
      <c r="C205">
        <v>56</v>
      </c>
    </row>
    <row r="206" spans="3:13" x14ac:dyDescent="0.3">
      <c r="C206">
        <v>40</v>
      </c>
    </row>
    <row r="207" spans="3:13" x14ac:dyDescent="0.3">
      <c r="C207">
        <v>36</v>
      </c>
    </row>
    <row r="208" spans="3:13" x14ac:dyDescent="0.3">
      <c r="C208">
        <v>49</v>
      </c>
    </row>
    <row r="209" spans="3:3" x14ac:dyDescent="0.3">
      <c r="C209">
        <v>68</v>
      </c>
    </row>
    <row r="210" spans="3:3" x14ac:dyDescent="0.3">
      <c r="C210">
        <v>57</v>
      </c>
    </row>
    <row r="211" spans="3:3" x14ac:dyDescent="0.3">
      <c r="C211">
        <v>52</v>
      </c>
    </row>
    <row r="212" spans="3:3" x14ac:dyDescent="0.3">
      <c r="C212">
        <v>63</v>
      </c>
    </row>
    <row r="213" spans="3:3" x14ac:dyDescent="0.3">
      <c r="C213">
        <v>41</v>
      </c>
    </row>
    <row r="214" spans="3:3" x14ac:dyDescent="0.3">
      <c r="C214">
        <v>48</v>
      </c>
    </row>
    <row r="215" spans="3:3" x14ac:dyDescent="0.3">
      <c r="C215">
        <v>55</v>
      </c>
    </row>
    <row r="216" spans="3:3" x14ac:dyDescent="0.3">
      <c r="C216">
        <v>42</v>
      </c>
    </row>
    <row r="217" spans="3:3" x14ac:dyDescent="0.3">
      <c r="C217">
        <v>39</v>
      </c>
    </row>
    <row r="218" spans="3:3" x14ac:dyDescent="0.3">
      <c r="C218">
        <v>58</v>
      </c>
    </row>
    <row r="219" spans="3:3" x14ac:dyDescent="0.3">
      <c r="C219">
        <v>62</v>
      </c>
    </row>
    <row r="220" spans="3:3" x14ac:dyDescent="0.3">
      <c r="C220">
        <v>49</v>
      </c>
    </row>
    <row r="221" spans="3:3" x14ac:dyDescent="0.3">
      <c r="C221">
        <v>59</v>
      </c>
    </row>
    <row r="222" spans="3:3" x14ac:dyDescent="0.3">
      <c r="C222">
        <v>45</v>
      </c>
    </row>
    <row r="223" spans="3:3" x14ac:dyDescent="0.3">
      <c r="C223">
        <v>47</v>
      </c>
    </row>
    <row r="224" spans="3:3" x14ac:dyDescent="0.3">
      <c r="C224">
        <v>51</v>
      </c>
    </row>
    <row r="225" spans="3:3" x14ac:dyDescent="0.3">
      <c r="C225">
        <v>65</v>
      </c>
    </row>
    <row r="226" spans="3:3" x14ac:dyDescent="0.3">
      <c r="C226">
        <v>41</v>
      </c>
    </row>
    <row r="227" spans="3:3" x14ac:dyDescent="0.3">
      <c r="C227">
        <v>48</v>
      </c>
    </row>
    <row r="228" spans="3:3" x14ac:dyDescent="0.3">
      <c r="C228">
        <v>55</v>
      </c>
    </row>
    <row r="229" spans="3:3" x14ac:dyDescent="0.3">
      <c r="C229">
        <v>42</v>
      </c>
    </row>
    <row r="230" spans="3:3" x14ac:dyDescent="0.3">
      <c r="C230">
        <v>39</v>
      </c>
    </row>
    <row r="231" spans="3:3" x14ac:dyDescent="0.3">
      <c r="C231">
        <v>58</v>
      </c>
    </row>
    <row r="232" spans="3:3" x14ac:dyDescent="0.3">
      <c r="C232">
        <v>62</v>
      </c>
    </row>
    <row r="233" spans="3:3" x14ac:dyDescent="0.3">
      <c r="C233">
        <v>49</v>
      </c>
    </row>
    <row r="234" spans="3:3" x14ac:dyDescent="0.3">
      <c r="C234">
        <v>59</v>
      </c>
    </row>
    <row r="235" spans="3:3" x14ac:dyDescent="0.3">
      <c r="C235">
        <v>47</v>
      </c>
    </row>
    <row r="236" spans="3:3" x14ac:dyDescent="0.3">
      <c r="C236">
        <v>47</v>
      </c>
    </row>
    <row r="237" spans="3:3" x14ac:dyDescent="0.3">
      <c r="C237">
        <v>51</v>
      </c>
    </row>
    <row r="238" spans="3:3" x14ac:dyDescent="0.3">
      <c r="C238">
        <v>65</v>
      </c>
    </row>
    <row r="239" spans="3:3" x14ac:dyDescent="0.3">
      <c r="C239">
        <v>43</v>
      </c>
    </row>
    <row r="240" spans="3:3" x14ac:dyDescent="0.3">
      <c r="C240">
        <v>58</v>
      </c>
    </row>
    <row r="244" spans="2:11" ht="18" x14ac:dyDescent="0.35">
      <c r="B244" s="2">
        <v>10</v>
      </c>
      <c r="E244" s="32" t="s">
        <v>21</v>
      </c>
      <c r="F244" s="32"/>
      <c r="G244" s="32"/>
      <c r="H244" s="32"/>
    </row>
    <row r="246" spans="2:11" x14ac:dyDescent="0.3">
      <c r="C246" s="30" t="s">
        <v>76</v>
      </c>
      <c r="D246" s="30"/>
      <c r="E246" t="s">
        <v>68</v>
      </c>
      <c r="F246" t="s">
        <v>69</v>
      </c>
      <c r="G246" t="s">
        <v>70</v>
      </c>
      <c r="H246" t="s">
        <v>71</v>
      </c>
      <c r="I246" t="s">
        <v>72</v>
      </c>
      <c r="J246" t="s">
        <v>73</v>
      </c>
      <c r="K246" t="s">
        <v>74</v>
      </c>
    </row>
    <row r="247" spans="2:11" x14ac:dyDescent="0.3">
      <c r="C247" s="30" t="s">
        <v>75</v>
      </c>
      <c r="D247" s="30"/>
      <c r="E247">
        <v>30</v>
      </c>
      <c r="F247">
        <v>40</v>
      </c>
      <c r="G247">
        <v>20</v>
      </c>
      <c r="H247">
        <v>10</v>
      </c>
      <c r="I247">
        <v>45</v>
      </c>
      <c r="J247">
        <v>25</v>
      </c>
      <c r="K247">
        <v>30</v>
      </c>
    </row>
    <row r="267" spans="6:8" x14ac:dyDescent="0.3">
      <c r="F267" s="8"/>
      <c r="G267" s="8"/>
      <c r="H267" s="8"/>
    </row>
    <row r="268" spans="6:8" x14ac:dyDescent="0.3">
      <c r="F268" s="9" t="s">
        <v>77</v>
      </c>
      <c r="G268" s="9"/>
      <c r="H268" s="9"/>
    </row>
    <row r="269" spans="6:8" x14ac:dyDescent="0.3">
      <c r="F269" s="8"/>
      <c r="G269" s="8"/>
      <c r="H269" s="8"/>
    </row>
    <row r="284" spans="3:13" ht="18" x14ac:dyDescent="0.35">
      <c r="C284" s="2">
        <v>11</v>
      </c>
      <c r="E284" s="32" t="s">
        <v>44</v>
      </c>
      <c r="F284" s="32"/>
    </row>
    <row r="286" spans="3:13" x14ac:dyDescent="0.3">
      <c r="C286" t="s">
        <v>78</v>
      </c>
      <c r="D286">
        <v>4</v>
      </c>
      <c r="E286">
        <v>5</v>
      </c>
      <c r="F286">
        <v>3</v>
      </c>
      <c r="G286">
        <v>4</v>
      </c>
      <c r="H286">
        <v>4</v>
      </c>
      <c r="I286">
        <v>3</v>
      </c>
      <c r="J286">
        <v>2</v>
      </c>
      <c r="K286">
        <v>5</v>
      </c>
      <c r="L286">
        <v>4</v>
      </c>
      <c r="M286">
        <v>3</v>
      </c>
    </row>
    <row r="287" spans="3:13" x14ac:dyDescent="0.3">
      <c r="D287">
        <v>5</v>
      </c>
      <c r="E287">
        <v>4</v>
      </c>
      <c r="F287">
        <v>2</v>
      </c>
      <c r="G287">
        <v>3</v>
      </c>
      <c r="H287">
        <v>4</v>
      </c>
      <c r="I287">
        <v>5</v>
      </c>
      <c r="J287">
        <v>3</v>
      </c>
      <c r="K287">
        <v>4</v>
      </c>
      <c r="L287">
        <v>5</v>
      </c>
      <c r="M287">
        <v>3</v>
      </c>
    </row>
    <row r="288" spans="3:13" x14ac:dyDescent="0.3">
      <c r="D288">
        <v>4</v>
      </c>
      <c r="E288">
        <v>3</v>
      </c>
      <c r="F288">
        <v>2</v>
      </c>
      <c r="G288">
        <v>4</v>
      </c>
      <c r="H288">
        <v>5</v>
      </c>
      <c r="I288">
        <v>3</v>
      </c>
      <c r="J288">
        <v>4</v>
      </c>
      <c r="K288">
        <v>5</v>
      </c>
      <c r="L288">
        <v>4</v>
      </c>
      <c r="M288">
        <v>3</v>
      </c>
    </row>
    <row r="289" spans="4:13" x14ac:dyDescent="0.3">
      <c r="D289">
        <v>3</v>
      </c>
      <c r="E289">
        <v>4</v>
      </c>
      <c r="F289">
        <v>5</v>
      </c>
      <c r="G289">
        <v>2</v>
      </c>
      <c r="H289">
        <v>3</v>
      </c>
      <c r="I289">
        <v>4</v>
      </c>
      <c r="J289">
        <v>4</v>
      </c>
      <c r="K289">
        <v>3</v>
      </c>
      <c r="L289">
        <v>5</v>
      </c>
      <c r="M289">
        <v>4</v>
      </c>
    </row>
    <row r="290" spans="4:13" x14ac:dyDescent="0.3">
      <c r="D290">
        <v>3</v>
      </c>
      <c r="E290">
        <v>4</v>
      </c>
      <c r="F290">
        <v>5</v>
      </c>
      <c r="G290">
        <v>4</v>
      </c>
      <c r="H290">
        <v>2</v>
      </c>
      <c r="I290">
        <v>3</v>
      </c>
      <c r="J290">
        <v>4</v>
      </c>
      <c r="K290">
        <v>5</v>
      </c>
      <c r="L290">
        <v>3</v>
      </c>
      <c r="M290">
        <v>4</v>
      </c>
    </row>
    <row r="291" spans="4:13" x14ac:dyDescent="0.3">
      <c r="D291">
        <v>5</v>
      </c>
      <c r="E291">
        <v>4</v>
      </c>
      <c r="F291">
        <v>3</v>
      </c>
      <c r="G291">
        <v>4</v>
      </c>
      <c r="H291">
        <v>5</v>
      </c>
      <c r="I291">
        <v>3</v>
      </c>
      <c r="J291">
        <v>4</v>
      </c>
      <c r="K291">
        <v>5</v>
      </c>
      <c r="L291">
        <v>4</v>
      </c>
      <c r="M291">
        <v>3</v>
      </c>
    </row>
    <row r="292" spans="4:13" x14ac:dyDescent="0.3">
      <c r="D292">
        <v>3</v>
      </c>
      <c r="E292">
        <v>4</v>
      </c>
      <c r="F292">
        <v>5</v>
      </c>
      <c r="G292">
        <v>2</v>
      </c>
      <c r="H292">
        <v>3</v>
      </c>
      <c r="I292">
        <v>4</v>
      </c>
      <c r="J292">
        <v>4</v>
      </c>
      <c r="K292">
        <v>3</v>
      </c>
      <c r="L292">
        <v>5</v>
      </c>
      <c r="M292">
        <v>4</v>
      </c>
    </row>
    <row r="293" spans="4:13" x14ac:dyDescent="0.3">
      <c r="D293">
        <v>3</v>
      </c>
      <c r="E293">
        <v>4</v>
      </c>
      <c r="F293">
        <v>5</v>
      </c>
      <c r="G293">
        <v>4</v>
      </c>
      <c r="H293">
        <v>2</v>
      </c>
      <c r="I293">
        <v>3</v>
      </c>
      <c r="J293">
        <v>4</v>
      </c>
      <c r="K293">
        <v>5</v>
      </c>
      <c r="L293">
        <v>3</v>
      </c>
      <c r="M293">
        <v>4</v>
      </c>
    </row>
    <row r="294" spans="4:13" x14ac:dyDescent="0.3">
      <c r="D294">
        <v>5</v>
      </c>
      <c r="E294">
        <v>4</v>
      </c>
      <c r="F294">
        <v>3</v>
      </c>
      <c r="G294">
        <v>4</v>
      </c>
      <c r="H294">
        <v>5</v>
      </c>
      <c r="I294">
        <v>3</v>
      </c>
      <c r="J294">
        <v>4</v>
      </c>
      <c r="K294">
        <v>5</v>
      </c>
      <c r="L294">
        <v>4</v>
      </c>
      <c r="M294">
        <v>3</v>
      </c>
    </row>
    <row r="295" spans="4:13" x14ac:dyDescent="0.3">
      <c r="D295">
        <v>3</v>
      </c>
      <c r="E295">
        <v>4</v>
      </c>
      <c r="F295">
        <v>5</v>
      </c>
      <c r="G295">
        <v>2</v>
      </c>
      <c r="H295">
        <v>3</v>
      </c>
      <c r="I295">
        <v>4</v>
      </c>
      <c r="J295">
        <v>4</v>
      </c>
      <c r="K295">
        <v>3</v>
      </c>
      <c r="L295">
        <v>5</v>
      </c>
      <c r="M295">
        <v>4</v>
      </c>
    </row>
    <row r="314" spans="5:9" x14ac:dyDescent="0.3">
      <c r="E314" s="10"/>
      <c r="F314" s="10" t="s">
        <v>60</v>
      </c>
      <c r="G314" s="10">
        <f>MODE(D286:M295)</f>
        <v>4</v>
      </c>
      <c r="H314" s="10"/>
      <c r="I314" s="10"/>
    </row>
    <row r="334" spans="3:13" ht="18" x14ac:dyDescent="0.35">
      <c r="C334" s="2">
        <v>12</v>
      </c>
      <c r="E334" s="32" t="s">
        <v>41</v>
      </c>
      <c r="F334" s="32"/>
      <c r="G334" s="32"/>
    </row>
    <row r="336" spans="3:13" x14ac:dyDescent="0.3">
      <c r="C336" t="s">
        <v>79</v>
      </c>
      <c r="D336">
        <v>35</v>
      </c>
      <c r="E336">
        <v>28</v>
      </c>
      <c r="F336">
        <v>32</v>
      </c>
      <c r="G336">
        <v>45</v>
      </c>
      <c r="H336">
        <v>38</v>
      </c>
      <c r="I336">
        <v>29</v>
      </c>
      <c r="J336">
        <v>42</v>
      </c>
      <c r="K336">
        <v>30</v>
      </c>
      <c r="L336">
        <v>36</v>
      </c>
      <c r="M336">
        <v>41</v>
      </c>
    </row>
    <row r="337" spans="4:13" x14ac:dyDescent="0.3">
      <c r="D337">
        <v>47</v>
      </c>
      <c r="E337">
        <v>31</v>
      </c>
      <c r="F337">
        <v>39</v>
      </c>
      <c r="G337">
        <v>43</v>
      </c>
      <c r="H337">
        <v>37</v>
      </c>
      <c r="I337">
        <v>30</v>
      </c>
      <c r="J337">
        <v>34</v>
      </c>
      <c r="K337">
        <v>39</v>
      </c>
      <c r="L337">
        <v>28</v>
      </c>
      <c r="M337">
        <v>33</v>
      </c>
    </row>
    <row r="338" spans="4:13" x14ac:dyDescent="0.3">
      <c r="D338">
        <v>36</v>
      </c>
      <c r="E338">
        <v>40</v>
      </c>
      <c r="F338">
        <v>42</v>
      </c>
      <c r="G338">
        <v>29</v>
      </c>
      <c r="H338">
        <v>31</v>
      </c>
      <c r="I338">
        <v>45</v>
      </c>
      <c r="J338">
        <v>38</v>
      </c>
      <c r="K338">
        <v>33</v>
      </c>
      <c r="L338">
        <v>41</v>
      </c>
      <c r="M338">
        <v>35</v>
      </c>
    </row>
    <row r="339" spans="4:13" x14ac:dyDescent="0.3">
      <c r="D339">
        <v>37</v>
      </c>
      <c r="E339">
        <v>34</v>
      </c>
      <c r="F339">
        <v>46</v>
      </c>
      <c r="G339">
        <v>30</v>
      </c>
      <c r="H339">
        <v>39</v>
      </c>
      <c r="I339">
        <v>43</v>
      </c>
      <c r="J339">
        <v>28</v>
      </c>
      <c r="K339">
        <v>32</v>
      </c>
      <c r="L339">
        <v>36</v>
      </c>
      <c r="M339">
        <v>29</v>
      </c>
    </row>
    <row r="340" spans="4:13" x14ac:dyDescent="0.3">
      <c r="D340">
        <v>31</v>
      </c>
      <c r="E340">
        <v>37</v>
      </c>
      <c r="F340">
        <v>40</v>
      </c>
      <c r="G340">
        <v>42</v>
      </c>
      <c r="H340">
        <v>33</v>
      </c>
      <c r="I340">
        <v>39</v>
      </c>
      <c r="J340">
        <v>28</v>
      </c>
      <c r="K340">
        <v>35</v>
      </c>
      <c r="L340">
        <v>38</v>
      </c>
      <c r="M340">
        <v>43</v>
      </c>
    </row>
    <row r="357" spans="7:10" x14ac:dyDescent="0.3">
      <c r="G357" s="12"/>
      <c r="H357" s="12" t="s">
        <v>80</v>
      </c>
      <c r="I357" s="12">
        <f>AVERAGE(D336:M340)</f>
        <v>36.14</v>
      </c>
      <c r="J357" s="12"/>
    </row>
    <row r="375" spans="2:13" ht="18" x14ac:dyDescent="0.35">
      <c r="C375" s="2">
        <v>13</v>
      </c>
      <c r="E375" s="32" t="s">
        <v>81</v>
      </c>
      <c r="F375" s="32"/>
    </row>
    <row r="378" spans="2:13" x14ac:dyDescent="0.3">
      <c r="B378" t="s">
        <v>82</v>
      </c>
      <c r="C378" t="s">
        <v>83</v>
      </c>
      <c r="D378">
        <v>125</v>
      </c>
      <c r="E378">
        <v>148</v>
      </c>
      <c r="F378">
        <v>137</v>
      </c>
      <c r="G378">
        <v>120</v>
      </c>
      <c r="H378">
        <v>135</v>
      </c>
      <c r="I378">
        <v>132</v>
      </c>
      <c r="J378">
        <v>145</v>
      </c>
      <c r="K378">
        <v>122</v>
      </c>
      <c r="L378">
        <v>130</v>
      </c>
      <c r="M378">
        <v>141</v>
      </c>
    </row>
    <row r="379" spans="2:13" x14ac:dyDescent="0.3">
      <c r="D379">
        <v>118</v>
      </c>
      <c r="E379">
        <v>125</v>
      </c>
      <c r="F379">
        <v>132</v>
      </c>
      <c r="G379">
        <v>136</v>
      </c>
      <c r="H379">
        <v>128</v>
      </c>
      <c r="I379">
        <v>123</v>
      </c>
      <c r="J379">
        <v>132</v>
      </c>
      <c r="K379">
        <v>138</v>
      </c>
      <c r="L379">
        <v>126</v>
      </c>
      <c r="M379">
        <v>129</v>
      </c>
    </row>
    <row r="380" spans="2:13" x14ac:dyDescent="0.3">
      <c r="D380">
        <v>136</v>
      </c>
      <c r="E380">
        <v>127</v>
      </c>
      <c r="F380">
        <v>130</v>
      </c>
      <c r="G380">
        <v>122</v>
      </c>
      <c r="H380">
        <v>125</v>
      </c>
      <c r="I380">
        <v>133</v>
      </c>
      <c r="J380">
        <v>140</v>
      </c>
      <c r="K380">
        <v>126</v>
      </c>
      <c r="L380">
        <v>133</v>
      </c>
      <c r="M380">
        <v>135</v>
      </c>
    </row>
    <row r="381" spans="2:13" x14ac:dyDescent="0.3">
      <c r="D381">
        <v>130</v>
      </c>
      <c r="E381">
        <v>134</v>
      </c>
      <c r="F381">
        <v>141</v>
      </c>
      <c r="G381">
        <v>119</v>
      </c>
      <c r="H381">
        <v>125</v>
      </c>
      <c r="I381">
        <v>131</v>
      </c>
      <c r="J381">
        <v>136</v>
      </c>
      <c r="K381">
        <v>128</v>
      </c>
      <c r="L381">
        <v>124</v>
      </c>
      <c r="M381">
        <v>132</v>
      </c>
    </row>
    <row r="382" spans="2:13" x14ac:dyDescent="0.3">
      <c r="D382">
        <v>136</v>
      </c>
      <c r="E382">
        <v>127</v>
      </c>
      <c r="F382">
        <v>130</v>
      </c>
      <c r="G382">
        <v>122</v>
      </c>
      <c r="H382">
        <v>125</v>
      </c>
      <c r="I382">
        <v>133</v>
      </c>
      <c r="J382">
        <v>140</v>
      </c>
      <c r="K382">
        <v>126</v>
      </c>
      <c r="L382">
        <v>133</v>
      </c>
      <c r="M382">
        <v>135</v>
      </c>
    </row>
    <row r="383" spans="2:13" x14ac:dyDescent="0.3">
      <c r="D383">
        <v>130</v>
      </c>
      <c r="E383">
        <v>134</v>
      </c>
      <c r="F383">
        <v>141</v>
      </c>
      <c r="G383">
        <v>119</v>
      </c>
      <c r="H383">
        <v>125</v>
      </c>
      <c r="I383">
        <v>131</v>
      </c>
      <c r="J383">
        <v>136</v>
      </c>
      <c r="K383">
        <v>128</v>
      </c>
      <c r="L383">
        <v>124</v>
      </c>
      <c r="M383">
        <v>132</v>
      </c>
    </row>
    <row r="384" spans="2:13" x14ac:dyDescent="0.3">
      <c r="D384">
        <v>136</v>
      </c>
      <c r="E384">
        <v>127</v>
      </c>
      <c r="F384">
        <v>130</v>
      </c>
      <c r="G384">
        <v>122</v>
      </c>
      <c r="H384">
        <v>125</v>
      </c>
      <c r="I384">
        <v>133</v>
      </c>
      <c r="J384">
        <v>140</v>
      </c>
      <c r="K384">
        <v>126</v>
      </c>
      <c r="L384">
        <v>133</v>
      </c>
      <c r="M384">
        <v>135</v>
      </c>
    </row>
    <row r="385" spans="4:13" x14ac:dyDescent="0.3">
      <c r="D385">
        <v>130</v>
      </c>
      <c r="E385">
        <v>134</v>
      </c>
      <c r="F385">
        <v>141</v>
      </c>
      <c r="G385">
        <v>119</v>
      </c>
      <c r="H385">
        <v>125</v>
      </c>
      <c r="I385">
        <v>131</v>
      </c>
      <c r="J385">
        <v>136</v>
      </c>
      <c r="K385">
        <v>128</v>
      </c>
      <c r="L385">
        <v>124</v>
      </c>
      <c r="M385">
        <v>132</v>
      </c>
    </row>
    <row r="386" spans="4:13" x14ac:dyDescent="0.3">
      <c r="D386">
        <v>136</v>
      </c>
      <c r="E386">
        <v>127</v>
      </c>
      <c r="F386">
        <v>130</v>
      </c>
      <c r="G386">
        <v>122</v>
      </c>
      <c r="H386">
        <v>125</v>
      </c>
      <c r="I386">
        <v>133</v>
      </c>
      <c r="J386">
        <v>140</v>
      </c>
      <c r="K386">
        <v>126</v>
      </c>
      <c r="L386">
        <v>133</v>
      </c>
      <c r="M386">
        <v>135</v>
      </c>
    </row>
    <row r="387" spans="4:13" x14ac:dyDescent="0.3">
      <c r="D387">
        <v>130</v>
      </c>
      <c r="E387">
        <v>134</v>
      </c>
      <c r="F387">
        <v>141</v>
      </c>
      <c r="G387">
        <v>119</v>
      </c>
      <c r="H387">
        <v>125</v>
      </c>
      <c r="I387">
        <v>131</v>
      </c>
      <c r="J387">
        <v>136</v>
      </c>
      <c r="K387">
        <v>128</v>
      </c>
      <c r="L387">
        <v>124</v>
      </c>
      <c r="M387">
        <v>132</v>
      </c>
    </row>
    <row r="406" spans="7:10" x14ac:dyDescent="0.3">
      <c r="G406" s="12"/>
      <c r="H406" s="12" t="s">
        <v>59</v>
      </c>
      <c r="I406" s="12">
        <f>MEDIAN(D378:M387)</f>
        <v>130.5</v>
      </c>
      <c r="J406" s="12"/>
    </row>
    <row r="423" spans="3:15" ht="18" x14ac:dyDescent="0.35">
      <c r="C423" s="11">
        <v>14</v>
      </c>
      <c r="E423" s="39" t="s">
        <v>41</v>
      </c>
      <c r="F423" s="39"/>
      <c r="G423" s="39"/>
    </row>
    <row r="425" spans="3:15" x14ac:dyDescent="0.3">
      <c r="D425" s="4"/>
      <c r="E425" s="4" t="s">
        <v>86</v>
      </c>
      <c r="F425">
        <v>45</v>
      </c>
      <c r="G425">
        <v>35</v>
      </c>
      <c r="H425">
        <v>40</v>
      </c>
      <c r="I425">
        <v>38</v>
      </c>
      <c r="J425">
        <v>42</v>
      </c>
      <c r="K425">
        <v>37</v>
      </c>
      <c r="L425">
        <v>39</v>
      </c>
      <c r="M425">
        <v>43</v>
      </c>
      <c r="N425">
        <v>44</v>
      </c>
      <c r="O425">
        <v>41</v>
      </c>
    </row>
    <row r="426" spans="3:15" x14ac:dyDescent="0.3">
      <c r="D426" s="4"/>
      <c r="E426" s="4" t="s">
        <v>84</v>
      </c>
      <c r="F426">
        <v>32</v>
      </c>
      <c r="G426">
        <v>28</v>
      </c>
      <c r="H426">
        <v>30</v>
      </c>
      <c r="I426">
        <v>34</v>
      </c>
      <c r="J426">
        <v>33</v>
      </c>
      <c r="K426">
        <v>35</v>
      </c>
      <c r="L426">
        <v>31</v>
      </c>
      <c r="M426">
        <v>29</v>
      </c>
      <c r="N426">
        <v>36</v>
      </c>
      <c r="O426">
        <v>37</v>
      </c>
    </row>
    <row r="427" spans="3:15" x14ac:dyDescent="0.3">
      <c r="D427" s="4"/>
      <c r="E427" s="4" t="s">
        <v>85</v>
      </c>
      <c r="F427">
        <v>40</v>
      </c>
      <c r="G427">
        <v>39</v>
      </c>
      <c r="H427">
        <v>42</v>
      </c>
      <c r="I427">
        <v>41</v>
      </c>
      <c r="J427">
        <v>38</v>
      </c>
      <c r="K427">
        <v>43</v>
      </c>
      <c r="L427">
        <v>45</v>
      </c>
      <c r="M427">
        <v>44</v>
      </c>
      <c r="N427">
        <v>41</v>
      </c>
      <c r="O427">
        <v>37</v>
      </c>
    </row>
    <row r="436" spans="9:16" x14ac:dyDescent="0.3">
      <c r="I436" s="38" t="s">
        <v>89</v>
      </c>
      <c r="J436" s="38"/>
      <c r="K436" s="38"/>
      <c r="M436" s="38" t="s">
        <v>90</v>
      </c>
      <c r="N436" s="38"/>
      <c r="O436" s="38"/>
      <c r="P436" s="38"/>
    </row>
    <row r="437" spans="9:16" x14ac:dyDescent="0.3">
      <c r="I437" s="13"/>
      <c r="J437" s="13"/>
      <c r="K437" s="13"/>
      <c r="M437" s="13"/>
      <c r="N437" s="13"/>
      <c r="O437" s="13"/>
      <c r="P437" s="13"/>
    </row>
    <row r="438" spans="9:16" x14ac:dyDescent="0.3">
      <c r="I438" s="14" t="s">
        <v>86</v>
      </c>
      <c r="J438" s="13">
        <f>AVERAGE(F425:O425)</f>
        <v>40.4</v>
      </c>
      <c r="K438" s="13"/>
      <c r="M438" s="13"/>
      <c r="N438" s="13">
        <f>MAX(F425:O425)-MIN(F425:O425)</f>
        <v>10</v>
      </c>
      <c r="O438" s="13"/>
      <c r="P438" s="13"/>
    </row>
    <row r="439" spans="9:16" x14ac:dyDescent="0.3">
      <c r="I439" s="14" t="s">
        <v>84</v>
      </c>
      <c r="J439" s="13">
        <f>AVERAGE(F426:O426)</f>
        <v>32.5</v>
      </c>
      <c r="K439" s="13"/>
      <c r="M439" s="13"/>
      <c r="N439" s="13">
        <f>MAX(F426:O426)-MIN(F426:O426)</f>
        <v>9</v>
      </c>
      <c r="O439" s="13"/>
      <c r="P439" s="13"/>
    </row>
    <row r="440" spans="9:16" x14ac:dyDescent="0.3">
      <c r="I440" s="14" t="s">
        <v>85</v>
      </c>
      <c r="J440" s="13">
        <f>AVERAGE(F427:O427)</f>
        <v>41</v>
      </c>
      <c r="K440" s="13"/>
      <c r="M440" s="13"/>
      <c r="N440" s="13">
        <f>MAX(F427:O427)-MIN(F427:O427)</f>
        <v>8</v>
      </c>
      <c r="O440" s="13"/>
      <c r="P440" s="13"/>
    </row>
    <row r="453" spans="3:13" ht="28.8" x14ac:dyDescent="0.55000000000000004">
      <c r="C453" s="35" t="s">
        <v>87</v>
      </c>
      <c r="D453" s="35"/>
      <c r="E453" s="35"/>
      <c r="F453" s="35"/>
      <c r="G453" s="35"/>
      <c r="H453" s="35"/>
      <c r="I453" s="35"/>
      <c r="J453" s="35"/>
      <c r="K453" s="35"/>
      <c r="L453" s="35"/>
      <c r="M453" s="35"/>
    </row>
    <row r="454" spans="3:13" ht="18" x14ac:dyDescent="0.35">
      <c r="C454" s="2"/>
    </row>
    <row r="456" spans="3:13" x14ac:dyDescent="0.3">
      <c r="C456" s="11"/>
    </row>
    <row r="458" spans="3:13" ht="18" x14ac:dyDescent="0.35">
      <c r="C458" s="2">
        <v>1</v>
      </c>
      <c r="E458" s="32" t="s">
        <v>41</v>
      </c>
      <c r="F458" s="32"/>
    </row>
    <row r="460" spans="3:13" x14ac:dyDescent="0.3">
      <c r="C460" t="s">
        <v>88</v>
      </c>
      <c r="D460">
        <v>-2.5</v>
      </c>
      <c r="E460">
        <v>1.3</v>
      </c>
      <c r="F460">
        <v>-0.8</v>
      </c>
      <c r="G460">
        <v>-1.9</v>
      </c>
      <c r="H460">
        <v>2.1</v>
      </c>
      <c r="I460">
        <v>0.5</v>
      </c>
      <c r="J460">
        <v>-1.2</v>
      </c>
      <c r="K460">
        <v>1.8</v>
      </c>
      <c r="L460">
        <v>-0.5</v>
      </c>
      <c r="M460">
        <v>2.2999999999999998</v>
      </c>
    </row>
    <row r="461" spans="3:13" x14ac:dyDescent="0.3">
      <c r="D461">
        <v>-0.7</v>
      </c>
      <c r="E461">
        <v>1.2</v>
      </c>
      <c r="F461">
        <v>-1.5</v>
      </c>
      <c r="G461">
        <v>-0.3</v>
      </c>
      <c r="H461">
        <v>2.6</v>
      </c>
      <c r="I461">
        <v>1.1000000000000001</v>
      </c>
      <c r="J461">
        <v>-1.7</v>
      </c>
      <c r="K461">
        <v>0.9</v>
      </c>
      <c r="L461">
        <v>-1.4</v>
      </c>
      <c r="M461">
        <v>0.3</v>
      </c>
    </row>
    <row r="462" spans="3:13" x14ac:dyDescent="0.3">
      <c r="D462">
        <v>1.9</v>
      </c>
      <c r="E462">
        <v>-1.1000000000000001</v>
      </c>
      <c r="F462">
        <v>-0.4</v>
      </c>
      <c r="G462">
        <v>2.2000000000000002</v>
      </c>
      <c r="H462">
        <v>-0.9</v>
      </c>
      <c r="I462">
        <v>1.6</v>
      </c>
      <c r="J462">
        <v>-0.6</v>
      </c>
      <c r="K462">
        <v>-1.3</v>
      </c>
      <c r="L462">
        <v>2.4</v>
      </c>
      <c r="M462">
        <v>0.7</v>
      </c>
    </row>
    <row r="463" spans="3:13" x14ac:dyDescent="0.3">
      <c r="D463">
        <v>-1.8</v>
      </c>
      <c r="E463">
        <v>1.5</v>
      </c>
      <c r="F463">
        <v>-0.2</v>
      </c>
      <c r="G463">
        <v>-2.1</v>
      </c>
      <c r="H463">
        <v>2.8</v>
      </c>
      <c r="I463">
        <v>0.8</v>
      </c>
      <c r="J463">
        <v>-1.6</v>
      </c>
      <c r="K463">
        <v>1.4</v>
      </c>
      <c r="L463">
        <v>-0.1</v>
      </c>
      <c r="M463">
        <v>2.5</v>
      </c>
    </row>
    <row r="464" spans="3:13" x14ac:dyDescent="0.3">
      <c r="D464">
        <v>-1</v>
      </c>
      <c r="E464">
        <v>1.7</v>
      </c>
      <c r="F464">
        <v>-0.9</v>
      </c>
      <c r="G464">
        <v>-2</v>
      </c>
      <c r="H464">
        <v>2.7</v>
      </c>
      <c r="I464">
        <v>0.6</v>
      </c>
      <c r="J464">
        <v>-1.4</v>
      </c>
      <c r="K464">
        <v>1.1000000000000001</v>
      </c>
      <c r="L464">
        <v>-0.3</v>
      </c>
      <c r="M464">
        <v>2</v>
      </c>
    </row>
    <row r="467" spans="3:15" x14ac:dyDescent="0.3">
      <c r="E467" t="s">
        <v>91</v>
      </c>
      <c r="F467">
        <f>_xlfn.SKEW.P(D460:M464)</f>
        <v>5.2895806034817562E-2</v>
      </c>
    </row>
    <row r="468" spans="3:15" x14ac:dyDescent="0.3">
      <c r="E468" t="s">
        <v>92</v>
      </c>
      <c r="F468">
        <f>KURT(D460:M464)</f>
        <v>-1.3042496425917365</v>
      </c>
    </row>
    <row r="469" spans="3:15" x14ac:dyDescent="0.3">
      <c r="E469" t="s">
        <v>94</v>
      </c>
      <c r="G469" s="30" t="s">
        <v>93</v>
      </c>
      <c r="H469" s="30"/>
      <c r="I469" s="30"/>
      <c r="J469" s="30"/>
      <c r="K469" s="30"/>
      <c r="L469" s="30"/>
      <c r="M469" s="30"/>
      <c r="N469" s="30"/>
      <c r="O469" s="30"/>
    </row>
    <row r="475" spans="3:15" ht="18" x14ac:dyDescent="0.35">
      <c r="C475" s="2">
        <v>2</v>
      </c>
      <c r="E475" s="32" t="s">
        <v>95</v>
      </c>
      <c r="F475" s="32"/>
    </row>
    <row r="477" spans="3:15" x14ac:dyDescent="0.3">
      <c r="C477" t="s">
        <v>96</v>
      </c>
      <c r="D477">
        <v>2.5</v>
      </c>
      <c r="E477">
        <v>4.8</v>
      </c>
      <c r="F477">
        <v>3.2</v>
      </c>
      <c r="G477">
        <v>2.1</v>
      </c>
      <c r="H477">
        <v>4.5</v>
      </c>
      <c r="I477">
        <v>2.9</v>
      </c>
      <c r="J477">
        <v>2.2999999999999998</v>
      </c>
      <c r="K477">
        <v>3.1</v>
      </c>
      <c r="L477">
        <v>4.2</v>
      </c>
      <c r="M477">
        <v>3.9</v>
      </c>
    </row>
    <row r="478" spans="3:15" x14ac:dyDescent="0.3">
      <c r="D478">
        <v>2.8</v>
      </c>
      <c r="E478">
        <v>4.0999999999999996</v>
      </c>
      <c r="F478">
        <v>2.6</v>
      </c>
      <c r="G478">
        <v>2.4</v>
      </c>
      <c r="H478">
        <v>4.7</v>
      </c>
      <c r="I478">
        <v>3.3</v>
      </c>
      <c r="J478">
        <v>2.7</v>
      </c>
      <c r="K478">
        <v>3</v>
      </c>
      <c r="L478">
        <v>4.3</v>
      </c>
      <c r="M478">
        <v>3.7</v>
      </c>
    </row>
    <row r="479" spans="3:15" x14ac:dyDescent="0.3">
      <c r="D479">
        <v>2.2000000000000002</v>
      </c>
      <c r="E479">
        <v>3.6</v>
      </c>
      <c r="F479">
        <v>4</v>
      </c>
      <c r="G479">
        <v>2.7</v>
      </c>
      <c r="H479">
        <v>3.8</v>
      </c>
      <c r="I479">
        <v>3.5</v>
      </c>
      <c r="J479">
        <v>3.2</v>
      </c>
      <c r="K479">
        <v>4.4000000000000004</v>
      </c>
      <c r="L479">
        <v>2</v>
      </c>
      <c r="M479">
        <v>3.4</v>
      </c>
    </row>
    <row r="480" spans="3:15" x14ac:dyDescent="0.3">
      <c r="D480">
        <v>3.1</v>
      </c>
      <c r="E480">
        <v>2.9</v>
      </c>
      <c r="F480">
        <v>4.5999999999999996</v>
      </c>
      <c r="G480">
        <v>3.3</v>
      </c>
      <c r="H480">
        <v>2.5</v>
      </c>
      <c r="I480">
        <v>4.9000000000000004</v>
      </c>
      <c r="J480">
        <v>2.8</v>
      </c>
      <c r="K480">
        <v>3</v>
      </c>
      <c r="L480">
        <v>4.2</v>
      </c>
      <c r="M480">
        <v>3.9</v>
      </c>
    </row>
    <row r="481" spans="4:13" x14ac:dyDescent="0.3">
      <c r="D481">
        <v>2.8</v>
      </c>
      <c r="E481">
        <v>4.0999999999999996</v>
      </c>
      <c r="F481">
        <v>2.6</v>
      </c>
      <c r="G481">
        <v>2.4</v>
      </c>
      <c r="H481">
        <v>4.7</v>
      </c>
      <c r="I481">
        <v>3.3</v>
      </c>
      <c r="J481">
        <v>2.7</v>
      </c>
      <c r="K481">
        <v>3</v>
      </c>
      <c r="L481">
        <v>4.3</v>
      </c>
      <c r="M481">
        <v>3.7</v>
      </c>
    </row>
    <row r="482" spans="4:13" x14ac:dyDescent="0.3">
      <c r="D482">
        <v>2.2000000000000002</v>
      </c>
      <c r="E482">
        <v>3.6</v>
      </c>
      <c r="F482">
        <v>4</v>
      </c>
      <c r="G482">
        <v>2.7</v>
      </c>
      <c r="H482">
        <v>3.8</v>
      </c>
      <c r="I482">
        <v>3.5</v>
      </c>
      <c r="J482">
        <v>3.2</v>
      </c>
      <c r="K482">
        <v>4.4000000000000004</v>
      </c>
      <c r="L482">
        <v>2</v>
      </c>
      <c r="M482">
        <v>3.4</v>
      </c>
    </row>
    <row r="483" spans="4:13" x14ac:dyDescent="0.3">
      <c r="D483">
        <v>3.1</v>
      </c>
      <c r="E483">
        <v>2.9</v>
      </c>
      <c r="F483">
        <v>4.5999999999999996</v>
      </c>
      <c r="G483">
        <v>3.3</v>
      </c>
      <c r="H483">
        <v>2.5</v>
      </c>
      <c r="I483">
        <v>4.9000000000000004</v>
      </c>
      <c r="J483">
        <v>2.8</v>
      </c>
      <c r="K483">
        <v>3</v>
      </c>
      <c r="L483">
        <v>4.2</v>
      </c>
      <c r="M483">
        <v>3.9</v>
      </c>
    </row>
    <row r="484" spans="4:13" x14ac:dyDescent="0.3">
      <c r="D484">
        <v>2.8</v>
      </c>
      <c r="E484">
        <v>4.0999999999999996</v>
      </c>
      <c r="F484">
        <v>2.6</v>
      </c>
      <c r="G484">
        <v>2.4</v>
      </c>
      <c r="H484">
        <v>4.7</v>
      </c>
      <c r="I484">
        <v>3.3</v>
      </c>
      <c r="J484">
        <v>2.7</v>
      </c>
      <c r="K484">
        <v>3</v>
      </c>
      <c r="L484">
        <v>4.3</v>
      </c>
      <c r="M484">
        <v>3.7</v>
      </c>
    </row>
    <row r="485" spans="4:13" x14ac:dyDescent="0.3">
      <c r="D485">
        <v>2.2000000000000002</v>
      </c>
      <c r="E485">
        <v>3.6</v>
      </c>
      <c r="F485">
        <v>4</v>
      </c>
      <c r="G485">
        <v>2.7</v>
      </c>
      <c r="H485">
        <v>3.8</v>
      </c>
      <c r="I485">
        <v>3.5</v>
      </c>
      <c r="J485">
        <v>3.2</v>
      </c>
      <c r="K485">
        <v>4.4000000000000004</v>
      </c>
      <c r="L485">
        <v>2</v>
      </c>
      <c r="M485">
        <v>3.4</v>
      </c>
    </row>
    <row r="486" spans="4:13" x14ac:dyDescent="0.3">
      <c r="D486">
        <v>3.1</v>
      </c>
      <c r="E486">
        <v>2.9</v>
      </c>
      <c r="F486">
        <v>4.5999999999999996</v>
      </c>
      <c r="G486">
        <v>3.3</v>
      </c>
      <c r="H486">
        <v>2.5</v>
      </c>
      <c r="I486">
        <v>4.9000000000000004</v>
      </c>
    </row>
    <row r="490" spans="4:13" x14ac:dyDescent="0.3">
      <c r="E490" t="s">
        <v>91</v>
      </c>
      <c r="F490">
        <f>SKEW(D477:M486)</f>
        <v>0.22402536454542335</v>
      </c>
    </row>
    <row r="491" spans="4:13" x14ac:dyDescent="0.3">
      <c r="E491" t="s">
        <v>92</v>
      </c>
      <c r="F491">
        <f>KURT(D477:M486)</f>
        <v>-0.93120912452529181</v>
      </c>
    </row>
    <row r="492" spans="4:13" x14ac:dyDescent="0.3">
      <c r="E492" s="15" t="s">
        <v>94</v>
      </c>
      <c r="F492" t="s">
        <v>97</v>
      </c>
    </row>
    <row r="493" spans="4:13" x14ac:dyDescent="0.3">
      <c r="F493" t="s">
        <v>98</v>
      </c>
    </row>
    <row r="497" spans="3:13" ht="18" x14ac:dyDescent="0.35">
      <c r="C497" s="2">
        <v>3</v>
      </c>
      <c r="E497" s="32" t="s">
        <v>44</v>
      </c>
      <c r="F497" s="32"/>
    </row>
    <row r="499" spans="3:13" x14ac:dyDescent="0.3">
      <c r="C499" t="s">
        <v>78</v>
      </c>
      <c r="D499">
        <v>4</v>
      </c>
      <c r="E499">
        <v>5</v>
      </c>
      <c r="F499">
        <v>3</v>
      </c>
      <c r="G499">
        <v>4</v>
      </c>
      <c r="H499">
        <v>4</v>
      </c>
      <c r="I499">
        <v>3</v>
      </c>
      <c r="J499">
        <v>2</v>
      </c>
      <c r="K499">
        <v>5</v>
      </c>
      <c r="L499">
        <v>4</v>
      </c>
      <c r="M499">
        <v>3</v>
      </c>
    </row>
    <row r="500" spans="3:13" x14ac:dyDescent="0.3">
      <c r="D500">
        <v>5</v>
      </c>
      <c r="E500">
        <v>4</v>
      </c>
      <c r="F500">
        <v>2</v>
      </c>
      <c r="G500">
        <v>3</v>
      </c>
      <c r="H500">
        <v>4</v>
      </c>
      <c r="I500">
        <v>5</v>
      </c>
      <c r="J500">
        <v>3</v>
      </c>
      <c r="K500">
        <v>4</v>
      </c>
      <c r="L500">
        <v>5</v>
      </c>
      <c r="M500">
        <v>3</v>
      </c>
    </row>
    <row r="501" spans="3:13" x14ac:dyDescent="0.3">
      <c r="D501">
        <v>4</v>
      </c>
      <c r="E501">
        <v>3</v>
      </c>
      <c r="F501">
        <v>2</v>
      </c>
      <c r="G501">
        <v>4</v>
      </c>
      <c r="H501">
        <v>5</v>
      </c>
      <c r="I501">
        <v>3</v>
      </c>
      <c r="J501">
        <v>4</v>
      </c>
      <c r="K501">
        <v>5</v>
      </c>
      <c r="L501">
        <v>4</v>
      </c>
      <c r="M501">
        <v>3</v>
      </c>
    </row>
    <row r="502" spans="3:13" x14ac:dyDescent="0.3">
      <c r="D502">
        <v>3</v>
      </c>
      <c r="E502">
        <v>4</v>
      </c>
      <c r="F502">
        <v>5</v>
      </c>
      <c r="G502">
        <v>2</v>
      </c>
      <c r="H502">
        <v>3</v>
      </c>
      <c r="I502">
        <v>4</v>
      </c>
      <c r="J502">
        <v>4</v>
      </c>
      <c r="K502">
        <v>3</v>
      </c>
      <c r="L502">
        <v>5</v>
      </c>
      <c r="M502">
        <v>4</v>
      </c>
    </row>
    <row r="503" spans="3:13" x14ac:dyDescent="0.3">
      <c r="D503">
        <v>3</v>
      </c>
      <c r="E503">
        <v>4</v>
      </c>
      <c r="F503">
        <v>5</v>
      </c>
      <c r="G503">
        <v>4</v>
      </c>
      <c r="H503">
        <v>2</v>
      </c>
      <c r="I503">
        <v>3</v>
      </c>
      <c r="J503">
        <v>4</v>
      </c>
      <c r="K503">
        <v>5</v>
      </c>
      <c r="L503">
        <v>3</v>
      </c>
      <c r="M503">
        <v>4</v>
      </c>
    </row>
    <row r="504" spans="3:13" x14ac:dyDescent="0.3">
      <c r="D504">
        <v>5</v>
      </c>
      <c r="E504">
        <v>4</v>
      </c>
      <c r="F504">
        <v>3</v>
      </c>
      <c r="G504">
        <v>4</v>
      </c>
      <c r="H504">
        <v>5</v>
      </c>
      <c r="I504">
        <v>3</v>
      </c>
      <c r="J504">
        <v>4</v>
      </c>
      <c r="K504">
        <v>5</v>
      </c>
      <c r="L504">
        <v>4</v>
      </c>
      <c r="M504">
        <v>3</v>
      </c>
    </row>
    <row r="505" spans="3:13" x14ac:dyDescent="0.3">
      <c r="D505">
        <v>3</v>
      </c>
      <c r="E505">
        <v>4</v>
      </c>
      <c r="F505">
        <v>5</v>
      </c>
      <c r="G505">
        <v>2</v>
      </c>
      <c r="H505">
        <v>3</v>
      </c>
      <c r="I505">
        <v>4</v>
      </c>
      <c r="J505">
        <v>4</v>
      </c>
      <c r="K505">
        <v>3</v>
      </c>
      <c r="L505">
        <v>5</v>
      </c>
      <c r="M505">
        <v>4</v>
      </c>
    </row>
    <row r="506" spans="3:13" x14ac:dyDescent="0.3">
      <c r="D506">
        <v>3</v>
      </c>
      <c r="E506">
        <v>4</v>
      </c>
      <c r="F506">
        <v>5</v>
      </c>
      <c r="G506">
        <v>4</v>
      </c>
      <c r="H506">
        <v>2</v>
      </c>
      <c r="I506">
        <v>3</v>
      </c>
      <c r="J506">
        <v>4</v>
      </c>
      <c r="K506">
        <v>5</v>
      </c>
      <c r="L506">
        <v>3</v>
      </c>
      <c r="M506">
        <v>4</v>
      </c>
    </row>
    <row r="507" spans="3:13" x14ac:dyDescent="0.3">
      <c r="D507">
        <v>5</v>
      </c>
      <c r="E507">
        <v>4</v>
      </c>
      <c r="F507">
        <v>3</v>
      </c>
      <c r="G507">
        <v>4</v>
      </c>
      <c r="H507">
        <v>5</v>
      </c>
      <c r="I507">
        <v>3</v>
      </c>
      <c r="J507">
        <v>4</v>
      </c>
      <c r="K507">
        <v>5</v>
      </c>
      <c r="L507">
        <v>4</v>
      </c>
      <c r="M507">
        <v>3</v>
      </c>
    </row>
    <row r="508" spans="3:13" x14ac:dyDescent="0.3">
      <c r="D508">
        <v>3</v>
      </c>
      <c r="E508">
        <v>4</v>
      </c>
      <c r="F508">
        <v>5</v>
      </c>
      <c r="G508">
        <v>2</v>
      </c>
      <c r="H508">
        <v>3</v>
      </c>
      <c r="I508">
        <v>4</v>
      </c>
      <c r="J508">
        <v>4</v>
      </c>
      <c r="K508">
        <v>3</v>
      </c>
      <c r="L508">
        <v>5</v>
      </c>
      <c r="M508">
        <v>4</v>
      </c>
    </row>
    <row r="512" spans="3:13" x14ac:dyDescent="0.3">
      <c r="E512" t="s">
        <v>91</v>
      </c>
      <c r="F512">
        <f>SKEW(D499:M508)</f>
        <v>-0.21090973977304461</v>
      </c>
    </row>
    <row r="513" spans="2:20" x14ac:dyDescent="0.3">
      <c r="E513" t="s">
        <v>92</v>
      </c>
      <c r="F513">
        <f>KURT(D499:M508)</f>
        <v>-0.74525627211662515</v>
      </c>
    </row>
    <row r="514" spans="2:20" x14ac:dyDescent="0.3">
      <c r="E514" s="15" t="s">
        <v>94</v>
      </c>
      <c r="F514" s="34" t="s">
        <v>166</v>
      </c>
      <c r="G514" s="30"/>
      <c r="H514" s="30"/>
      <c r="I514" s="30"/>
      <c r="J514" s="30"/>
      <c r="K514" s="30"/>
      <c r="L514" s="30"/>
      <c r="M514" s="30"/>
      <c r="N514" s="30"/>
      <c r="O514" s="30"/>
      <c r="P514" s="30"/>
      <c r="Q514" s="30"/>
      <c r="R514" s="30"/>
      <c r="S514" s="30"/>
      <c r="T514" s="30"/>
    </row>
    <row r="515" spans="2:20" x14ac:dyDescent="0.3">
      <c r="F515" s="30"/>
      <c r="G515" s="30"/>
      <c r="H515" s="30"/>
      <c r="I515" s="30"/>
      <c r="J515" s="30"/>
      <c r="K515" s="30"/>
      <c r="L515" s="30"/>
      <c r="M515" s="30"/>
      <c r="N515" s="30"/>
      <c r="O515" s="30"/>
      <c r="P515" s="30"/>
      <c r="Q515" s="30"/>
      <c r="R515" s="30"/>
      <c r="S515" s="30"/>
      <c r="T515" s="30"/>
    </row>
    <row r="516" spans="2:20" x14ac:dyDescent="0.3">
      <c r="F516" s="30"/>
      <c r="G516" s="30"/>
      <c r="H516" s="30"/>
      <c r="I516" s="30"/>
      <c r="J516" s="30"/>
      <c r="K516" s="30"/>
      <c r="L516" s="30"/>
      <c r="M516" s="30"/>
      <c r="N516" s="30"/>
      <c r="O516" s="30"/>
      <c r="P516" s="30"/>
      <c r="Q516" s="30"/>
      <c r="R516" s="30"/>
      <c r="S516" s="30"/>
      <c r="T516" s="30"/>
    </row>
    <row r="517" spans="2:20" ht="18" x14ac:dyDescent="0.35">
      <c r="C517" s="2">
        <v>4</v>
      </c>
      <c r="E517" s="32" t="s">
        <v>81</v>
      </c>
      <c r="F517" s="32"/>
    </row>
    <row r="519" spans="2:20" x14ac:dyDescent="0.3">
      <c r="B519" t="s">
        <v>99</v>
      </c>
      <c r="C519" t="s">
        <v>100</v>
      </c>
      <c r="D519">
        <v>280</v>
      </c>
      <c r="E519">
        <v>350</v>
      </c>
      <c r="F519">
        <v>310</v>
      </c>
      <c r="G519">
        <v>270</v>
      </c>
      <c r="H519">
        <v>390</v>
      </c>
      <c r="I519">
        <v>320</v>
      </c>
      <c r="J519">
        <v>290</v>
      </c>
      <c r="K519">
        <v>340</v>
      </c>
      <c r="L519">
        <v>310</v>
      </c>
      <c r="M519">
        <v>380</v>
      </c>
    </row>
    <row r="520" spans="2:20" x14ac:dyDescent="0.3">
      <c r="D520">
        <v>270</v>
      </c>
      <c r="E520">
        <v>350</v>
      </c>
      <c r="F520">
        <v>300</v>
      </c>
      <c r="G520">
        <v>330</v>
      </c>
      <c r="H520">
        <v>370</v>
      </c>
      <c r="I520">
        <v>310</v>
      </c>
      <c r="J520">
        <v>280</v>
      </c>
      <c r="K520">
        <v>320</v>
      </c>
      <c r="L520">
        <v>350</v>
      </c>
      <c r="M520">
        <v>290</v>
      </c>
    </row>
    <row r="521" spans="2:20" x14ac:dyDescent="0.3">
      <c r="D521">
        <v>270</v>
      </c>
      <c r="E521">
        <v>350</v>
      </c>
      <c r="F521">
        <v>300</v>
      </c>
      <c r="G521">
        <v>330</v>
      </c>
      <c r="H521">
        <v>370</v>
      </c>
      <c r="I521">
        <v>310</v>
      </c>
      <c r="J521">
        <v>280</v>
      </c>
      <c r="K521">
        <v>320</v>
      </c>
      <c r="L521">
        <v>350</v>
      </c>
      <c r="M521">
        <v>290</v>
      </c>
    </row>
    <row r="522" spans="2:20" x14ac:dyDescent="0.3">
      <c r="D522">
        <v>270</v>
      </c>
      <c r="E522">
        <v>350</v>
      </c>
      <c r="F522">
        <v>300</v>
      </c>
      <c r="G522">
        <v>330</v>
      </c>
      <c r="H522">
        <v>370</v>
      </c>
      <c r="I522">
        <v>310</v>
      </c>
      <c r="J522">
        <v>280</v>
      </c>
      <c r="K522">
        <v>320</v>
      </c>
      <c r="L522">
        <v>350</v>
      </c>
      <c r="M522">
        <v>290</v>
      </c>
    </row>
    <row r="523" spans="2:20" x14ac:dyDescent="0.3">
      <c r="D523">
        <v>270</v>
      </c>
      <c r="E523">
        <v>350</v>
      </c>
      <c r="F523">
        <v>300</v>
      </c>
      <c r="G523">
        <v>330</v>
      </c>
      <c r="H523">
        <v>370</v>
      </c>
      <c r="I523">
        <v>310</v>
      </c>
      <c r="J523">
        <v>280</v>
      </c>
      <c r="K523">
        <v>320</v>
      </c>
      <c r="L523">
        <v>350</v>
      </c>
      <c r="M523">
        <v>290</v>
      </c>
    </row>
    <row r="524" spans="2:20" x14ac:dyDescent="0.3">
      <c r="D524">
        <v>270</v>
      </c>
      <c r="E524">
        <v>350</v>
      </c>
      <c r="F524">
        <v>300</v>
      </c>
      <c r="G524">
        <v>330</v>
      </c>
      <c r="H524">
        <v>370</v>
      </c>
      <c r="I524">
        <v>310</v>
      </c>
      <c r="J524">
        <v>280</v>
      </c>
      <c r="K524">
        <v>320</v>
      </c>
      <c r="L524">
        <v>350</v>
      </c>
      <c r="M524">
        <v>290</v>
      </c>
    </row>
    <row r="525" spans="2:20" x14ac:dyDescent="0.3">
      <c r="D525">
        <v>270</v>
      </c>
      <c r="E525">
        <v>350</v>
      </c>
      <c r="F525">
        <v>300</v>
      </c>
      <c r="G525">
        <v>330</v>
      </c>
      <c r="H525">
        <v>370</v>
      </c>
      <c r="I525">
        <v>310</v>
      </c>
      <c r="J525">
        <v>280</v>
      </c>
      <c r="K525">
        <v>320</v>
      </c>
      <c r="L525">
        <v>350</v>
      </c>
      <c r="M525">
        <v>290</v>
      </c>
    </row>
    <row r="526" spans="2:20" x14ac:dyDescent="0.3">
      <c r="D526">
        <v>270</v>
      </c>
      <c r="E526">
        <v>350</v>
      </c>
      <c r="F526">
        <v>300</v>
      </c>
      <c r="G526">
        <v>330</v>
      </c>
      <c r="H526">
        <v>370</v>
      </c>
      <c r="I526">
        <v>310</v>
      </c>
      <c r="J526">
        <v>280</v>
      </c>
      <c r="K526">
        <v>320</v>
      </c>
      <c r="L526">
        <v>350</v>
      </c>
      <c r="M526">
        <v>290</v>
      </c>
    </row>
    <row r="527" spans="2:20" x14ac:dyDescent="0.3">
      <c r="D527">
        <v>270</v>
      </c>
      <c r="E527">
        <v>350</v>
      </c>
      <c r="F527">
        <v>300</v>
      </c>
      <c r="G527">
        <v>330</v>
      </c>
      <c r="H527">
        <v>370</v>
      </c>
      <c r="I527">
        <v>310</v>
      </c>
      <c r="J527">
        <v>280</v>
      </c>
      <c r="K527">
        <v>320</v>
      </c>
      <c r="L527">
        <v>350</v>
      </c>
      <c r="M527">
        <v>290</v>
      </c>
    </row>
    <row r="528" spans="2:20" x14ac:dyDescent="0.3">
      <c r="D528">
        <v>270</v>
      </c>
      <c r="E528">
        <v>350</v>
      </c>
      <c r="F528">
        <v>300</v>
      </c>
      <c r="G528">
        <v>330</v>
      </c>
      <c r="H528">
        <v>370</v>
      </c>
      <c r="I528">
        <v>310</v>
      </c>
      <c r="J528">
        <v>280</v>
      </c>
      <c r="K528">
        <v>320</v>
      </c>
      <c r="L528">
        <v>350</v>
      </c>
      <c r="M528">
        <v>290</v>
      </c>
    </row>
    <row r="532" spans="2:15" x14ac:dyDescent="0.3">
      <c r="E532" t="s">
        <v>91</v>
      </c>
      <c r="F532">
        <f>SKEW(D519:M528)</f>
        <v>0.2092186247974063</v>
      </c>
    </row>
    <row r="533" spans="2:15" x14ac:dyDescent="0.3">
      <c r="E533" t="s">
        <v>92</v>
      </c>
      <c r="F533">
        <f>KURT(D519:M528)</f>
        <v>-1.0374244845101974</v>
      </c>
    </row>
    <row r="534" spans="2:15" x14ac:dyDescent="0.3">
      <c r="E534" s="15" t="s">
        <v>94</v>
      </c>
      <c r="F534" s="34" t="s">
        <v>164</v>
      </c>
      <c r="G534" s="30"/>
      <c r="H534" s="30"/>
      <c r="I534" s="30"/>
      <c r="J534" s="30"/>
      <c r="K534" s="30"/>
      <c r="L534" s="30"/>
      <c r="M534" s="30"/>
      <c r="N534" s="30"/>
      <c r="O534" s="30"/>
    </row>
    <row r="535" spans="2:15" x14ac:dyDescent="0.3">
      <c r="F535" s="30"/>
      <c r="G535" s="30"/>
      <c r="H535" s="30"/>
      <c r="I535" s="30"/>
      <c r="J535" s="30"/>
      <c r="K535" s="30"/>
      <c r="L535" s="30"/>
      <c r="M535" s="30"/>
      <c r="N535" s="30"/>
      <c r="O535" s="30"/>
    </row>
    <row r="538" spans="2:15" ht="18" x14ac:dyDescent="0.35">
      <c r="C538" s="2">
        <v>5</v>
      </c>
      <c r="E538" s="32" t="s">
        <v>41</v>
      </c>
      <c r="F538" s="32"/>
    </row>
    <row r="540" spans="2:15" x14ac:dyDescent="0.3">
      <c r="B540" t="s">
        <v>101</v>
      </c>
      <c r="C540" t="s">
        <v>83</v>
      </c>
      <c r="D540">
        <v>12</v>
      </c>
      <c r="E540">
        <v>18</v>
      </c>
      <c r="F540">
        <v>15</v>
      </c>
      <c r="G540">
        <v>22</v>
      </c>
      <c r="H540">
        <v>20</v>
      </c>
      <c r="I540">
        <v>14</v>
      </c>
      <c r="J540">
        <v>16</v>
      </c>
      <c r="K540">
        <v>21</v>
      </c>
      <c r="L540">
        <v>19</v>
      </c>
      <c r="M540">
        <v>17</v>
      </c>
    </row>
    <row r="541" spans="2:15" x14ac:dyDescent="0.3">
      <c r="D541">
        <v>22</v>
      </c>
      <c r="E541">
        <v>19</v>
      </c>
      <c r="F541">
        <v>13</v>
      </c>
      <c r="G541">
        <v>16</v>
      </c>
      <c r="H541">
        <v>21</v>
      </c>
      <c r="I541">
        <v>22</v>
      </c>
      <c r="J541">
        <v>17</v>
      </c>
      <c r="K541">
        <v>19</v>
      </c>
      <c r="L541">
        <v>22</v>
      </c>
      <c r="M541">
        <v>18</v>
      </c>
    </row>
    <row r="542" spans="2:15" x14ac:dyDescent="0.3">
      <c r="D542">
        <v>14</v>
      </c>
      <c r="E542">
        <v>20</v>
      </c>
      <c r="F542">
        <v>19</v>
      </c>
      <c r="G542">
        <v>17</v>
      </c>
      <c r="H542">
        <v>22</v>
      </c>
      <c r="I542">
        <v>18</v>
      </c>
      <c r="J542">
        <v>15</v>
      </c>
      <c r="K542">
        <v>21</v>
      </c>
      <c r="L542">
        <v>20</v>
      </c>
      <c r="M542">
        <v>16</v>
      </c>
    </row>
    <row r="543" spans="2:15" x14ac:dyDescent="0.3">
      <c r="D543">
        <v>12</v>
      </c>
      <c r="E543">
        <v>18</v>
      </c>
      <c r="F543">
        <v>15</v>
      </c>
      <c r="G543">
        <v>22</v>
      </c>
      <c r="H543">
        <v>20</v>
      </c>
      <c r="I543">
        <v>14</v>
      </c>
      <c r="J543">
        <v>16</v>
      </c>
      <c r="K543">
        <v>21</v>
      </c>
      <c r="L543">
        <v>19</v>
      </c>
      <c r="M543">
        <v>17</v>
      </c>
    </row>
    <row r="544" spans="2:15" x14ac:dyDescent="0.3">
      <c r="D544">
        <v>22</v>
      </c>
      <c r="E544">
        <v>19</v>
      </c>
      <c r="F544">
        <v>13</v>
      </c>
      <c r="G544">
        <v>16</v>
      </c>
      <c r="H544">
        <v>21</v>
      </c>
      <c r="I544">
        <v>22</v>
      </c>
      <c r="J544">
        <v>17</v>
      </c>
      <c r="K544">
        <v>19</v>
      </c>
      <c r="L544">
        <v>22</v>
      </c>
      <c r="M544">
        <v>18</v>
      </c>
    </row>
    <row r="545" spans="4:13" x14ac:dyDescent="0.3">
      <c r="D545">
        <v>14</v>
      </c>
      <c r="E545">
        <v>20</v>
      </c>
      <c r="F545">
        <v>19</v>
      </c>
      <c r="G545">
        <v>17</v>
      </c>
      <c r="H545">
        <v>22</v>
      </c>
      <c r="I545">
        <v>18</v>
      </c>
      <c r="J545">
        <v>15</v>
      </c>
      <c r="K545">
        <v>21</v>
      </c>
      <c r="L545">
        <v>20</v>
      </c>
      <c r="M545">
        <v>16</v>
      </c>
    </row>
    <row r="546" spans="4:13" x14ac:dyDescent="0.3">
      <c r="D546">
        <v>12</v>
      </c>
      <c r="E546">
        <v>18</v>
      </c>
      <c r="F546">
        <v>15</v>
      </c>
      <c r="G546">
        <v>22</v>
      </c>
      <c r="H546">
        <v>20</v>
      </c>
      <c r="I546">
        <v>14</v>
      </c>
      <c r="J546">
        <v>16</v>
      </c>
      <c r="K546">
        <v>21</v>
      </c>
      <c r="L546">
        <v>19</v>
      </c>
      <c r="M546">
        <v>17</v>
      </c>
    </row>
    <row r="547" spans="4:13" x14ac:dyDescent="0.3">
      <c r="D547">
        <v>22</v>
      </c>
      <c r="E547">
        <v>19</v>
      </c>
      <c r="F547">
        <v>13</v>
      </c>
      <c r="G547">
        <v>16</v>
      </c>
      <c r="H547">
        <v>21</v>
      </c>
      <c r="I547">
        <v>22</v>
      </c>
      <c r="J547">
        <v>17</v>
      </c>
      <c r="K547">
        <v>19</v>
      </c>
      <c r="L547">
        <v>22</v>
      </c>
      <c r="M547">
        <v>18</v>
      </c>
    </row>
    <row r="548" spans="4:13" x14ac:dyDescent="0.3">
      <c r="D548">
        <v>14</v>
      </c>
      <c r="E548">
        <v>20</v>
      </c>
      <c r="F548">
        <v>19</v>
      </c>
      <c r="G548">
        <v>17</v>
      </c>
      <c r="H548">
        <v>22</v>
      </c>
      <c r="I548">
        <v>18</v>
      </c>
      <c r="J548">
        <v>15</v>
      </c>
      <c r="K548">
        <v>21</v>
      </c>
      <c r="L548">
        <v>20</v>
      </c>
      <c r="M548">
        <v>16</v>
      </c>
    </row>
    <row r="549" spans="4:13" x14ac:dyDescent="0.3">
      <c r="D549">
        <v>12</v>
      </c>
      <c r="E549">
        <v>18</v>
      </c>
      <c r="F549">
        <v>15</v>
      </c>
      <c r="G549">
        <v>22</v>
      </c>
      <c r="H549">
        <v>20</v>
      </c>
      <c r="I549">
        <v>14</v>
      </c>
      <c r="J549">
        <v>16</v>
      </c>
      <c r="K549">
        <v>21</v>
      </c>
      <c r="L549">
        <v>19</v>
      </c>
      <c r="M549">
        <v>17</v>
      </c>
    </row>
    <row r="552" spans="4:13" x14ac:dyDescent="0.3">
      <c r="E552" t="s">
        <v>91</v>
      </c>
      <c r="F552">
        <f>SKEW(D540:M549)</f>
        <v>-0.3350128722188207</v>
      </c>
    </row>
    <row r="553" spans="4:13" x14ac:dyDescent="0.3">
      <c r="E553" t="s">
        <v>92</v>
      </c>
      <c r="F553">
        <f>KURT(D540:M549)</f>
        <v>-0.88101144669010489</v>
      </c>
    </row>
    <row r="554" spans="4:13" x14ac:dyDescent="0.3">
      <c r="E554" s="15" t="s">
        <v>94</v>
      </c>
      <c r="F554" t="s">
        <v>165</v>
      </c>
    </row>
    <row r="558" spans="4:13" ht="28.8" x14ac:dyDescent="0.55000000000000004">
      <c r="E558" s="35" t="s">
        <v>102</v>
      </c>
      <c r="F558" s="35"/>
      <c r="G558" s="35"/>
      <c r="H558" s="35"/>
      <c r="I558" s="35"/>
      <c r="J558" s="35"/>
      <c r="K558" s="35"/>
      <c r="L558" s="35"/>
      <c r="M558" s="35"/>
    </row>
    <row r="561" spans="3:13" ht="18" x14ac:dyDescent="0.35">
      <c r="C561" s="2">
        <v>1</v>
      </c>
      <c r="E561" s="32" t="s">
        <v>41</v>
      </c>
      <c r="F561" s="32"/>
    </row>
    <row r="563" spans="3:13" x14ac:dyDescent="0.3">
      <c r="C563" t="s">
        <v>103</v>
      </c>
      <c r="D563">
        <v>40</v>
      </c>
      <c r="E563">
        <v>45</v>
      </c>
      <c r="F563">
        <v>50</v>
      </c>
      <c r="G563">
        <v>55</v>
      </c>
      <c r="H563">
        <v>60</v>
      </c>
      <c r="I563">
        <v>62</v>
      </c>
      <c r="J563">
        <v>65</v>
      </c>
      <c r="K563">
        <v>68</v>
      </c>
      <c r="L563">
        <v>70</v>
      </c>
      <c r="M563">
        <v>72</v>
      </c>
    </row>
    <row r="564" spans="3:13" x14ac:dyDescent="0.3">
      <c r="D564">
        <v>75</v>
      </c>
      <c r="E564">
        <v>78</v>
      </c>
      <c r="F564">
        <v>80</v>
      </c>
      <c r="G564">
        <v>82</v>
      </c>
      <c r="H564">
        <v>85</v>
      </c>
      <c r="I564">
        <v>88</v>
      </c>
      <c r="J564">
        <v>90</v>
      </c>
      <c r="K564">
        <v>92</v>
      </c>
      <c r="L564">
        <v>95</v>
      </c>
      <c r="M564">
        <v>100</v>
      </c>
    </row>
    <row r="565" spans="3:13" x14ac:dyDescent="0.3">
      <c r="D565">
        <v>105</v>
      </c>
      <c r="E565">
        <v>110</v>
      </c>
      <c r="F565">
        <v>115</v>
      </c>
      <c r="G565">
        <v>120</v>
      </c>
      <c r="H565">
        <v>125</v>
      </c>
      <c r="I565">
        <v>130</v>
      </c>
      <c r="J565">
        <v>135</v>
      </c>
      <c r="K565">
        <v>140</v>
      </c>
      <c r="L565">
        <v>145</v>
      </c>
      <c r="M565">
        <v>150</v>
      </c>
    </row>
    <row r="566" spans="3:13" x14ac:dyDescent="0.3">
      <c r="D566">
        <v>155</v>
      </c>
      <c r="E566">
        <v>160</v>
      </c>
      <c r="F566">
        <v>165</v>
      </c>
      <c r="G566">
        <v>170</v>
      </c>
      <c r="H566">
        <v>175</v>
      </c>
      <c r="I566">
        <v>180</v>
      </c>
      <c r="J566">
        <v>185</v>
      </c>
      <c r="K566">
        <v>190</v>
      </c>
      <c r="L566">
        <v>195</v>
      </c>
      <c r="M566">
        <v>200</v>
      </c>
    </row>
    <row r="567" spans="3:13" x14ac:dyDescent="0.3">
      <c r="D567">
        <v>205</v>
      </c>
      <c r="E567">
        <v>210</v>
      </c>
      <c r="F567">
        <v>215</v>
      </c>
      <c r="G567">
        <v>220</v>
      </c>
      <c r="H567">
        <v>225</v>
      </c>
      <c r="I567">
        <v>230</v>
      </c>
      <c r="J567">
        <v>235</v>
      </c>
      <c r="K567">
        <v>240</v>
      </c>
      <c r="L567">
        <v>245</v>
      </c>
      <c r="M567">
        <v>250</v>
      </c>
    </row>
    <row r="568" spans="3:13" x14ac:dyDescent="0.3">
      <c r="D568">
        <v>255</v>
      </c>
      <c r="E568">
        <v>260</v>
      </c>
      <c r="F568">
        <v>265</v>
      </c>
      <c r="G568">
        <v>270</v>
      </c>
      <c r="H568">
        <v>275</v>
      </c>
      <c r="I568">
        <v>280</v>
      </c>
      <c r="J568">
        <v>285</v>
      </c>
      <c r="K568">
        <v>290</v>
      </c>
      <c r="L568">
        <v>295</v>
      </c>
      <c r="M568">
        <v>300</v>
      </c>
    </row>
    <row r="569" spans="3:13" x14ac:dyDescent="0.3">
      <c r="D569">
        <v>305</v>
      </c>
      <c r="E569">
        <v>310</v>
      </c>
      <c r="F569">
        <v>315</v>
      </c>
      <c r="G569">
        <v>320</v>
      </c>
      <c r="H569">
        <v>325</v>
      </c>
      <c r="I569">
        <v>330</v>
      </c>
      <c r="J569">
        <v>335</v>
      </c>
      <c r="K569">
        <v>340</v>
      </c>
      <c r="L569">
        <v>345</v>
      </c>
      <c r="M569">
        <v>350</v>
      </c>
    </row>
    <row r="570" spans="3:13" x14ac:dyDescent="0.3">
      <c r="D570">
        <v>355</v>
      </c>
      <c r="E570">
        <v>360</v>
      </c>
      <c r="F570">
        <v>365</v>
      </c>
      <c r="G570">
        <v>370</v>
      </c>
      <c r="H570">
        <v>375</v>
      </c>
      <c r="I570">
        <v>380</v>
      </c>
      <c r="J570">
        <v>385</v>
      </c>
      <c r="K570">
        <v>390</v>
      </c>
      <c r="L570">
        <v>395</v>
      </c>
      <c r="M570">
        <v>400</v>
      </c>
    </row>
    <row r="571" spans="3:13" x14ac:dyDescent="0.3">
      <c r="D571">
        <v>405</v>
      </c>
      <c r="E571">
        <v>410</v>
      </c>
      <c r="F571">
        <v>415</v>
      </c>
      <c r="G571">
        <v>420</v>
      </c>
      <c r="H571">
        <v>425</v>
      </c>
      <c r="I571">
        <v>430</v>
      </c>
      <c r="J571">
        <v>435</v>
      </c>
      <c r="K571">
        <v>440</v>
      </c>
      <c r="L571">
        <v>445</v>
      </c>
      <c r="M571">
        <v>450</v>
      </c>
    </row>
    <row r="572" spans="3:13" x14ac:dyDescent="0.3">
      <c r="D572">
        <v>455</v>
      </c>
      <c r="E572">
        <v>460</v>
      </c>
      <c r="F572">
        <v>465</v>
      </c>
      <c r="G572">
        <v>470</v>
      </c>
      <c r="H572">
        <v>475</v>
      </c>
      <c r="I572">
        <v>480</v>
      </c>
      <c r="J572">
        <v>485</v>
      </c>
      <c r="K572">
        <v>490</v>
      </c>
      <c r="L572">
        <v>495</v>
      </c>
      <c r="M572">
        <v>500</v>
      </c>
    </row>
    <row r="576" spans="3:13" x14ac:dyDescent="0.3">
      <c r="E576" t="s">
        <v>167</v>
      </c>
      <c r="G576">
        <f>(10/100)*101</f>
        <v>10.100000000000001</v>
      </c>
      <c r="H576" s="19">
        <f>72+(10.1-10)*(75-72)</f>
        <v>72.3</v>
      </c>
      <c r="K576" t="s">
        <v>176</v>
      </c>
      <c r="L576">
        <f>(25/100*101)</f>
        <v>25.25</v>
      </c>
      <c r="M576" s="19">
        <f>(125+130)/2</f>
        <v>127.5</v>
      </c>
    </row>
    <row r="577" spans="3:13" x14ac:dyDescent="0.3">
      <c r="E577" t="s">
        <v>168</v>
      </c>
      <c r="G577">
        <f>(25/100)*101</f>
        <v>25.25</v>
      </c>
      <c r="H577" s="19">
        <f>125+(25.25-25)*(130-125)</f>
        <v>126.25</v>
      </c>
      <c r="K577" t="s">
        <v>177</v>
      </c>
      <c r="L577">
        <f>(50/100*101)</f>
        <v>50.5</v>
      </c>
      <c r="M577" s="19">
        <f>(250+255)/2</f>
        <v>252.5</v>
      </c>
    </row>
    <row r="578" spans="3:13" x14ac:dyDescent="0.3">
      <c r="E578" t="s">
        <v>169</v>
      </c>
      <c r="G578">
        <f>((75/100)*101)</f>
        <v>75.75</v>
      </c>
      <c r="H578" s="19">
        <f>375+(75.75-75)*(380-375)</f>
        <v>378.75</v>
      </c>
      <c r="K578" t="s">
        <v>178</v>
      </c>
      <c r="L578">
        <f>(75/100*101)</f>
        <v>75.75</v>
      </c>
      <c r="M578" s="19">
        <f>(375+380)/2</f>
        <v>377.5</v>
      </c>
    </row>
    <row r="579" spans="3:13" x14ac:dyDescent="0.3">
      <c r="E579" t="s">
        <v>170</v>
      </c>
      <c r="G579">
        <f>((90/100)*101)</f>
        <v>90.9</v>
      </c>
      <c r="H579" s="19">
        <f>450+(90.9-90)*(455-450)</f>
        <v>454.5</v>
      </c>
    </row>
    <row r="588" spans="3:13" ht="18" x14ac:dyDescent="0.35">
      <c r="C588" s="2">
        <v>2</v>
      </c>
      <c r="E588" s="32" t="s">
        <v>95</v>
      </c>
      <c r="F588" s="32"/>
    </row>
    <row r="590" spans="3:13" x14ac:dyDescent="0.3">
      <c r="C590" t="s">
        <v>104</v>
      </c>
      <c r="D590">
        <v>55</v>
      </c>
      <c r="E590">
        <v>60</v>
      </c>
      <c r="F590">
        <v>62</v>
      </c>
      <c r="G590">
        <v>65</v>
      </c>
      <c r="H590">
        <v>68</v>
      </c>
      <c r="I590">
        <v>70</v>
      </c>
      <c r="J590">
        <v>72</v>
      </c>
      <c r="K590">
        <v>75</v>
      </c>
      <c r="L590">
        <v>78</v>
      </c>
      <c r="M590">
        <v>80</v>
      </c>
    </row>
    <row r="591" spans="3:13" x14ac:dyDescent="0.3">
      <c r="D591">
        <v>82</v>
      </c>
      <c r="E591">
        <v>85</v>
      </c>
      <c r="F591">
        <v>88</v>
      </c>
      <c r="G591">
        <v>90</v>
      </c>
      <c r="H591">
        <v>92</v>
      </c>
      <c r="I591">
        <v>95</v>
      </c>
      <c r="J591">
        <v>100</v>
      </c>
      <c r="K591">
        <v>105</v>
      </c>
      <c r="L591">
        <v>110</v>
      </c>
      <c r="M591">
        <v>115</v>
      </c>
    </row>
    <row r="592" spans="3:13" x14ac:dyDescent="0.3">
      <c r="D592">
        <v>120</v>
      </c>
      <c r="E592">
        <v>125</v>
      </c>
      <c r="F592">
        <v>130</v>
      </c>
      <c r="G592">
        <v>135</v>
      </c>
      <c r="H592">
        <v>140</v>
      </c>
      <c r="I592">
        <v>145</v>
      </c>
      <c r="J592">
        <v>150</v>
      </c>
      <c r="K592">
        <v>155</v>
      </c>
      <c r="L592">
        <v>160</v>
      </c>
      <c r="M592">
        <v>165</v>
      </c>
    </row>
    <row r="593" spans="4:13" x14ac:dyDescent="0.3">
      <c r="D593">
        <v>170</v>
      </c>
      <c r="E593">
        <v>175</v>
      </c>
      <c r="F593">
        <v>180</v>
      </c>
      <c r="G593">
        <v>185</v>
      </c>
      <c r="H593">
        <v>190</v>
      </c>
      <c r="I593">
        <v>195</v>
      </c>
      <c r="J593">
        <v>200</v>
      </c>
      <c r="K593">
        <v>205</v>
      </c>
      <c r="L593">
        <v>210</v>
      </c>
      <c r="M593">
        <v>215</v>
      </c>
    </row>
    <row r="594" spans="4:13" x14ac:dyDescent="0.3">
      <c r="D594">
        <v>220</v>
      </c>
      <c r="E594">
        <v>225</v>
      </c>
      <c r="F594">
        <v>230</v>
      </c>
      <c r="G594">
        <v>235</v>
      </c>
      <c r="H594">
        <v>240</v>
      </c>
      <c r="I594">
        <v>245</v>
      </c>
      <c r="J594">
        <v>250</v>
      </c>
      <c r="K594">
        <v>255</v>
      </c>
      <c r="L594">
        <v>260</v>
      </c>
      <c r="M594">
        <v>265</v>
      </c>
    </row>
    <row r="595" spans="4:13" x14ac:dyDescent="0.3">
      <c r="D595">
        <v>270</v>
      </c>
      <c r="E595">
        <v>275</v>
      </c>
      <c r="F595">
        <v>280</v>
      </c>
      <c r="G595">
        <v>285</v>
      </c>
      <c r="H595">
        <v>290</v>
      </c>
      <c r="I595">
        <v>295</v>
      </c>
      <c r="J595">
        <v>300</v>
      </c>
      <c r="K595">
        <v>305</v>
      </c>
      <c r="L595">
        <v>310</v>
      </c>
      <c r="M595">
        <v>315</v>
      </c>
    </row>
    <row r="596" spans="4:13" x14ac:dyDescent="0.3">
      <c r="D596">
        <v>320</v>
      </c>
      <c r="E596">
        <v>325</v>
      </c>
      <c r="F596">
        <v>330</v>
      </c>
      <c r="G596">
        <v>335</v>
      </c>
      <c r="H596">
        <v>340</v>
      </c>
      <c r="I596">
        <v>345</v>
      </c>
      <c r="J596">
        <v>350</v>
      </c>
      <c r="K596">
        <v>355</v>
      </c>
      <c r="L596">
        <v>360</v>
      </c>
      <c r="M596">
        <v>365</v>
      </c>
    </row>
    <row r="597" spans="4:13" x14ac:dyDescent="0.3">
      <c r="D597">
        <v>370</v>
      </c>
      <c r="E597">
        <v>375</v>
      </c>
      <c r="F597">
        <v>380</v>
      </c>
      <c r="G597">
        <v>385</v>
      </c>
      <c r="H597">
        <v>390</v>
      </c>
      <c r="I597">
        <v>395</v>
      </c>
      <c r="J597">
        <v>400</v>
      </c>
      <c r="K597">
        <v>405</v>
      </c>
      <c r="L597">
        <v>410</v>
      </c>
      <c r="M597">
        <v>415</v>
      </c>
    </row>
    <row r="598" spans="4:13" x14ac:dyDescent="0.3">
      <c r="D598">
        <v>420</v>
      </c>
      <c r="E598">
        <v>425</v>
      </c>
      <c r="F598">
        <v>430</v>
      </c>
      <c r="G598">
        <v>435</v>
      </c>
      <c r="H598">
        <v>440</v>
      </c>
      <c r="I598">
        <v>445</v>
      </c>
      <c r="J598">
        <v>450</v>
      </c>
      <c r="K598">
        <v>455</v>
      </c>
      <c r="L598">
        <v>460</v>
      </c>
      <c r="M598">
        <v>465</v>
      </c>
    </row>
    <row r="599" spans="4:13" x14ac:dyDescent="0.3">
      <c r="D599">
        <v>470</v>
      </c>
      <c r="E599">
        <v>475</v>
      </c>
      <c r="F599">
        <v>480</v>
      </c>
      <c r="G599">
        <v>485</v>
      </c>
      <c r="H599">
        <v>490</v>
      </c>
      <c r="I599">
        <v>495</v>
      </c>
      <c r="J599">
        <v>500</v>
      </c>
      <c r="K599">
        <v>505</v>
      </c>
      <c r="L599">
        <v>510</v>
      </c>
      <c r="M599">
        <v>515</v>
      </c>
    </row>
    <row r="602" spans="4:13" x14ac:dyDescent="0.3">
      <c r="E602" s="34" t="s">
        <v>179</v>
      </c>
      <c r="F602" s="30"/>
      <c r="G602">
        <f>(15/100*101)</f>
        <v>15.149999999999999</v>
      </c>
      <c r="H602" s="19">
        <f>92+(15.15-15)*(95-92)</f>
        <v>92.45</v>
      </c>
      <c r="J602" t="s">
        <v>176</v>
      </c>
      <c r="K602">
        <f>(25/100*101)</f>
        <v>25.25</v>
      </c>
      <c r="L602" s="19">
        <f>(140+145)/2</f>
        <v>142.5</v>
      </c>
    </row>
    <row r="603" spans="4:13" x14ac:dyDescent="0.3">
      <c r="E603" s="30"/>
      <c r="F603" s="30"/>
      <c r="G603">
        <f>(50/100*101)</f>
        <v>50.5</v>
      </c>
      <c r="H603" s="19">
        <f>265+(50.5-50)*(270-265)</f>
        <v>267.5</v>
      </c>
      <c r="J603" t="s">
        <v>177</v>
      </c>
      <c r="K603">
        <f>(50/100*101)</f>
        <v>50.5</v>
      </c>
      <c r="L603" s="19">
        <f>(265+270)/2</f>
        <v>267.5</v>
      </c>
    </row>
    <row r="604" spans="4:13" x14ac:dyDescent="0.3">
      <c r="E604" s="30"/>
      <c r="F604" s="30"/>
      <c r="G604">
        <f>(85/100*101)</f>
        <v>85.85</v>
      </c>
      <c r="H604" s="19">
        <f>440+(85.85-85)*(445-440)</f>
        <v>444.25</v>
      </c>
      <c r="J604" t="s">
        <v>178</v>
      </c>
      <c r="K604">
        <f>(75/100*101)</f>
        <v>75.75</v>
      </c>
      <c r="L604" s="19">
        <f>(390+395)/2</f>
        <v>392.5</v>
      </c>
    </row>
    <row r="612" spans="2:13" ht="18" x14ac:dyDescent="0.35">
      <c r="C612" s="2">
        <v>3</v>
      </c>
      <c r="E612" s="32" t="s">
        <v>1</v>
      </c>
      <c r="F612" s="32"/>
    </row>
    <row r="614" spans="2:13" x14ac:dyDescent="0.3">
      <c r="B614" t="s">
        <v>105</v>
      </c>
      <c r="C614" t="s">
        <v>106</v>
      </c>
      <c r="D614">
        <v>20</v>
      </c>
      <c r="E614">
        <v>25</v>
      </c>
      <c r="F614">
        <v>30</v>
      </c>
      <c r="G614">
        <v>35</v>
      </c>
      <c r="H614">
        <v>40</v>
      </c>
      <c r="I614">
        <v>45</v>
      </c>
      <c r="J614">
        <v>50</v>
      </c>
      <c r="K614">
        <v>55</v>
      </c>
      <c r="L614">
        <v>60</v>
      </c>
      <c r="M614">
        <v>65</v>
      </c>
    </row>
    <row r="615" spans="2:13" x14ac:dyDescent="0.3">
      <c r="D615">
        <v>70</v>
      </c>
      <c r="E615">
        <v>75</v>
      </c>
      <c r="F615">
        <v>80</v>
      </c>
      <c r="G615">
        <v>85</v>
      </c>
      <c r="H615">
        <v>90</v>
      </c>
      <c r="I615">
        <v>95</v>
      </c>
      <c r="J615">
        <v>100</v>
      </c>
      <c r="K615">
        <v>105</v>
      </c>
      <c r="L615">
        <v>110</v>
      </c>
      <c r="M615">
        <v>115</v>
      </c>
    </row>
    <row r="616" spans="2:13" x14ac:dyDescent="0.3">
      <c r="D616">
        <v>120</v>
      </c>
      <c r="E616">
        <v>125</v>
      </c>
      <c r="F616">
        <v>130</v>
      </c>
      <c r="G616">
        <v>135</v>
      </c>
      <c r="H616">
        <v>140</v>
      </c>
      <c r="I616">
        <v>145</v>
      </c>
      <c r="J616">
        <v>150</v>
      </c>
      <c r="K616">
        <v>155</v>
      </c>
      <c r="L616">
        <v>160</v>
      </c>
      <c r="M616">
        <v>165</v>
      </c>
    </row>
    <row r="617" spans="2:13" x14ac:dyDescent="0.3">
      <c r="D617">
        <v>170</v>
      </c>
      <c r="E617">
        <v>175</v>
      </c>
      <c r="F617">
        <v>180</v>
      </c>
      <c r="G617">
        <v>185</v>
      </c>
      <c r="H617">
        <v>190</v>
      </c>
      <c r="I617">
        <v>195</v>
      </c>
      <c r="J617">
        <v>200</v>
      </c>
      <c r="K617">
        <v>205</v>
      </c>
      <c r="L617">
        <v>210</v>
      </c>
      <c r="M617">
        <v>215</v>
      </c>
    </row>
    <row r="618" spans="2:13" x14ac:dyDescent="0.3">
      <c r="D618">
        <v>220</v>
      </c>
      <c r="E618">
        <v>225</v>
      </c>
      <c r="F618">
        <v>230</v>
      </c>
      <c r="G618">
        <v>235</v>
      </c>
      <c r="H618">
        <v>240</v>
      </c>
      <c r="I618">
        <v>245</v>
      </c>
      <c r="J618">
        <v>250</v>
      </c>
      <c r="K618">
        <v>255</v>
      </c>
      <c r="L618">
        <v>260</v>
      </c>
      <c r="M618">
        <v>265</v>
      </c>
    </row>
    <row r="619" spans="2:13" x14ac:dyDescent="0.3">
      <c r="D619">
        <v>270</v>
      </c>
      <c r="E619">
        <v>275</v>
      </c>
      <c r="F619">
        <v>280</v>
      </c>
      <c r="G619">
        <v>285</v>
      </c>
      <c r="H619">
        <v>290</v>
      </c>
      <c r="I619">
        <v>295</v>
      </c>
      <c r="J619">
        <v>300</v>
      </c>
      <c r="K619">
        <v>305</v>
      </c>
      <c r="L619">
        <v>310</v>
      </c>
      <c r="M619">
        <v>315</v>
      </c>
    </row>
    <row r="620" spans="2:13" x14ac:dyDescent="0.3">
      <c r="D620">
        <v>320</v>
      </c>
      <c r="E620">
        <v>325</v>
      </c>
      <c r="F620">
        <v>330</v>
      </c>
      <c r="G620">
        <v>335</v>
      </c>
      <c r="H620">
        <v>340</v>
      </c>
      <c r="I620">
        <v>345</v>
      </c>
      <c r="J620">
        <v>350</v>
      </c>
      <c r="K620">
        <v>355</v>
      </c>
      <c r="L620">
        <v>360</v>
      </c>
      <c r="M620">
        <v>365</v>
      </c>
    </row>
    <row r="621" spans="2:13" x14ac:dyDescent="0.3">
      <c r="D621">
        <v>370</v>
      </c>
      <c r="E621">
        <v>375</v>
      </c>
      <c r="F621">
        <v>380</v>
      </c>
      <c r="G621">
        <v>385</v>
      </c>
      <c r="H621">
        <v>390</v>
      </c>
      <c r="I621">
        <v>395</v>
      </c>
      <c r="J621">
        <v>400</v>
      </c>
      <c r="K621">
        <v>405</v>
      </c>
      <c r="L621">
        <v>410</v>
      </c>
      <c r="M621">
        <v>415</v>
      </c>
    </row>
    <row r="622" spans="2:13" x14ac:dyDescent="0.3">
      <c r="D622">
        <v>420</v>
      </c>
      <c r="E622">
        <v>425</v>
      </c>
      <c r="F622">
        <v>430</v>
      </c>
      <c r="G622">
        <v>435</v>
      </c>
      <c r="H622">
        <v>440</v>
      </c>
      <c r="I622">
        <v>445</v>
      </c>
      <c r="J622">
        <v>450</v>
      </c>
      <c r="K622">
        <v>455</v>
      </c>
      <c r="L622">
        <v>460</v>
      </c>
      <c r="M622">
        <v>465</v>
      </c>
    </row>
    <row r="623" spans="2:13" x14ac:dyDescent="0.3">
      <c r="D623">
        <v>470</v>
      </c>
      <c r="E623">
        <v>475</v>
      </c>
      <c r="F623">
        <v>480</v>
      </c>
      <c r="G623">
        <v>485</v>
      </c>
      <c r="H623">
        <v>490</v>
      </c>
      <c r="I623">
        <v>495</v>
      </c>
      <c r="J623">
        <v>500</v>
      </c>
      <c r="K623">
        <v>505</v>
      </c>
      <c r="L623">
        <v>510</v>
      </c>
      <c r="M623">
        <v>515</v>
      </c>
    </row>
    <row r="624" spans="2:13" x14ac:dyDescent="0.3">
      <c r="D624">
        <v>520</v>
      </c>
      <c r="E624">
        <v>525</v>
      </c>
      <c r="F624">
        <v>530</v>
      </c>
      <c r="G624">
        <v>535</v>
      </c>
      <c r="H624">
        <v>540</v>
      </c>
      <c r="I624">
        <v>545</v>
      </c>
      <c r="J624">
        <v>550</v>
      </c>
      <c r="K624">
        <v>555</v>
      </c>
      <c r="L624">
        <v>560</v>
      </c>
      <c r="M624">
        <v>565</v>
      </c>
    </row>
    <row r="627" spans="2:13" x14ac:dyDescent="0.3">
      <c r="D627" s="34" t="s">
        <v>180</v>
      </c>
      <c r="E627" s="30"/>
      <c r="F627">
        <f>(20/100*111)</f>
        <v>22.200000000000003</v>
      </c>
      <c r="G627" s="19">
        <f>125+(22.2-22)*(130-125)</f>
        <v>126</v>
      </c>
      <c r="I627" t="s">
        <v>176</v>
      </c>
      <c r="J627">
        <f>(25/100*111)</f>
        <v>27.75</v>
      </c>
      <c r="K627" s="19">
        <f>(155+150)/2</f>
        <v>152.5</v>
      </c>
    </row>
    <row r="628" spans="2:13" x14ac:dyDescent="0.3">
      <c r="D628" s="30"/>
      <c r="E628" s="30"/>
      <c r="F628">
        <f>(40/100*111)</f>
        <v>44.400000000000006</v>
      </c>
      <c r="G628" s="19">
        <f>235+(44.4-44)*(240-235)</f>
        <v>237</v>
      </c>
      <c r="I628" t="s">
        <v>177</v>
      </c>
      <c r="J628">
        <f>(50/100*111)</f>
        <v>55.5</v>
      </c>
      <c r="K628" s="19">
        <f>(290+295)/2</f>
        <v>292.5</v>
      </c>
    </row>
    <row r="629" spans="2:13" x14ac:dyDescent="0.3">
      <c r="D629" s="30"/>
      <c r="E629" s="30"/>
      <c r="F629">
        <f>(80/100*111)</f>
        <v>88.800000000000011</v>
      </c>
      <c r="G629" s="19">
        <f>455+(88.8-88)*(460-455)</f>
        <v>459</v>
      </c>
      <c r="I629" t="s">
        <v>178</v>
      </c>
      <c r="J629">
        <f>(75/100*111)</f>
        <v>83.25</v>
      </c>
      <c r="K629" s="19">
        <f>(430+435)/2</f>
        <v>432.5</v>
      </c>
    </row>
    <row r="637" spans="2:13" ht="18" x14ac:dyDescent="0.35">
      <c r="C637" s="2">
        <v>4</v>
      </c>
      <c r="E637" s="32" t="s">
        <v>81</v>
      </c>
      <c r="F637" s="32"/>
    </row>
    <row r="639" spans="2:13" x14ac:dyDescent="0.3">
      <c r="B639" t="s">
        <v>107</v>
      </c>
      <c r="C639" t="s">
        <v>83</v>
      </c>
      <c r="D639">
        <v>15</v>
      </c>
      <c r="E639">
        <v>20</v>
      </c>
      <c r="F639">
        <v>25</v>
      </c>
      <c r="G639">
        <v>30</v>
      </c>
      <c r="H639">
        <v>35</v>
      </c>
      <c r="I639">
        <v>40</v>
      </c>
      <c r="J639">
        <v>45</v>
      </c>
      <c r="K639">
        <v>50</v>
      </c>
      <c r="L639">
        <v>55</v>
      </c>
      <c r="M639">
        <v>60</v>
      </c>
    </row>
    <row r="640" spans="2:13" x14ac:dyDescent="0.3">
      <c r="D640">
        <v>65</v>
      </c>
      <c r="E640">
        <v>70</v>
      </c>
      <c r="F640">
        <v>75</v>
      </c>
      <c r="G640">
        <v>80</v>
      </c>
      <c r="H640">
        <v>85</v>
      </c>
      <c r="I640">
        <v>90</v>
      </c>
      <c r="J640">
        <v>95</v>
      </c>
      <c r="K640">
        <v>100</v>
      </c>
      <c r="L640">
        <v>105</v>
      </c>
      <c r="M640">
        <v>110</v>
      </c>
    </row>
    <row r="641" spans="4:13" x14ac:dyDescent="0.3">
      <c r="D641">
        <v>115</v>
      </c>
      <c r="E641">
        <v>120</v>
      </c>
      <c r="F641">
        <v>125</v>
      </c>
      <c r="G641">
        <v>130</v>
      </c>
      <c r="H641">
        <v>135</v>
      </c>
      <c r="I641">
        <v>140</v>
      </c>
      <c r="J641">
        <v>145</v>
      </c>
      <c r="K641">
        <v>150</v>
      </c>
      <c r="L641">
        <v>155</v>
      </c>
      <c r="M641">
        <v>160</v>
      </c>
    </row>
    <row r="642" spans="4:13" x14ac:dyDescent="0.3">
      <c r="D642">
        <v>165</v>
      </c>
      <c r="E642">
        <v>170</v>
      </c>
      <c r="F642">
        <v>175</v>
      </c>
      <c r="G642">
        <v>180</v>
      </c>
      <c r="H642">
        <v>185</v>
      </c>
      <c r="I642">
        <v>190</v>
      </c>
      <c r="J642">
        <v>195</v>
      </c>
      <c r="K642">
        <v>200</v>
      </c>
      <c r="L642">
        <v>205</v>
      </c>
      <c r="M642">
        <v>210</v>
      </c>
    </row>
    <row r="643" spans="4:13" x14ac:dyDescent="0.3">
      <c r="D643">
        <v>215</v>
      </c>
      <c r="E643">
        <v>220</v>
      </c>
      <c r="F643">
        <v>225</v>
      </c>
      <c r="G643">
        <v>230</v>
      </c>
      <c r="H643">
        <v>235</v>
      </c>
      <c r="I643">
        <v>240</v>
      </c>
      <c r="J643">
        <v>245</v>
      </c>
      <c r="K643">
        <v>250</v>
      </c>
      <c r="L643">
        <v>255</v>
      </c>
      <c r="M643">
        <v>260</v>
      </c>
    </row>
    <row r="644" spans="4:13" x14ac:dyDescent="0.3">
      <c r="D644">
        <v>265</v>
      </c>
      <c r="E644">
        <v>270</v>
      </c>
      <c r="F644">
        <v>275</v>
      </c>
      <c r="G644">
        <v>280</v>
      </c>
      <c r="H644">
        <v>285</v>
      </c>
      <c r="I644">
        <v>290</v>
      </c>
      <c r="J644">
        <v>295</v>
      </c>
      <c r="K644">
        <v>300</v>
      </c>
      <c r="L644">
        <v>305</v>
      </c>
      <c r="M644">
        <v>310</v>
      </c>
    </row>
    <row r="645" spans="4:13" x14ac:dyDescent="0.3">
      <c r="D645">
        <v>315</v>
      </c>
      <c r="E645">
        <v>320</v>
      </c>
      <c r="F645">
        <v>325</v>
      </c>
      <c r="G645">
        <v>330</v>
      </c>
      <c r="H645">
        <v>335</v>
      </c>
      <c r="I645">
        <v>340</v>
      </c>
      <c r="J645">
        <v>345</v>
      </c>
      <c r="K645">
        <v>350</v>
      </c>
      <c r="L645">
        <v>355</v>
      </c>
      <c r="M645">
        <v>360</v>
      </c>
    </row>
    <row r="646" spans="4:13" x14ac:dyDescent="0.3">
      <c r="D646">
        <v>365</v>
      </c>
      <c r="E646">
        <v>370</v>
      </c>
      <c r="F646">
        <v>375</v>
      </c>
      <c r="G646">
        <v>380</v>
      </c>
      <c r="H646">
        <v>385</v>
      </c>
      <c r="I646">
        <v>390</v>
      </c>
      <c r="J646">
        <v>395</v>
      </c>
      <c r="K646">
        <v>400</v>
      </c>
      <c r="L646">
        <v>405</v>
      </c>
      <c r="M646">
        <v>410</v>
      </c>
    </row>
    <row r="647" spans="4:13" x14ac:dyDescent="0.3">
      <c r="D647">
        <v>415</v>
      </c>
      <c r="E647">
        <v>420</v>
      </c>
      <c r="F647">
        <v>425</v>
      </c>
      <c r="G647">
        <v>430</v>
      </c>
      <c r="H647">
        <v>435</v>
      </c>
      <c r="I647">
        <v>440</v>
      </c>
      <c r="J647">
        <v>445</v>
      </c>
      <c r="K647">
        <v>450</v>
      </c>
      <c r="L647">
        <v>455</v>
      </c>
      <c r="M647">
        <v>460</v>
      </c>
    </row>
    <row r="648" spans="4:13" x14ac:dyDescent="0.3">
      <c r="D648">
        <v>465</v>
      </c>
      <c r="E648">
        <v>470</v>
      </c>
      <c r="F648">
        <v>475</v>
      </c>
      <c r="G648">
        <v>480</v>
      </c>
      <c r="H648">
        <v>485</v>
      </c>
      <c r="I648">
        <v>490</v>
      </c>
      <c r="J648">
        <v>495</v>
      </c>
      <c r="K648">
        <v>500</v>
      </c>
      <c r="L648">
        <v>505</v>
      </c>
      <c r="M648">
        <v>510</v>
      </c>
    </row>
    <row r="649" spans="4:13" x14ac:dyDescent="0.3">
      <c r="D649">
        <v>515</v>
      </c>
      <c r="E649">
        <v>520</v>
      </c>
      <c r="F649">
        <v>525</v>
      </c>
      <c r="G649">
        <v>530</v>
      </c>
      <c r="H649">
        <v>535</v>
      </c>
      <c r="I649">
        <v>540</v>
      </c>
      <c r="J649">
        <v>545</v>
      </c>
      <c r="K649">
        <v>550</v>
      </c>
      <c r="L649">
        <v>555</v>
      </c>
      <c r="M649">
        <v>560</v>
      </c>
    </row>
    <row r="650" spans="4:13" x14ac:dyDescent="0.3">
      <c r="D650">
        <v>565</v>
      </c>
      <c r="E650">
        <v>570</v>
      </c>
      <c r="F650">
        <v>575</v>
      </c>
      <c r="G650">
        <v>580</v>
      </c>
      <c r="H650">
        <v>585</v>
      </c>
      <c r="I650">
        <v>590</v>
      </c>
      <c r="J650">
        <v>595</v>
      </c>
      <c r="K650">
        <v>600</v>
      </c>
      <c r="L650">
        <v>605</v>
      </c>
      <c r="M650">
        <v>610</v>
      </c>
    </row>
    <row r="653" spans="4:13" x14ac:dyDescent="0.3">
      <c r="D653" s="34" t="s">
        <v>181</v>
      </c>
      <c r="E653" s="30"/>
      <c r="F653">
        <f>(30/100*121)</f>
        <v>36.299999999999997</v>
      </c>
      <c r="G653" s="20">
        <f>190+(36.3-36)*(195-190)</f>
        <v>191.5</v>
      </c>
      <c r="I653" t="s">
        <v>176</v>
      </c>
      <c r="J653">
        <f>(25/100*121)</f>
        <v>30.25</v>
      </c>
      <c r="K653" s="20">
        <f>(160+165)/2</f>
        <v>162.5</v>
      </c>
    </row>
    <row r="654" spans="4:13" x14ac:dyDescent="0.3">
      <c r="D654" s="30"/>
      <c r="E654" s="30"/>
      <c r="F654">
        <f>(50/100*121)</f>
        <v>60.5</v>
      </c>
      <c r="G654" s="20">
        <f>310+(60.5-60)*(315-310)</f>
        <v>312.5</v>
      </c>
      <c r="I654" t="s">
        <v>177</v>
      </c>
      <c r="J654">
        <f>(50/100*121)</f>
        <v>60.5</v>
      </c>
      <c r="K654" s="20">
        <f>(310+315)/2</f>
        <v>312.5</v>
      </c>
    </row>
    <row r="655" spans="4:13" x14ac:dyDescent="0.3">
      <c r="D655" s="30"/>
      <c r="E655" s="30"/>
      <c r="F655">
        <f>(70/100*121)</f>
        <v>84.699999999999989</v>
      </c>
      <c r="G655" s="20">
        <f>430+(84.7-84)*(435-430)</f>
        <v>433.5</v>
      </c>
      <c r="I655" t="s">
        <v>178</v>
      </c>
      <c r="J655">
        <f>(75/100*121)</f>
        <v>90.75</v>
      </c>
      <c r="K655" s="20">
        <f>(460+465)/2</f>
        <v>462.5</v>
      </c>
    </row>
    <row r="665" spans="2:13" ht="18" x14ac:dyDescent="0.35">
      <c r="C665" s="2">
        <v>5</v>
      </c>
      <c r="E665" s="2" t="s">
        <v>21</v>
      </c>
      <c r="F665" s="2"/>
    </row>
    <row r="667" spans="2:13" x14ac:dyDescent="0.3">
      <c r="B667" t="s">
        <v>108</v>
      </c>
      <c r="C667" t="s">
        <v>109</v>
      </c>
      <c r="D667">
        <v>0.5</v>
      </c>
      <c r="E667">
        <v>1</v>
      </c>
      <c r="F667">
        <v>0.2</v>
      </c>
      <c r="G667">
        <v>0.7</v>
      </c>
      <c r="H667">
        <v>0.3</v>
      </c>
      <c r="I667">
        <v>0.9</v>
      </c>
      <c r="J667">
        <v>1.2</v>
      </c>
      <c r="K667">
        <v>0.6</v>
      </c>
      <c r="L667">
        <v>0.4</v>
      </c>
      <c r="M667">
        <v>1.1000000000000001</v>
      </c>
    </row>
    <row r="668" spans="2:13" x14ac:dyDescent="0.3">
      <c r="D668">
        <v>0.8</v>
      </c>
      <c r="E668">
        <v>0.5</v>
      </c>
      <c r="F668">
        <v>0.3</v>
      </c>
      <c r="G668">
        <v>0.6</v>
      </c>
      <c r="H668">
        <v>1</v>
      </c>
      <c r="I668">
        <v>0.4</v>
      </c>
      <c r="J668">
        <v>0.5</v>
      </c>
      <c r="K668">
        <v>0.7</v>
      </c>
      <c r="L668">
        <v>0.9</v>
      </c>
      <c r="M668">
        <v>1.3</v>
      </c>
    </row>
    <row r="669" spans="2:13" x14ac:dyDescent="0.3">
      <c r="D669">
        <v>0.8</v>
      </c>
      <c r="E669">
        <v>0.6</v>
      </c>
      <c r="F669">
        <v>0.4</v>
      </c>
      <c r="G669">
        <v>0.7</v>
      </c>
      <c r="H669">
        <v>0.9</v>
      </c>
      <c r="I669">
        <v>0.5</v>
      </c>
      <c r="J669">
        <v>0.2</v>
      </c>
      <c r="K669">
        <v>1</v>
      </c>
      <c r="L669">
        <v>0.8</v>
      </c>
      <c r="M669">
        <v>0.3</v>
      </c>
    </row>
    <row r="670" spans="2:13" x14ac:dyDescent="0.3">
      <c r="D670">
        <v>0.6</v>
      </c>
      <c r="E670">
        <v>0.4</v>
      </c>
      <c r="F670">
        <v>0.7</v>
      </c>
      <c r="G670">
        <v>0.9</v>
      </c>
      <c r="H670">
        <v>1.2</v>
      </c>
      <c r="I670">
        <v>0.8</v>
      </c>
      <c r="J670">
        <v>0.3</v>
      </c>
      <c r="K670">
        <v>0.6</v>
      </c>
      <c r="L670">
        <v>0.5</v>
      </c>
      <c r="M670">
        <v>0.4</v>
      </c>
    </row>
    <row r="671" spans="2:13" x14ac:dyDescent="0.3">
      <c r="D671">
        <v>0.7</v>
      </c>
      <c r="E671">
        <v>0.9</v>
      </c>
      <c r="F671">
        <v>1.1000000000000001</v>
      </c>
      <c r="G671">
        <v>0.3</v>
      </c>
      <c r="H671">
        <v>1.4</v>
      </c>
      <c r="I671">
        <v>0</v>
      </c>
      <c r="J671">
        <v>9</v>
      </c>
      <c r="K671">
        <v>0.6</v>
      </c>
      <c r="L671">
        <v>0.2</v>
      </c>
      <c r="M671">
        <v>1.5</v>
      </c>
    </row>
    <row r="672" spans="2:13" x14ac:dyDescent="0.3">
      <c r="D672">
        <v>0.6</v>
      </c>
      <c r="E672">
        <v>0.4</v>
      </c>
      <c r="F672">
        <v>0.7</v>
      </c>
      <c r="G672">
        <v>1</v>
      </c>
      <c r="H672">
        <v>0.8</v>
      </c>
      <c r="I672">
        <v>0.3</v>
      </c>
      <c r="J672">
        <v>0.5</v>
      </c>
      <c r="K672">
        <v>0.8</v>
      </c>
      <c r="L672">
        <v>0.6</v>
      </c>
      <c r="M672">
        <v>0.3</v>
      </c>
    </row>
    <row r="673" spans="4:13" x14ac:dyDescent="0.3">
      <c r="D673">
        <v>0.4</v>
      </c>
      <c r="E673">
        <v>0.7</v>
      </c>
      <c r="F673">
        <v>0.9</v>
      </c>
      <c r="G673">
        <v>1</v>
      </c>
      <c r="H673">
        <v>0.8</v>
      </c>
      <c r="I673">
        <v>0.3</v>
      </c>
      <c r="J673">
        <v>0.5</v>
      </c>
      <c r="K673">
        <v>0.6</v>
      </c>
      <c r="L673">
        <v>0.4</v>
      </c>
      <c r="M673">
        <v>0.7</v>
      </c>
    </row>
    <row r="674" spans="4:13" x14ac:dyDescent="0.3">
      <c r="D674">
        <v>0.9</v>
      </c>
      <c r="E674">
        <v>1.1000000000000001</v>
      </c>
      <c r="F674">
        <v>0.8</v>
      </c>
      <c r="G674">
        <v>0.3</v>
      </c>
      <c r="H674">
        <v>0.5</v>
      </c>
      <c r="I674">
        <v>0.6</v>
      </c>
      <c r="J674">
        <v>0.4</v>
      </c>
      <c r="K674">
        <v>0.7</v>
      </c>
      <c r="L674">
        <v>0.9</v>
      </c>
      <c r="M674">
        <v>1</v>
      </c>
    </row>
    <row r="675" spans="4:13" x14ac:dyDescent="0.3">
      <c r="D675">
        <v>0.8</v>
      </c>
      <c r="E675">
        <v>0.3</v>
      </c>
      <c r="F675">
        <v>0.5</v>
      </c>
      <c r="G675">
        <v>0.6</v>
      </c>
      <c r="H675">
        <v>0.4</v>
      </c>
      <c r="I675">
        <v>0.7</v>
      </c>
      <c r="J675">
        <v>0.9</v>
      </c>
      <c r="K675">
        <v>1.1000000000000001</v>
      </c>
      <c r="L675">
        <v>0.8</v>
      </c>
      <c r="M675">
        <v>0.3</v>
      </c>
    </row>
    <row r="676" spans="4:13" x14ac:dyDescent="0.3">
      <c r="D676">
        <v>0.5</v>
      </c>
      <c r="E676">
        <v>0.6</v>
      </c>
      <c r="F676">
        <v>0.4</v>
      </c>
      <c r="G676">
        <v>0.7</v>
      </c>
      <c r="H676">
        <v>0.9</v>
      </c>
      <c r="I676">
        <v>1</v>
      </c>
      <c r="J676">
        <v>0.8</v>
      </c>
      <c r="K676">
        <v>0.3</v>
      </c>
      <c r="L676">
        <v>0.5</v>
      </c>
      <c r="M676">
        <v>0.6</v>
      </c>
    </row>
    <row r="677" spans="4:13" x14ac:dyDescent="0.3">
      <c r="D677">
        <v>0.4</v>
      </c>
      <c r="E677">
        <v>0.7</v>
      </c>
      <c r="F677">
        <v>0.9</v>
      </c>
      <c r="G677">
        <v>1.1000000000000001</v>
      </c>
      <c r="H677">
        <v>0.8</v>
      </c>
      <c r="I677">
        <v>0.3</v>
      </c>
      <c r="J677">
        <v>0.5</v>
      </c>
      <c r="K677">
        <v>0.6</v>
      </c>
      <c r="L677">
        <v>0.4</v>
      </c>
      <c r="M677">
        <v>0.7</v>
      </c>
    </row>
    <row r="678" spans="4:13" x14ac:dyDescent="0.3">
      <c r="D678">
        <v>0.9</v>
      </c>
      <c r="E678">
        <v>1</v>
      </c>
      <c r="F678">
        <v>0.8</v>
      </c>
      <c r="G678">
        <v>0.3</v>
      </c>
      <c r="H678">
        <v>0.5</v>
      </c>
      <c r="I678">
        <v>0.6</v>
      </c>
      <c r="J678">
        <v>0.4</v>
      </c>
      <c r="K678">
        <v>0.7</v>
      </c>
      <c r="L678">
        <v>0.9</v>
      </c>
      <c r="M678">
        <v>1.1000000000000001</v>
      </c>
    </row>
    <row r="679" spans="4:13" x14ac:dyDescent="0.3">
      <c r="D679">
        <v>1</v>
      </c>
      <c r="E679">
        <v>0.9</v>
      </c>
    </row>
    <row r="682" spans="4:13" x14ac:dyDescent="0.3">
      <c r="D682" s="34" t="s">
        <v>182</v>
      </c>
      <c r="E682" s="30"/>
      <c r="F682">
        <f>(25/100)*139</f>
        <v>34.75</v>
      </c>
      <c r="G682" s="20">
        <v>0.4</v>
      </c>
      <c r="I682" t="s">
        <v>176</v>
      </c>
      <c r="J682">
        <f>(25/100)*139</f>
        <v>34.75</v>
      </c>
      <c r="K682" s="20">
        <f>(0.4+0.4)/2</f>
        <v>0.4</v>
      </c>
    </row>
    <row r="683" spans="4:13" x14ac:dyDescent="0.3">
      <c r="D683" s="30"/>
      <c r="E683" s="30"/>
      <c r="F683">
        <f>(50/100)*139</f>
        <v>69.5</v>
      </c>
      <c r="G683" s="20">
        <v>0.7</v>
      </c>
      <c r="I683" t="s">
        <v>177</v>
      </c>
      <c r="J683">
        <f>(50/100)*139</f>
        <v>69.5</v>
      </c>
      <c r="K683" s="20">
        <v>0.7</v>
      </c>
    </row>
    <row r="684" spans="4:13" x14ac:dyDescent="0.3">
      <c r="D684" s="30"/>
      <c r="E684" s="30"/>
      <c r="F684">
        <f>(75/100)*139</f>
        <v>104.25</v>
      </c>
      <c r="G684" s="20">
        <v>0.6</v>
      </c>
      <c r="I684" t="s">
        <v>178</v>
      </c>
      <c r="J684">
        <f>(75/100)*139</f>
        <v>104.25</v>
      </c>
      <c r="K684" s="20">
        <v>0.6</v>
      </c>
    </row>
    <row r="692" spans="3:17" ht="28.8" x14ac:dyDescent="0.55000000000000004">
      <c r="D692" s="35" t="s">
        <v>110</v>
      </c>
      <c r="E692" s="35"/>
      <c r="F692" s="35"/>
      <c r="G692" s="35"/>
      <c r="H692" s="35"/>
      <c r="I692" s="35"/>
      <c r="J692" s="35"/>
      <c r="K692" s="35"/>
      <c r="L692" s="35"/>
    </row>
    <row r="697" spans="3:17" ht="18" x14ac:dyDescent="0.35">
      <c r="C697" s="2">
        <v>1</v>
      </c>
      <c r="E697" s="32" t="s">
        <v>111</v>
      </c>
      <c r="F697" s="32"/>
      <c r="G697" s="32"/>
    </row>
    <row r="699" spans="3:17" x14ac:dyDescent="0.3">
      <c r="D699" t="s">
        <v>112</v>
      </c>
      <c r="E699" t="s">
        <v>113</v>
      </c>
      <c r="F699">
        <v>10</v>
      </c>
      <c r="G699">
        <v>12</v>
      </c>
      <c r="H699">
        <v>15</v>
      </c>
      <c r="I699">
        <v>18</v>
      </c>
      <c r="J699">
        <v>20</v>
      </c>
      <c r="K699">
        <v>22</v>
      </c>
      <c r="L699">
        <v>25</v>
      </c>
      <c r="M699">
        <v>28</v>
      </c>
      <c r="N699">
        <v>30</v>
      </c>
      <c r="O699">
        <v>32</v>
      </c>
      <c r="P699">
        <v>35</v>
      </c>
      <c r="Q699">
        <v>38</v>
      </c>
    </row>
    <row r="700" spans="3:17" x14ac:dyDescent="0.3">
      <c r="D700" t="s">
        <v>114</v>
      </c>
      <c r="E700" t="s">
        <v>115</v>
      </c>
      <c r="F700">
        <v>50</v>
      </c>
      <c r="G700">
        <v>55</v>
      </c>
      <c r="H700">
        <v>60</v>
      </c>
      <c r="I700">
        <v>65</v>
      </c>
      <c r="J700">
        <v>70</v>
      </c>
      <c r="K700">
        <v>75</v>
      </c>
      <c r="L700">
        <v>80</v>
      </c>
      <c r="M700">
        <v>85</v>
      </c>
      <c r="N700">
        <v>90</v>
      </c>
      <c r="O700">
        <v>95</v>
      </c>
      <c r="P700">
        <v>100</v>
      </c>
      <c r="Q700">
        <v>105</v>
      </c>
    </row>
    <row r="703" spans="3:17" x14ac:dyDescent="0.3">
      <c r="D703" s="25" t="s">
        <v>116</v>
      </c>
      <c r="E703" s="25"/>
      <c r="F703" s="25"/>
      <c r="G703" s="25"/>
      <c r="H703" s="25"/>
      <c r="I703" s="25"/>
      <c r="J703" s="25"/>
      <c r="K703">
        <f>CORREL(F699:Q699,F700:Q700)</f>
        <v>0.99921031003664817</v>
      </c>
    </row>
    <row r="705" spans="3:25" x14ac:dyDescent="0.3">
      <c r="E705" s="11" t="s">
        <v>117</v>
      </c>
      <c r="F705" s="11"/>
      <c r="G705" s="11"/>
      <c r="H705" s="11"/>
      <c r="I705" s="11"/>
      <c r="J705" s="11"/>
      <c r="K705" s="11"/>
      <c r="L705" s="11"/>
      <c r="M705" s="11"/>
      <c r="N705" s="11"/>
      <c r="O705" s="11"/>
      <c r="P705" s="11"/>
      <c r="Q705" s="11"/>
      <c r="R705" s="11"/>
      <c r="S705" s="11"/>
    </row>
    <row r="710" spans="3:25" ht="18" x14ac:dyDescent="0.35">
      <c r="C710" s="2">
        <v>2</v>
      </c>
      <c r="E710" s="32" t="s">
        <v>118</v>
      </c>
      <c r="F710" s="32"/>
      <c r="G710" s="32"/>
    </row>
    <row r="712" spans="3:25" x14ac:dyDescent="0.3">
      <c r="D712" t="s">
        <v>119</v>
      </c>
      <c r="E712" t="s">
        <v>49</v>
      </c>
      <c r="F712">
        <v>45</v>
      </c>
      <c r="G712">
        <v>47</v>
      </c>
      <c r="H712">
        <v>48</v>
      </c>
      <c r="I712">
        <v>50</v>
      </c>
      <c r="J712">
        <v>52</v>
      </c>
      <c r="K712">
        <v>53</v>
      </c>
      <c r="L712">
        <v>55</v>
      </c>
      <c r="M712">
        <v>56</v>
      </c>
      <c r="N712">
        <v>58</v>
      </c>
      <c r="O712">
        <v>60</v>
      </c>
      <c r="P712">
        <v>62</v>
      </c>
      <c r="Q712">
        <v>64</v>
      </c>
      <c r="R712">
        <v>65</v>
      </c>
      <c r="S712">
        <v>67</v>
      </c>
      <c r="T712">
        <v>69</v>
      </c>
      <c r="U712">
        <v>70</v>
      </c>
      <c r="V712">
        <v>72</v>
      </c>
      <c r="W712">
        <v>74</v>
      </c>
      <c r="X712">
        <v>76</v>
      </c>
      <c r="Y712">
        <v>77</v>
      </c>
    </row>
    <row r="713" spans="3:25" x14ac:dyDescent="0.3">
      <c r="D713" t="s">
        <v>119</v>
      </c>
      <c r="E713" t="s">
        <v>50</v>
      </c>
      <c r="F713">
        <v>52</v>
      </c>
      <c r="G713">
        <v>54</v>
      </c>
      <c r="H713">
        <v>55</v>
      </c>
      <c r="I713">
        <v>57</v>
      </c>
      <c r="J713">
        <v>59</v>
      </c>
      <c r="K713">
        <v>60</v>
      </c>
      <c r="L713">
        <v>61</v>
      </c>
      <c r="M713">
        <v>62</v>
      </c>
      <c r="N713">
        <v>64</v>
      </c>
      <c r="O713">
        <v>66</v>
      </c>
      <c r="P713">
        <v>67</v>
      </c>
      <c r="Q713">
        <v>69</v>
      </c>
      <c r="R713">
        <v>71</v>
      </c>
      <c r="S713">
        <v>73</v>
      </c>
      <c r="T713">
        <v>74</v>
      </c>
      <c r="U713">
        <v>76</v>
      </c>
      <c r="V713">
        <v>78</v>
      </c>
      <c r="W713">
        <v>80</v>
      </c>
      <c r="X713">
        <v>82</v>
      </c>
      <c r="Y713">
        <v>83</v>
      </c>
    </row>
    <row r="718" spans="3:25" x14ac:dyDescent="0.3">
      <c r="D718" s="25" t="s">
        <v>120</v>
      </c>
      <c r="E718" s="25"/>
      <c r="F718" s="25"/>
      <c r="G718" s="25"/>
      <c r="H718" s="25"/>
      <c r="I718" s="25"/>
      <c r="J718" s="25"/>
      <c r="K718">
        <f>_xlfn.COVARIANCE.S(F712:Y712,F713:Y713)</f>
        <v>97.526315789473685</v>
      </c>
    </row>
    <row r="721" spans="3:36" x14ac:dyDescent="0.3">
      <c r="D721" s="33" t="s">
        <v>121</v>
      </c>
      <c r="E721" s="25"/>
      <c r="F721" s="25"/>
      <c r="G721" s="25"/>
      <c r="H721" s="25"/>
      <c r="I721" s="25"/>
      <c r="J721" s="25"/>
      <c r="K721" s="25"/>
      <c r="L721" s="25"/>
      <c r="M721" s="25"/>
      <c r="N721" s="25"/>
      <c r="O721" s="25"/>
      <c r="P721" s="25"/>
      <c r="Q721" s="25"/>
      <c r="R721" s="25"/>
      <c r="S721" s="25"/>
      <c r="T721" s="25"/>
    </row>
    <row r="722" spans="3:36" x14ac:dyDescent="0.3">
      <c r="D722" s="25"/>
      <c r="E722" s="25"/>
      <c r="F722" s="25"/>
      <c r="G722" s="25"/>
      <c r="H722" s="25"/>
      <c r="I722" s="25"/>
      <c r="J722" s="25"/>
      <c r="K722" s="25"/>
      <c r="L722" s="25"/>
      <c r="M722" s="25"/>
      <c r="N722" s="25"/>
      <c r="O722" s="25"/>
      <c r="P722" s="25"/>
      <c r="Q722" s="25"/>
      <c r="R722" s="25"/>
      <c r="S722" s="25"/>
      <c r="T722" s="25"/>
    </row>
    <row r="723" spans="3:36" x14ac:dyDescent="0.3">
      <c r="D723" s="25"/>
      <c r="E723" s="25"/>
      <c r="F723" s="25"/>
      <c r="G723" s="25"/>
      <c r="H723" s="25"/>
      <c r="I723" s="25"/>
      <c r="J723" s="25"/>
      <c r="K723" s="25"/>
      <c r="L723" s="25"/>
      <c r="M723" s="25"/>
      <c r="N723" s="25"/>
      <c r="O723" s="25"/>
      <c r="P723" s="25"/>
      <c r="Q723" s="25"/>
      <c r="R723" s="25"/>
      <c r="S723" s="25"/>
      <c r="T723" s="25"/>
    </row>
    <row r="724" spans="3:36" x14ac:dyDescent="0.3">
      <c r="D724" s="25"/>
      <c r="E724" s="25"/>
      <c r="F724" s="25"/>
      <c r="G724" s="25"/>
      <c r="H724" s="25"/>
      <c r="I724" s="25"/>
      <c r="J724" s="25"/>
      <c r="K724" s="25"/>
      <c r="L724" s="25"/>
      <c r="M724" s="25"/>
      <c r="N724" s="25"/>
      <c r="O724" s="25"/>
      <c r="P724" s="25"/>
      <c r="Q724" s="25"/>
      <c r="R724" s="25"/>
      <c r="S724" s="25"/>
      <c r="T724" s="25"/>
    </row>
    <row r="729" spans="3:36" ht="18" x14ac:dyDescent="0.35">
      <c r="C729" s="2">
        <v>3</v>
      </c>
      <c r="E729" s="32" t="s">
        <v>122</v>
      </c>
      <c r="F729" s="32"/>
      <c r="G729" s="32"/>
    </row>
    <row r="732" spans="3:36" x14ac:dyDescent="0.3">
      <c r="D732" t="s">
        <v>123</v>
      </c>
      <c r="E732" t="s">
        <v>124</v>
      </c>
      <c r="F732" t="s">
        <v>125</v>
      </c>
      <c r="G732">
        <v>10</v>
      </c>
      <c r="H732">
        <v>12</v>
      </c>
      <c r="I732">
        <v>15</v>
      </c>
      <c r="J732">
        <v>18</v>
      </c>
      <c r="K732">
        <v>20</v>
      </c>
      <c r="L732">
        <v>22</v>
      </c>
      <c r="M732">
        <v>25</v>
      </c>
      <c r="N732">
        <v>28</v>
      </c>
      <c r="O732">
        <v>30</v>
      </c>
      <c r="P732">
        <v>32</v>
      </c>
      <c r="Q732">
        <v>35</v>
      </c>
      <c r="R732">
        <v>38</v>
      </c>
      <c r="S732">
        <v>40</v>
      </c>
      <c r="T732">
        <v>42</v>
      </c>
      <c r="U732">
        <v>45</v>
      </c>
      <c r="V732">
        <v>48</v>
      </c>
      <c r="W732">
        <v>50</v>
      </c>
      <c r="X732">
        <v>52</v>
      </c>
      <c r="Y732">
        <v>55</v>
      </c>
      <c r="Z732">
        <v>58</v>
      </c>
      <c r="AA732">
        <v>60</v>
      </c>
      <c r="AB732">
        <v>62</v>
      </c>
      <c r="AC732">
        <v>65</v>
      </c>
      <c r="AD732">
        <v>68</v>
      </c>
      <c r="AE732">
        <v>70</v>
      </c>
      <c r="AF732">
        <v>72</v>
      </c>
      <c r="AG732">
        <v>75</v>
      </c>
      <c r="AH732">
        <v>78</v>
      </c>
      <c r="AI732">
        <v>80</v>
      </c>
      <c r="AJ732">
        <v>82</v>
      </c>
    </row>
    <row r="734" spans="3:36" x14ac:dyDescent="0.3">
      <c r="E734" t="s">
        <v>126</v>
      </c>
      <c r="F734" t="s">
        <v>127</v>
      </c>
      <c r="G734">
        <v>60</v>
      </c>
      <c r="H734">
        <v>65</v>
      </c>
      <c r="I734">
        <v>70</v>
      </c>
      <c r="J734">
        <v>75</v>
      </c>
      <c r="K734">
        <v>80</v>
      </c>
      <c r="L734">
        <v>82</v>
      </c>
      <c r="M734">
        <v>85</v>
      </c>
      <c r="N734">
        <v>88</v>
      </c>
      <c r="O734">
        <v>90</v>
      </c>
      <c r="P734">
        <v>92</v>
      </c>
      <c r="Q734">
        <v>93</v>
      </c>
      <c r="R734">
        <v>95</v>
      </c>
      <c r="S734">
        <v>96</v>
      </c>
      <c r="T734">
        <v>97</v>
      </c>
      <c r="U734">
        <v>98</v>
      </c>
      <c r="V734">
        <v>99</v>
      </c>
      <c r="W734">
        <v>100</v>
      </c>
      <c r="X734">
        <v>102</v>
      </c>
      <c r="Y734">
        <v>106</v>
      </c>
      <c r="Z734">
        <v>107</v>
      </c>
      <c r="AA734">
        <v>108</v>
      </c>
      <c r="AB734">
        <v>110</v>
      </c>
      <c r="AC734">
        <v>112</v>
      </c>
      <c r="AD734">
        <v>114</v>
      </c>
      <c r="AE734">
        <v>115</v>
      </c>
      <c r="AF734">
        <v>116</v>
      </c>
      <c r="AG734">
        <v>118</v>
      </c>
      <c r="AH734">
        <v>120</v>
      </c>
      <c r="AI734">
        <v>122</v>
      </c>
    </row>
    <row r="739" spans="3:21" x14ac:dyDescent="0.3">
      <c r="E739" s="25" t="s">
        <v>128</v>
      </c>
      <c r="F739" s="25"/>
      <c r="G739" s="25"/>
      <c r="H739" s="25"/>
      <c r="I739" s="25"/>
      <c r="J739" s="25"/>
      <c r="K739" s="25"/>
      <c r="L739" s="25"/>
      <c r="M739" s="25"/>
      <c r="N739">
        <f>CORREL(G732:AJ732,G734:AJ734)</f>
        <v>0.97983771520996987</v>
      </c>
    </row>
    <row r="742" spans="3:21" x14ac:dyDescent="0.3">
      <c r="E742" s="11" t="s">
        <v>129</v>
      </c>
      <c r="F742" s="11"/>
      <c r="G742" s="11"/>
      <c r="H742" s="11"/>
      <c r="I742" s="11"/>
      <c r="J742" s="11"/>
      <c r="K742" s="11"/>
      <c r="L742" s="11"/>
      <c r="M742" s="11"/>
      <c r="N742" s="11"/>
      <c r="O742" s="11"/>
      <c r="P742" s="11"/>
      <c r="Q742" s="11"/>
      <c r="R742" s="11"/>
      <c r="S742" s="11"/>
      <c r="T742" s="11"/>
      <c r="U742" s="11"/>
    </row>
    <row r="749" spans="3:21" ht="25.8" x14ac:dyDescent="0.5">
      <c r="E749" s="27" t="s">
        <v>130</v>
      </c>
      <c r="F749" s="27"/>
      <c r="G749" s="27"/>
      <c r="H749" s="27"/>
      <c r="I749" s="27"/>
      <c r="J749" s="27"/>
      <c r="K749" s="27"/>
      <c r="L749" s="27"/>
      <c r="M749" s="27"/>
    </row>
    <row r="751" spans="3:21" ht="21" x14ac:dyDescent="0.4">
      <c r="C751" s="26" t="s">
        <v>131</v>
      </c>
      <c r="D751" s="26"/>
      <c r="E751" s="26"/>
      <c r="F751" s="26"/>
      <c r="G751" s="26"/>
    </row>
    <row r="753" spans="3:10" ht="18" x14ac:dyDescent="0.35">
      <c r="C753" s="2">
        <v>1</v>
      </c>
      <c r="D753" s="29" t="s">
        <v>132</v>
      </c>
      <c r="E753" s="29"/>
      <c r="F753" s="29"/>
      <c r="G753" s="29"/>
      <c r="H753" s="29"/>
      <c r="I753" s="29"/>
    </row>
    <row r="755" spans="3:10" x14ac:dyDescent="0.3">
      <c r="E755" t="s">
        <v>133</v>
      </c>
      <c r="F755">
        <f>_xlfn.BINOM.DIST(5,100,1/6,FALSE)</f>
        <v>2.9090311057530159E-4</v>
      </c>
    </row>
    <row r="758" spans="3:10" ht="18" x14ac:dyDescent="0.35">
      <c r="C758" s="2">
        <v>2</v>
      </c>
      <c r="D758" s="29" t="s">
        <v>134</v>
      </c>
      <c r="E758" s="29"/>
      <c r="F758" s="29"/>
      <c r="G758" s="29"/>
      <c r="H758" s="29"/>
      <c r="I758" s="29"/>
    </row>
    <row r="760" spans="3:10" x14ac:dyDescent="0.3">
      <c r="E760" t="s">
        <v>133</v>
      </c>
      <c r="F760">
        <f>_xlfn.HYPGEOM.DIST(2,5,13,52,FALSE)</f>
        <v>0.27427971188475386</v>
      </c>
    </row>
    <row r="762" spans="3:10" ht="18" x14ac:dyDescent="0.35">
      <c r="C762" s="2">
        <v>3</v>
      </c>
      <c r="D762" s="29" t="s">
        <v>135</v>
      </c>
      <c r="E762" s="29"/>
      <c r="F762" s="29"/>
      <c r="G762" s="29"/>
      <c r="H762" s="29"/>
      <c r="I762" s="29"/>
    </row>
    <row r="764" spans="3:10" x14ac:dyDescent="0.3">
      <c r="E764" t="s">
        <v>133</v>
      </c>
      <c r="F764">
        <f>_xlfn.BINOM.DIST(8,10,1/4,TRUE)</f>
        <v>0.99997043609619141</v>
      </c>
    </row>
    <row r="767" spans="3:10" ht="18" x14ac:dyDescent="0.35">
      <c r="C767" s="2">
        <v>4</v>
      </c>
      <c r="D767" s="29" t="s">
        <v>136</v>
      </c>
      <c r="E767" s="29"/>
      <c r="F767" s="29"/>
      <c r="G767" s="29"/>
      <c r="H767" s="29"/>
      <c r="I767" s="29"/>
      <c r="J767" s="29"/>
    </row>
    <row r="770" spans="3:11" x14ac:dyDescent="0.3">
      <c r="E770" t="s">
        <v>133</v>
      </c>
      <c r="F770">
        <f>_xlfn.HYPGEOM.DIST(3,3,20,60,FALSE)</f>
        <v>3.3313851548801864E-2</v>
      </c>
    </row>
    <row r="773" spans="3:11" ht="15.6" x14ac:dyDescent="0.3">
      <c r="C773" s="11">
        <v>5</v>
      </c>
      <c r="D773" s="29" t="s">
        <v>137</v>
      </c>
      <c r="E773" s="29"/>
      <c r="F773" s="29"/>
      <c r="G773" s="29"/>
      <c r="H773" s="29"/>
      <c r="I773" s="29"/>
    </row>
    <row r="775" spans="3:11" x14ac:dyDescent="0.3">
      <c r="E775" t="s">
        <v>133</v>
      </c>
      <c r="F775">
        <f>_xlfn.BINOM.DIST(3,10,0.3,FALSE)</f>
        <v>0.26682793200000005</v>
      </c>
    </row>
    <row r="780" spans="3:11" ht="21" x14ac:dyDescent="0.4">
      <c r="D780" s="26" t="s">
        <v>138</v>
      </c>
      <c r="E780" s="26"/>
      <c r="F780" s="26"/>
      <c r="G780" s="26"/>
      <c r="H780" s="26"/>
    </row>
    <row r="783" spans="3:11" ht="15.6" x14ac:dyDescent="0.3">
      <c r="C783" s="16">
        <v>1</v>
      </c>
      <c r="D783" s="29" t="s">
        <v>139</v>
      </c>
      <c r="E783" s="29"/>
      <c r="F783" s="29"/>
      <c r="G783" s="29"/>
      <c r="H783" s="29"/>
      <c r="I783" s="29"/>
      <c r="J783" s="29"/>
      <c r="K783" s="29"/>
    </row>
    <row r="786" spans="3:20" x14ac:dyDescent="0.3">
      <c r="E786" t="s">
        <v>133</v>
      </c>
      <c r="F786">
        <f>_xlfn.NORM.DIST(180,165,10,TRUE)</f>
        <v>0.93319279873114191</v>
      </c>
      <c r="H786" s="17" t="s">
        <v>144</v>
      </c>
      <c r="I786" s="17"/>
      <c r="J786" s="17">
        <f>(180-165)/10</f>
        <v>1.5</v>
      </c>
      <c r="L786" t="s">
        <v>145</v>
      </c>
      <c r="T786">
        <f>_xlfn.NORM.DIST(180,165,10,TRUE)</f>
        <v>0.93319279873114191</v>
      </c>
    </row>
    <row r="787" spans="3:20" x14ac:dyDescent="0.3">
      <c r="O787" t="s">
        <v>146</v>
      </c>
      <c r="T787">
        <f>1-0.933191</f>
        <v>6.6809000000000007E-2</v>
      </c>
    </row>
    <row r="789" spans="3:20" ht="15.6" x14ac:dyDescent="0.3">
      <c r="C789" s="16">
        <v>2</v>
      </c>
      <c r="D789" s="40" t="s">
        <v>140</v>
      </c>
      <c r="E789" s="40"/>
      <c r="F789" s="40"/>
      <c r="G789" s="40"/>
      <c r="H789" s="40"/>
      <c r="I789" s="40"/>
      <c r="J789" s="40"/>
      <c r="K789" s="40"/>
      <c r="L789" s="40"/>
      <c r="T789" s="18">
        <v>6.6799999999999998E-2</v>
      </c>
    </row>
    <row r="792" spans="3:20" x14ac:dyDescent="0.3">
      <c r="E792" t="s">
        <v>133</v>
      </c>
      <c r="F792">
        <f>_xlfn.POISSON.DIST(3,5,FALSE)</f>
        <v>0.14037389581428059</v>
      </c>
    </row>
    <row r="794" spans="3:20" ht="15.6" x14ac:dyDescent="0.3">
      <c r="C794" s="16">
        <v>3</v>
      </c>
      <c r="D794" s="16" t="s">
        <v>141</v>
      </c>
      <c r="E794" s="16"/>
      <c r="F794" s="16"/>
      <c r="G794" s="16"/>
      <c r="H794" s="16"/>
      <c r="I794" s="16"/>
      <c r="J794" s="16"/>
      <c r="K794" s="16"/>
    </row>
    <row r="795" spans="3:20" x14ac:dyDescent="0.3">
      <c r="G795" t="s">
        <v>184</v>
      </c>
      <c r="H795" t="s">
        <v>185</v>
      </c>
    </row>
    <row r="796" spans="3:20" x14ac:dyDescent="0.3">
      <c r="G796">
        <v>0.15870000000000001</v>
      </c>
      <c r="H796">
        <v>0.84130000000000005</v>
      </c>
      <c r="K796" t="s">
        <v>142</v>
      </c>
      <c r="N796" t="s">
        <v>183</v>
      </c>
    </row>
    <row r="797" spans="3:20" x14ac:dyDescent="0.3">
      <c r="G797">
        <f>H796-G796</f>
        <v>0.6826000000000001</v>
      </c>
      <c r="K797" t="s">
        <v>143</v>
      </c>
      <c r="L797">
        <f>(1100-1000)/100</f>
        <v>1</v>
      </c>
      <c r="N797">
        <v>0.15870000000000001</v>
      </c>
    </row>
    <row r="798" spans="3:20" x14ac:dyDescent="0.3">
      <c r="K798" t="s">
        <v>143</v>
      </c>
      <c r="L798">
        <f>(900-1000)/100</f>
        <v>-1</v>
      </c>
      <c r="N798">
        <v>0.84130000000000005</v>
      </c>
    </row>
    <row r="799" spans="3:20" x14ac:dyDescent="0.3">
      <c r="F799" t="s">
        <v>133</v>
      </c>
      <c r="G799" s="21">
        <v>0.68259999999999998</v>
      </c>
    </row>
    <row r="802" spans="3:12" ht="15.6" x14ac:dyDescent="0.3">
      <c r="C802" s="16">
        <v>4</v>
      </c>
      <c r="D802" s="29" t="s">
        <v>147</v>
      </c>
      <c r="E802" s="29"/>
      <c r="F802" s="29"/>
      <c r="G802" s="29"/>
      <c r="H802" s="29"/>
      <c r="I802" s="29"/>
      <c r="J802" s="29"/>
      <c r="K802" s="29"/>
      <c r="L802" s="29"/>
    </row>
    <row r="805" spans="3:12" x14ac:dyDescent="0.3">
      <c r="H805" t="s">
        <v>151</v>
      </c>
      <c r="I805" t="s">
        <v>152</v>
      </c>
    </row>
    <row r="807" spans="3:12" x14ac:dyDescent="0.3">
      <c r="E807" t="s">
        <v>133</v>
      </c>
    </row>
    <row r="812" spans="3:12" ht="15.6" x14ac:dyDescent="0.3">
      <c r="C812" s="16">
        <v>5</v>
      </c>
      <c r="D812" s="28" t="s">
        <v>148</v>
      </c>
      <c r="E812" s="29"/>
      <c r="F812" s="29"/>
      <c r="G812" s="29"/>
      <c r="H812" s="29"/>
      <c r="I812" s="29"/>
      <c r="J812" s="29"/>
      <c r="K812" s="29"/>
      <c r="L812" s="29"/>
    </row>
    <row r="814" spans="3:12" x14ac:dyDescent="0.3">
      <c r="E814" t="s">
        <v>133</v>
      </c>
      <c r="F814">
        <f>_xlfn.POISSON.DIST(15,20,FALSE)</f>
        <v>5.1648853531758354E-2</v>
      </c>
    </row>
    <row r="819" spans="3:15" ht="25.8" x14ac:dyDescent="0.5">
      <c r="D819" s="27" t="s">
        <v>153</v>
      </c>
      <c r="E819" s="27"/>
      <c r="F819" s="27"/>
      <c r="G819" s="27"/>
      <c r="H819" s="27"/>
      <c r="I819" s="27"/>
      <c r="J819" s="27"/>
      <c r="K819" s="27"/>
      <c r="L819" s="27"/>
      <c r="M819" s="27"/>
      <c r="N819" s="27"/>
      <c r="O819" s="27"/>
    </row>
    <row r="823" spans="3:15" ht="21" x14ac:dyDescent="0.4">
      <c r="C823" s="26" t="s">
        <v>154</v>
      </c>
      <c r="D823" s="26"/>
      <c r="E823" s="26"/>
      <c r="F823" s="26"/>
      <c r="G823" s="26"/>
      <c r="H823" s="26"/>
      <c r="I823" s="26"/>
    </row>
    <row r="827" spans="3:15" ht="15.6" customHeight="1" x14ac:dyDescent="0.3">
      <c r="D827" s="16">
        <v>1</v>
      </c>
      <c r="E827" s="28" t="s">
        <v>155</v>
      </c>
      <c r="F827" s="28"/>
      <c r="G827" s="28"/>
      <c r="H827" s="28"/>
      <c r="I827" s="28"/>
      <c r="J827" s="28"/>
      <c r="K827" s="28"/>
      <c r="L827" s="28"/>
      <c r="M827" s="28"/>
      <c r="N827" s="28"/>
    </row>
    <row r="830" spans="3:15" x14ac:dyDescent="0.3">
      <c r="F830" t="s">
        <v>133</v>
      </c>
      <c r="G830">
        <f>_xlfn.POISSON.DIST(3,2,FALSE)</f>
        <v>0.18044704431548364</v>
      </c>
    </row>
    <row r="833" spans="4:14" ht="15.6" x14ac:dyDescent="0.3">
      <c r="D833" s="16">
        <v>2</v>
      </c>
      <c r="E833" s="29" t="s">
        <v>156</v>
      </c>
      <c r="F833" s="29"/>
      <c r="G833" s="29"/>
      <c r="H833" s="29"/>
      <c r="I833" s="29"/>
      <c r="J833" s="29"/>
      <c r="K833" s="29"/>
      <c r="L833" s="29"/>
      <c r="M833" s="29"/>
      <c r="N833" s="29"/>
    </row>
    <row r="836" spans="4:14" x14ac:dyDescent="0.3">
      <c r="G836" t="s">
        <v>133</v>
      </c>
      <c r="H836">
        <f>_xlfn.BINOM.DIST(3,10,0.3,FALSE)</f>
        <v>0.26682793200000005</v>
      </c>
    </row>
    <row r="838" spans="4:14" ht="15.6" x14ac:dyDescent="0.3">
      <c r="D838" s="16">
        <v>3</v>
      </c>
      <c r="E838" s="29" t="s">
        <v>157</v>
      </c>
      <c r="F838" s="29"/>
      <c r="G838" s="29"/>
      <c r="H838" s="29"/>
      <c r="I838" s="29"/>
      <c r="J838" s="29"/>
      <c r="K838" s="29"/>
      <c r="L838" s="29"/>
      <c r="M838" s="29"/>
      <c r="N838" s="29"/>
    </row>
    <row r="841" spans="4:14" x14ac:dyDescent="0.3">
      <c r="G841" t="s">
        <v>133</v>
      </c>
      <c r="H841">
        <f>_xlfn.BINOM.DIST(1,3,1/6,TRUE)</f>
        <v>0.92592592592592593</v>
      </c>
    </row>
    <row r="847" spans="4:14" ht="21" x14ac:dyDescent="0.4">
      <c r="D847" s="26" t="s">
        <v>158</v>
      </c>
      <c r="E847" s="26"/>
      <c r="F847" s="26"/>
      <c r="G847" s="26"/>
      <c r="H847" s="26"/>
    </row>
    <row r="851" spans="4:14" ht="15.6" x14ac:dyDescent="0.3">
      <c r="D851" s="16">
        <v>1</v>
      </c>
      <c r="E851" s="28" t="s">
        <v>159</v>
      </c>
      <c r="F851" s="29"/>
      <c r="G851" s="29"/>
      <c r="H851" s="29"/>
      <c r="I851" s="29"/>
      <c r="J851" s="29"/>
      <c r="K851" s="29"/>
      <c r="L851" s="29"/>
      <c r="M851" s="29"/>
    </row>
    <row r="853" spans="4:14" x14ac:dyDescent="0.3">
      <c r="I853" t="s">
        <v>160</v>
      </c>
      <c r="J853" t="s">
        <v>161</v>
      </c>
    </row>
    <row r="854" spans="4:14" x14ac:dyDescent="0.3">
      <c r="I854">
        <f>_xlfn.NORM.DIST(140,150,10,TRUE)</f>
        <v>0.15865525393145699</v>
      </c>
      <c r="J854">
        <f>_xlfn.NORM.DIST(160,150,10,TRUE)</f>
        <v>0.84134474606854304</v>
      </c>
    </row>
    <row r="855" spans="4:14" x14ac:dyDescent="0.3">
      <c r="F855" t="s">
        <v>133</v>
      </c>
      <c r="G855">
        <f>J854-I854</f>
        <v>0.68268949213708607</v>
      </c>
    </row>
    <row r="859" spans="4:14" ht="15.6" x14ac:dyDescent="0.3">
      <c r="D859" s="16">
        <v>2</v>
      </c>
      <c r="E859" s="29" t="s">
        <v>162</v>
      </c>
      <c r="F859" s="29"/>
      <c r="G859" s="29"/>
      <c r="H859" s="29"/>
      <c r="I859" s="29"/>
      <c r="J859" s="29"/>
      <c r="K859" s="29"/>
      <c r="L859" s="29"/>
      <c r="M859" s="29"/>
      <c r="N859" s="29"/>
    </row>
    <row r="863" spans="4:14" x14ac:dyDescent="0.3">
      <c r="G863" t="s">
        <v>133</v>
      </c>
      <c r="H863">
        <f>_xlfn.POISSON.DIST(900,1000,FALSE)</f>
        <v>7.516954352126002E-5</v>
      </c>
    </row>
    <row r="865" spans="2:13" ht="15.6" x14ac:dyDescent="0.3">
      <c r="I865" s="5"/>
    </row>
    <row r="869" spans="2:13" ht="25.8" x14ac:dyDescent="0.5">
      <c r="D869" s="27" t="s">
        <v>149</v>
      </c>
      <c r="E869" s="27"/>
      <c r="F869" s="27"/>
      <c r="G869" s="27"/>
      <c r="H869" s="27"/>
      <c r="I869" s="27"/>
      <c r="J869" s="27"/>
      <c r="K869" s="27"/>
      <c r="L869" s="27"/>
      <c r="M869" s="27"/>
    </row>
    <row r="872" spans="2:13" ht="21" x14ac:dyDescent="0.4">
      <c r="D872" s="26" t="s">
        <v>150</v>
      </c>
      <c r="E872" s="26"/>
      <c r="F872" s="26"/>
      <c r="G872" s="26"/>
      <c r="H872" s="26"/>
    </row>
    <row r="874" spans="2:13" x14ac:dyDescent="0.3">
      <c r="E874" cm="1">
        <f t="array" aca="1" ref="E874" ca="1">B874:I895</f>
        <v>0</v>
      </c>
    </row>
    <row r="876" spans="2:13" ht="25.8" x14ac:dyDescent="0.5">
      <c r="D876" s="1">
        <v>1</v>
      </c>
      <c r="E876" s="27" t="s">
        <v>163</v>
      </c>
      <c r="F876" s="27"/>
      <c r="G876" s="27"/>
    </row>
    <row r="878" spans="2:13" x14ac:dyDescent="0.3">
      <c r="D878" s="30" t="s">
        <v>173</v>
      </c>
      <c r="E878" s="30"/>
      <c r="F878">
        <v>100</v>
      </c>
    </row>
    <row r="879" spans="2:13" x14ac:dyDescent="0.3">
      <c r="D879" s="30" t="s">
        <v>174</v>
      </c>
      <c r="E879" s="30"/>
      <c r="F879">
        <v>170</v>
      </c>
    </row>
    <row r="880" spans="2:13" ht="14.4" customHeight="1" x14ac:dyDescent="0.3">
      <c r="B880" s="31" t="s">
        <v>175</v>
      </c>
      <c r="C880" s="31"/>
      <c r="D880" s="31"/>
      <c r="E880" s="31"/>
      <c r="F880">
        <v>8</v>
      </c>
    </row>
    <row r="881" spans="4:10" x14ac:dyDescent="0.3">
      <c r="D881" s="30" t="s">
        <v>172</v>
      </c>
      <c r="E881" s="30"/>
      <c r="F881">
        <f>8/10</f>
        <v>0.8</v>
      </c>
    </row>
    <row r="884" spans="4:10" x14ac:dyDescent="0.3">
      <c r="E884" t="s">
        <v>171</v>
      </c>
      <c r="G884">
        <f>170-(1.96*0.8)</f>
        <v>168.43199999999999</v>
      </c>
      <c r="I884">
        <f>170+(1.96*0.8)</f>
        <v>171.56800000000001</v>
      </c>
    </row>
    <row r="888" spans="4:10" ht="21" x14ac:dyDescent="0.4">
      <c r="D888" s="23" t="s">
        <v>186</v>
      </c>
      <c r="E888" s="23"/>
      <c r="F888" s="23"/>
      <c r="G888" s="23"/>
      <c r="H888" s="23"/>
      <c r="I888" s="23"/>
    </row>
    <row r="891" spans="4:10" ht="25.8" x14ac:dyDescent="0.5">
      <c r="D891" s="1">
        <v>3</v>
      </c>
      <c r="E891" s="22" t="s">
        <v>163</v>
      </c>
      <c r="F891" s="22"/>
      <c r="G891" s="22"/>
      <c r="H891" s="22"/>
    </row>
    <row r="894" spans="4:10" x14ac:dyDescent="0.3">
      <c r="E894" s="11" t="s">
        <v>187</v>
      </c>
      <c r="F894" s="4" t="s">
        <v>188</v>
      </c>
      <c r="G894" s="4"/>
      <c r="H894" s="4"/>
      <c r="I894" s="4"/>
      <c r="J894" s="4"/>
    </row>
    <row r="895" spans="4:10" x14ac:dyDescent="0.3">
      <c r="E895" s="11" t="s">
        <v>189</v>
      </c>
      <c r="F895" s="4" t="s">
        <v>190</v>
      </c>
      <c r="G895" s="4"/>
      <c r="H895" s="4"/>
      <c r="I895" s="4"/>
      <c r="J895" s="4"/>
    </row>
    <row r="900" spans="4:15" ht="25.8" x14ac:dyDescent="0.5">
      <c r="D900" s="1">
        <v>4</v>
      </c>
      <c r="F900" s="22" t="s">
        <v>163</v>
      </c>
      <c r="G900" s="22"/>
      <c r="H900" s="22"/>
    </row>
    <row r="901" spans="4:15" x14ac:dyDescent="0.3">
      <c r="D901" s="11" t="s">
        <v>193</v>
      </c>
    </row>
    <row r="902" spans="4:15" x14ac:dyDescent="0.3">
      <c r="E902" s="11" t="s">
        <v>187</v>
      </c>
      <c r="F902" s="24" t="s">
        <v>191</v>
      </c>
      <c r="G902" s="24"/>
      <c r="H902" s="24"/>
      <c r="I902" s="24"/>
    </row>
    <row r="903" spans="4:15" x14ac:dyDescent="0.3">
      <c r="E903" s="11" t="s">
        <v>189</v>
      </c>
      <c r="F903" s="11" t="s">
        <v>192</v>
      </c>
      <c r="G903" s="11"/>
      <c r="H903" s="11"/>
      <c r="I903" s="11"/>
    </row>
    <row r="906" spans="4:15" x14ac:dyDescent="0.3">
      <c r="D906" s="11" t="s">
        <v>194</v>
      </c>
    </row>
    <row r="907" spans="4:15" x14ac:dyDescent="0.3">
      <c r="E907" s="24" t="s">
        <v>205</v>
      </c>
      <c r="F907" s="24"/>
      <c r="G907" s="24"/>
      <c r="H907" s="24"/>
      <c r="I907" s="24"/>
      <c r="J907" s="24"/>
      <c r="K907" s="11"/>
      <c r="L907" s="11"/>
      <c r="M907" s="11"/>
      <c r="N907" s="11"/>
      <c r="O907" s="11"/>
    </row>
    <row r="908" spans="4:15" x14ac:dyDescent="0.3">
      <c r="E908" s="11"/>
      <c r="F908" s="11"/>
      <c r="G908" s="11"/>
      <c r="H908" s="11"/>
      <c r="I908" s="11"/>
      <c r="J908" s="11"/>
      <c r="K908" s="11"/>
      <c r="L908" s="11"/>
      <c r="M908" s="11"/>
      <c r="N908" s="11"/>
      <c r="O908" s="11"/>
    </row>
    <row r="909" spans="4:15" x14ac:dyDescent="0.3">
      <c r="E909" s="11"/>
      <c r="F909" s="11"/>
      <c r="G909" s="11"/>
      <c r="H909" s="11"/>
      <c r="I909" s="11"/>
      <c r="J909" s="11"/>
      <c r="K909" s="11"/>
      <c r="L909" s="11"/>
      <c r="M909" s="11"/>
      <c r="N909" s="11"/>
      <c r="O909" s="11"/>
    </row>
    <row r="910" spans="4:15" x14ac:dyDescent="0.3">
      <c r="D910" s="11" t="s">
        <v>195</v>
      </c>
      <c r="E910" s="11"/>
      <c r="F910" s="11"/>
      <c r="G910" s="11"/>
      <c r="H910" s="11"/>
      <c r="I910" s="11"/>
      <c r="J910" s="11"/>
      <c r="K910" s="11"/>
      <c r="L910" s="11"/>
      <c r="M910" s="11"/>
      <c r="N910" s="11"/>
      <c r="O910" s="11"/>
    </row>
    <row r="911" spans="4:15" x14ac:dyDescent="0.3">
      <c r="E911" s="11" t="s">
        <v>196</v>
      </c>
      <c r="F911" s="11">
        <v>2.5</v>
      </c>
      <c r="G911" s="11"/>
      <c r="H911" s="11"/>
      <c r="I911" s="11" t="s">
        <v>197</v>
      </c>
      <c r="J911" s="25" t="s">
        <v>198</v>
      </c>
      <c r="K911" s="25"/>
      <c r="L911" s="25"/>
      <c r="M911" s="25"/>
      <c r="N911" s="11"/>
      <c r="O911" s="11"/>
    </row>
    <row r="912" spans="4:15" x14ac:dyDescent="0.3">
      <c r="E912" s="11"/>
      <c r="F912" s="11"/>
      <c r="G912" s="11"/>
      <c r="H912" s="11"/>
      <c r="I912" s="11"/>
      <c r="J912" s="11"/>
      <c r="K912" s="11"/>
      <c r="L912" s="11"/>
      <c r="M912" s="11"/>
      <c r="N912" s="11"/>
      <c r="O912" s="11"/>
    </row>
    <row r="913" spans="4:15" x14ac:dyDescent="0.3">
      <c r="E913" s="11"/>
      <c r="F913" s="11">
        <v>5</v>
      </c>
      <c r="G913" s="11"/>
      <c r="H913" s="11"/>
      <c r="I913" s="11"/>
      <c r="J913" s="11"/>
      <c r="K913" s="11"/>
      <c r="L913" s="11"/>
      <c r="M913" s="11"/>
      <c r="N913" s="11"/>
      <c r="O913" s="11"/>
    </row>
    <row r="914" spans="4:15" x14ac:dyDescent="0.3">
      <c r="E914" s="11"/>
      <c r="F914" s="11"/>
      <c r="G914" s="11"/>
      <c r="H914" s="11"/>
      <c r="I914" s="11"/>
      <c r="J914" s="11"/>
      <c r="K914" s="11"/>
      <c r="L914" s="11"/>
      <c r="M914" s="11"/>
      <c r="N914" s="11"/>
      <c r="O914" s="11"/>
    </row>
    <row r="915" spans="4:15" x14ac:dyDescent="0.3">
      <c r="D915" s="11" t="s">
        <v>199</v>
      </c>
      <c r="E915" s="11"/>
      <c r="F915" s="11"/>
      <c r="G915" s="11"/>
      <c r="H915" s="11"/>
      <c r="I915" s="11"/>
      <c r="J915" s="11"/>
      <c r="K915" s="11"/>
      <c r="L915" s="11"/>
      <c r="M915" s="11"/>
      <c r="N915" s="11"/>
      <c r="O915" s="11"/>
    </row>
    <row r="916" spans="4:15" x14ac:dyDescent="0.3">
      <c r="E916" s="25" t="s">
        <v>200</v>
      </c>
      <c r="F916" s="25"/>
      <c r="G916" s="25"/>
      <c r="H916" s="25"/>
      <c r="I916" s="25"/>
      <c r="J916" s="25"/>
      <c r="K916" s="11"/>
      <c r="L916" s="11">
        <v>1.96</v>
      </c>
      <c r="M916" s="11">
        <v>-1.96</v>
      </c>
      <c r="N916" s="11"/>
      <c r="O916" s="11"/>
    </row>
    <row r="917" spans="4:15" x14ac:dyDescent="0.3">
      <c r="E917" s="11"/>
      <c r="F917" s="11"/>
      <c r="G917" s="11"/>
      <c r="H917" s="11"/>
      <c r="I917" s="11"/>
      <c r="J917" s="11"/>
      <c r="K917" s="11"/>
      <c r="L917" s="11"/>
      <c r="M917" s="11"/>
      <c r="N917" s="11"/>
      <c r="O917" s="11"/>
    </row>
    <row r="918" spans="4:15" x14ac:dyDescent="0.3">
      <c r="E918" s="11"/>
      <c r="F918" s="11"/>
      <c r="G918" s="11"/>
      <c r="H918" s="11"/>
      <c r="I918" s="11"/>
      <c r="J918" s="11"/>
      <c r="K918" s="11"/>
      <c r="L918" s="11"/>
      <c r="M918" s="11"/>
      <c r="N918" s="11"/>
      <c r="O918" s="11"/>
    </row>
    <row r="919" spans="4:15" x14ac:dyDescent="0.3">
      <c r="E919" s="11"/>
      <c r="F919" s="11"/>
      <c r="G919" s="11"/>
      <c r="H919" s="11"/>
      <c r="I919" s="11"/>
      <c r="J919" s="11"/>
      <c r="K919" s="11"/>
      <c r="L919" s="11"/>
      <c r="M919" s="11"/>
      <c r="N919" s="11"/>
      <c r="O919" s="11"/>
    </row>
    <row r="920" spans="4:15" x14ac:dyDescent="0.3">
      <c r="D920" s="11" t="s">
        <v>201</v>
      </c>
      <c r="E920" s="11"/>
      <c r="F920" s="11"/>
      <c r="G920" s="11"/>
      <c r="H920" s="11"/>
      <c r="I920" s="11"/>
      <c r="J920" s="11"/>
      <c r="K920" s="11"/>
      <c r="L920" s="11"/>
      <c r="M920" s="11"/>
      <c r="N920" s="11"/>
      <c r="O920" s="11"/>
    </row>
    <row r="921" spans="4:15" x14ac:dyDescent="0.3">
      <c r="E921" s="25" t="s">
        <v>202</v>
      </c>
      <c r="F921" s="25"/>
      <c r="G921" s="25"/>
      <c r="H921" s="25"/>
      <c r="I921" s="25"/>
      <c r="J921" s="11"/>
      <c r="K921" s="11"/>
      <c r="L921" s="11"/>
      <c r="M921" s="11"/>
      <c r="N921" s="11"/>
      <c r="O921" s="11"/>
    </row>
    <row r="922" spans="4:15" x14ac:dyDescent="0.3">
      <c r="E922" s="11"/>
      <c r="F922" s="11"/>
      <c r="G922" s="11"/>
      <c r="H922" s="11"/>
      <c r="I922" s="11"/>
      <c r="J922" s="11"/>
      <c r="K922" s="11"/>
      <c r="L922" s="11"/>
      <c r="M922" s="11"/>
      <c r="N922" s="11"/>
      <c r="O922" s="11"/>
    </row>
    <row r="923" spans="4:15" x14ac:dyDescent="0.3">
      <c r="E923" s="11"/>
      <c r="F923" s="11"/>
      <c r="G923" s="11"/>
      <c r="H923" s="11"/>
      <c r="I923" s="11"/>
      <c r="J923" s="11"/>
      <c r="K923" s="11"/>
      <c r="L923" s="11"/>
      <c r="M923" s="11"/>
      <c r="N923" s="11"/>
      <c r="O923" s="11"/>
    </row>
    <row r="924" spans="4:15" x14ac:dyDescent="0.3">
      <c r="D924" s="11" t="s">
        <v>203</v>
      </c>
      <c r="E924" s="11"/>
      <c r="F924" s="11"/>
      <c r="G924" s="11"/>
      <c r="H924" s="11"/>
      <c r="I924" s="11"/>
      <c r="J924" s="11"/>
      <c r="K924" s="11"/>
      <c r="L924" s="11"/>
      <c r="M924" s="11"/>
      <c r="N924" s="11"/>
      <c r="O924" s="11"/>
    </row>
    <row r="925" spans="4:15" x14ac:dyDescent="0.3">
      <c r="E925" s="25" t="s">
        <v>204</v>
      </c>
      <c r="F925" s="25"/>
      <c r="G925" s="25"/>
      <c r="H925" s="25"/>
      <c r="I925" s="25"/>
      <c r="J925" s="25"/>
      <c r="K925" s="25"/>
      <c r="L925" s="25"/>
      <c r="M925" s="25"/>
      <c r="N925" s="25"/>
      <c r="O925" s="25"/>
    </row>
  </sheetData>
  <mergeCells count="79">
    <mergeCell ref="E838:N838"/>
    <mergeCell ref="D847:H847"/>
    <mergeCell ref="C246:D246"/>
    <mergeCell ref="C247:D247"/>
    <mergeCell ref="E284:F284"/>
    <mergeCell ref="C453:M453"/>
    <mergeCell ref="D780:H780"/>
    <mergeCell ref="D783:K783"/>
    <mergeCell ref="D819:O819"/>
    <mergeCell ref="C823:I823"/>
    <mergeCell ref="E827:N827"/>
    <mergeCell ref="E833:N833"/>
    <mergeCell ref="D789:L789"/>
    <mergeCell ref="D802:L802"/>
    <mergeCell ref="D812:L812"/>
    <mergeCell ref="D872:H872"/>
    <mergeCell ref="E876:G876"/>
    <mergeCell ref="E180:G180"/>
    <mergeCell ref="I191:J191"/>
    <mergeCell ref="E458:F458"/>
    <mergeCell ref="I436:K436"/>
    <mergeCell ref="M436:P436"/>
    <mergeCell ref="E334:G334"/>
    <mergeCell ref="E375:F375"/>
    <mergeCell ref="E423:G423"/>
    <mergeCell ref="E244:H244"/>
    <mergeCell ref="E88:F88"/>
    <mergeCell ref="D39:K39"/>
    <mergeCell ref="H49:I49"/>
    <mergeCell ref="E58:F58"/>
    <mergeCell ref="E73:H73"/>
    <mergeCell ref="I73:L73"/>
    <mergeCell ref="E150:F150"/>
    <mergeCell ref="H167:I167"/>
    <mergeCell ref="E105:F105"/>
    <mergeCell ref="E121:G121"/>
    <mergeCell ref="E137:G137"/>
    <mergeCell ref="E558:M558"/>
    <mergeCell ref="G469:O469"/>
    <mergeCell ref="E475:F475"/>
    <mergeCell ref="D692:L692"/>
    <mergeCell ref="E697:G697"/>
    <mergeCell ref="F534:O535"/>
    <mergeCell ref="F514:T516"/>
    <mergeCell ref="D682:E684"/>
    <mergeCell ref="E497:F497"/>
    <mergeCell ref="E517:F517"/>
    <mergeCell ref="E538:F538"/>
    <mergeCell ref="D703:J703"/>
    <mergeCell ref="E561:F561"/>
    <mergeCell ref="E588:F588"/>
    <mergeCell ref="E612:F612"/>
    <mergeCell ref="E637:F637"/>
    <mergeCell ref="E602:F604"/>
    <mergeCell ref="D627:E629"/>
    <mergeCell ref="D653:E655"/>
    <mergeCell ref="E710:G710"/>
    <mergeCell ref="D718:J718"/>
    <mergeCell ref="D721:T724"/>
    <mergeCell ref="E729:G729"/>
    <mergeCell ref="E739:M739"/>
    <mergeCell ref="D762:I762"/>
    <mergeCell ref="D767:J767"/>
    <mergeCell ref="D773:I773"/>
    <mergeCell ref="E749:M749"/>
    <mergeCell ref="C751:G751"/>
    <mergeCell ref="D753:I753"/>
    <mergeCell ref="D758:I758"/>
    <mergeCell ref="E851:M851"/>
    <mergeCell ref="E859:N859"/>
    <mergeCell ref="D869:M869"/>
    <mergeCell ref="D878:E878"/>
    <mergeCell ref="D879:E879"/>
    <mergeCell ref="D881:E881"/>
    <mergeCell ref="B880:E880"/>
    <mergeCell ref="J911:M911"/>
    <mergeCell ref="E916:J916"/>
    <mergeCell ref="E921:I921"/>
    <mergeCell ref="E925:O925"/>
  </mergeCells>
  <phoneticPr fontId="5" type="noConversion"/>
  <pageMargins left="0.7" right="0.7" top="0.75" bottom="0.75" header="0.3" footer="0.3"/>
  <pageSetup orientation="portrait" r:id="rId1"/>
  <drawing r:id="rId2"/>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1 4 v 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I 1 4 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N e L 1 c o i k e 4 D g A A A B E A A A A T A B w A R m 9 y b X V s Y X M v U 2 V j d G l v b j E u b S C i G A A o o B Q A A A A A A A A A A A A A A A A A A A A A A A A A A A A r T k 0 u y c z P U w i G 0 I b W A F B L A Q I t A B Q A A g A I A C N e L 1 d j 6 0 Y g p A A A A P Y A A A A S A A A A A A A A A A A A A A A A A A A A A A B D b 2 5 m a W c v U G F j a 2 F n Z S 5 4 b W x Q S w E C L Q A U A A I A C A A j X i 9 X D 8 r p q 6 Q A A A D p A A A A E w A A A A A A A A A A A A A A A A D w A A A A W 0 N v b n R l b n R f V H l w Z X N d L n h t b F B L A Q I t A B Q A A g A I A C N e L 1 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v c Y w v 9 6 S g S 6 d b t f F a e q A z A A A A A A I A A A A A A B B m A A A A A Q A A I A A A A M n q C o N M o p T s M L o p 2 n y P e 7 B j n 9 Q x h R l M z g s G r L k L L q P 0 A A A A A A 6 A A A A A A g A A I A A A A M C l 4 V + d O o g A a Y K W l 3 n O f Q x H 6 G a d S c 9 d o 1 v I i A f u k 6 l C U A A A A E S s b n y m e l L C o I Q c M + u 2 + W N A 2 7 z d F h r t K 9 Z z + v z H H k f J 2 b 9 w Q w t G 8 1 w c E q 2 b + U a 9 4 + x T + y N 2 A T I I 4 j a l Y z E a / c b a 7 G p N 2 4 + m x P c I z t q X J o u 1 Q A A A A F T 7 / D P X K z 9 k I I g h p 3 h p G r u D 9 4 L G S 2 r + Y o 0 Y S 3 M M E r B m k c Y n V e M y Q Q X u X R / L W + J 1 F o n P d o r s O M O b q / b A l V o O O t g = < / D a t a M a s h u p > 
</file>

<file path=customXml/itemProps1.xml><?xml version="1.0" encoding="utf-8"?>
<ds:datastoreItem xmlns:ds="http://schemas.openxmlformats.org/officeDocument/2006/customXml" ds:itemID="{EF44B028-1B18-4567-B371-9A2024D668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mehta</dc:creator>
  <cp:lastModifiedBy>vishal mehta</cp:lastModifiedBy>
  <dcterms:created xsi:type="dcterms:W3CDTF">2023-09-13T11:36:50Z</dcterms:created>
  <dcterms:modified xsi:type="dcterms:W3CDTF">2023-10-05T04:32:12Z</dcterms:modified>
</cp:coreProperties>
</file>