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Old Data\Documents\Savills VN\Projects\The Vista\Finance Report\Budget 2018\"/>
    </mc:Choice>
  </mc:AlternateContent>
  <bookViews>
    <workbookView xWindow="0" yWindow="0" windowWidth="20490" windowHeight="7310" firstSheet="2" activeTab="6"/>
  </bookViews>
  <sheets>
    <sheet name="AB" sheetId="27" r:id="rId1"/>
    <sheet name="A" sheetId="28" r:id="rId2"/>
    <sheet name="Summary 2018 - MF" sheetId="6" r:id="rId3"/>
    <sheet name="General-Budget 2018 - MF (2)" sheetId="32" state="hidden" r:id="rId4"/>
    <sheet name="Reconciliation" sheetId="31" state="hidden" r:id="rId5"/>
    <sheet name="General-Budget 2018 - MF" sheetId="1" r:id="rId6"/>
    <sheet name="Depreciation - MF" sheetId="21" r:id="rId7"/>
    <sheet name="2018-2022" sheetId="23" r:id="rId8"/>
    <sheet name="In Cash - Out Cash - MF" sheetId="26" r:id="rId9"/>
    <sheet name="Cashflow - MF" sheetId="10" r:id="rId10"/>
    <sheet name="Engineering - Breakdown - MF" sheetId="3" state="hidden" r:id="rId11"/>
    <sheet name="2017- APPROVED STAFF COST" sheetId="25" state="hidden" r:id="rId12"/>
    <sheet name="Pending not yet paid" sheetId="20" state="hidden" r:id="rId13"/>
    <sheet name="HSBC" sheetId="19" state="hidden" r:id="rId14"/>
    <sheet name="Engineering - Breakdown - SF" sheetId="4" state="hidden" r:id="rId15"/>
    <sheet name="2018-2022 SF" sheetId="24" r:id="rId16"/>
    <sheet name="B" sheetId="29" r:id="rId17"/>
    <sheet name="General-Budget 2018 - SF" sheetId="18" state="hidden" r:id="rId18"/>
    <sheet name="Allocation - SF" sheetId="12" state="hidden" r:id="rId19"/>
    <sheet name="Social Relationship" sheetId="8" state="hidden" r:id="rId20"/>
    <sheet name="Training Staffs" sheetId="9" state="hidden" r:id="rId21"/>
    <sheet name="Detail Revenue" sheetId="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s>
  <definedNames>
    <definedName name="\0" localSheetId="11">#REF!</definedName>
    <definedName name="\0" localSheetId="7">#REF!</definedName>
    <definedName name="\0" localSheetId="15">#REF!</definedName>
    <definedName name="\0" localSheetId="1">#REF!</definedName>
    <definedName name="\0" localSheetId="18">#REF!</definedName>
    <definedName name="\0" localSheetId="16">#REF!</definedName>
    <definedName name="\0" localSheetId="6">#REF!</definedName>
    <definedName name="\0" localSheetId="10">#REF!</definedName>
    <definedName name="\0" localSheetId="14">#REF!</definedName>
    <definedName name="\0" localSheetId="5">#REF!</definedName>
    <definedName name="\0" localSheetId="3">#REF!</definedName>
    <definedName name="\0" localSheetId="17">#REF!</definedName>
    <definedName name="\0" localSheetId="8">#REF!</definedName>
    <definedName name="\0" localSheetId="4">#REF!</definedName>
    <definedName name="\0" localSheetId="20">#REF!</definedName>
    <definedName name="\0">#REF!</definedName>
    <definedName name="\A" localSheetId="7">#REF!</definedName>
    <definedName name="\A" localSheetId="15">#REF!</definedName>
    <definedName name="\A" localSheetId="1">#REF!</definedName>
    <definedName name="\A" localSheetId="18">#REF!</definedName>
    <definedName name="\A" localSheetId="16">#REF!</definedName>
    <definedName name="\A" localSheetId="6">#REF!</definedName>
    <definedName name="\A" localSheetId="10">#REF!</definedName>
    <definedName name="\A" localSheetId="14">#REF!</definedName>
    <definedName name="\A" localSheetId="5">#REF!</definedName>
    <definedName name="\A" localSheetId="3">#REF!</definedName>
    <definedName name="\A" localSheetId="17">#REF!</definedName>
    <definedName name="\A" localSheetId="8">#REF!</definedName>
    <definedName name="\A" localSheetId="4">#REF!</definedName>
    <definedName name="\A" localSheetId="20">#REF!</definedName>
    <definedName name="\A">#REF!</definedName>
    <definedName name="\B" localSheetId="7">#REF!</definedName>
    <definedName name="\B" localSheetId="15">#REF!</definedName>
    <definedName name="\B" localSheetId="1">#REF!</definedName>
    <definedName name="\B" localSheetId="18">#REF!</definedName>
    <definedName name="\B" localSheetId="16">#REF!</definedName>
    <definedName name="\B" localSheetId="6">#REF!</definedName>
    <definedName name="\B" localSheetId="10">#REF!</definedName>
    <definedName name="\B" localSheetId="14">#REF!</definedName>
    <definedName name="\B" localSheetId="5">#REF!</definedName>
    <definedName name="\B" localSheetId="3">#REF!</definedName>
    <definedName name="\B" localSheetId="17">#REF!</definedName>
    <definedName name="\B" localSheetId="8">#REF!</definedName>
    <definedName name="\B" localSheetId="4">#REF!</definedName>
    <definedName name="\B" localSheetId="20">#REF!</definedName>
    <definedName name="\B">#REF!</definedName>
    <definedName name="\M" localSheetId="11">#REF!</definedName>
    <definedName name="\M" localSheetId="7">#REF!</definedName>
    <definedName name="\M" localSheetId="15">#REF!</definedName>
    <definedName name="\M" localSheetId="1">#REF!</definedName>
    <definedName name="\M" localSheetId="18">#REF!</definedName>
    <definedName name="\M" localSheetId="16">#REF!</definedName>
    <definedName name="\M" localSheetId="6">#REF!</definedName>
    <definedName name="\M" localSheetId="10">#REF!</definedName>
    <definedName name="\M" localSheetId="14">#REF!</definedName>
    <definedName name="\M" localSheetId="5">#REF!</definedName>
    <definedName name="\M" localSheetId="3">#REF!</definedName>
    <definedName name="\M" localSheetId="17">#REF!</definedName>
    <definedName name="\M" localSheetId="8">#REF!</definedName>
    <definedName name="\M" localSheetId="4">#REF!</definedName>
    <definedName name="\M" localSheetId="20">#REF!</definedName>
    <definedName name="\M">#REF!</definedName>
    <definedName name="\R" localSheetId="7">#REF!</definedName>
    <definedName name="\R" localSheetId="15">#REF!</definedName>
    <definedName name="\R" localSheetId="1">#REF!</definedName>
    <definedName name="\R" localSheetId="18">#REF!</definedName>
    <definedName name="\R" localSheetId="16">#REF!</definedName>
    <definedName name="\R" localSheetId="6">#REF!</definedName>
    <definedName name="\R" localSheetId="10">#REF!</definedName>
    <definedName name="\R" localSheetId="14">#REF!</definedName>
    <definedName name="\R" localSheetId="5">#REF!</definedName>
    <definedName name="\R" localSheetId="3">#REF!</definedName>
    <definedName name="\R" localSheetId="17">#REF!</definedName>
    <definedName name="\R" localSheetId="8">#REF!</definedName>
    <definedName name="\R" localSheetId="4">#REF!</definedName>
    <definedName name="\R" localSheetId="20">#REF!</definedName>
    <definedName name="\R">#REF!</definedName>
    <definedName name="\Z" localSheetId="7">#REF!</definedName>
    <definedName name="\Z" localSheetId="15">#REF!</definedName>
    <definedName name="\Z" localSheetId="1">#REF!</definedName>
    <definedName name="\Z" localSheetId="18">#REF!</definedName>
    <definedName name="\Z" localSheetId="16">#REF!</definedName>
    <definedName name="\Z" localSheetId="6">#REF!</definedName>
    <definedName name="\Z" localSheetId="10">#REF!</definedName>
    <definedName name="\Z" localSheetId="14">#REF!</definedName>
    <definedName name="\Z" localSheetId="5">#REF!</definedName>
    <definedName name="\Z" localSheetId="3">#REF!</definedName>
    <definedName name="\Z" localSheetId="17">#REF!</definedName>
    <definedName name="\Z" localSheetId="8">#REF!</definedName>
    <definedName name="\Z" localSheetId="4">#REF!</definedName>
    <definedName name="\Z" localSheetId="20">#REF!</definedName>
    <definedName name="\Z">#REF!</definedName>
    <definedName name="_">"$#REF!.$#REF!$#REF!"</definedName>
    <definedName name="__.nocal.__" localSheetId="7">#REF!</definedName>
    <definedName name="__.nocal.__" localSheetId="15">#REF!</definedName>
    <definedName name="__.nocal.__" localSheetId="1">#REF!</definedName>
    <definedName name="__.nocal.__" localSheetId="18">#REF!</definedName>
    <definedName name="__.nocal.__" localSheetId="16">#REF!</definedName>
    <definedName name="__.nocal.__" localSheetId="6">#REF!</definedName>
    <definedName name="__.nocal.__" localSheetId="10">#REF!</definedName>
    <definedName name="__.nocal.__" localSheetId="14">#REF!</definedName>
    <definedName name="__.nocal.__" localSheetId="5">#REF!</definedName>
    <definedName name="__.nocal.__" localSheetId="3">#REF!</definedName>
    <definedName name="__.nocal.__" localSheetId="17">#REF!</definedName>
    <definedName name="__.nocal.__" localSheetId="8">#REF!</definedName>
    <definedName name="__.nocal.__" localSheetId="4">#REF!</definedName>
    <definedName name="__.nocal.__" localSheetId="20">#REF!</definedName>
    <definedName name="__.nocal.__">#REF!</definedName>
    <definedName name="___________tsc2" localSheetId="7">#REF!</definedName>
    <definedName name="___________tsc2" localSheetId="15">#REF!</definedName>
    <definedName name="___________tsc2" localSheetId="1">#REF!</definedName>
    <definedName name="___________tsc2" localSheetId="18">#REF!</definedName>
    <definedName name="___________tsc2" localSheetId="16">#REF!</definedName>
    <definedName name="___________tsc2" localSheetId="6">#REF!</definedName>
    <definedName name="___________tsc2" localSheetId="5">#REF!</definedName>
    <definedName name="___________tsc2" localSheetId="3">#REF!</definedName>
    <definedName name="___________tsc2" localSheetId="17">#REF!</definedName>
    <definedName name="___________tsc2" localSheetId="8">#REF!</definedName>
    <definedName name="___________tsc2" localSheetId="4">#REF!</definedName>
    <definedName name="___________tsc2" localSheetId="20">#REF!</definedName>
    <definedName name="___________tsc2">#REF!</definedName>
    <definedName name="__________tsc2" localSheetId="7">#REF!</definedName>
    <definedName name="__________tsc2" localSheetId="15">#REF!</definedName>
    <definedName name="__________tsc2" localSheetId="1">#REF!</definedName>
    <definedName name="__________tsc2" localSheetId="18">#REF!</definedName>
    <definedName name="__________tsc2" localSheetId="16">#REF!</definedName>
    <definedName name="__________tsc2" localSheetId="6">#REF!</definedName>
    <definedName name="__________tsc2" localSheetId="5">#REF!</definedName>
    <definedName name="__________tsc2" localSheetId="3">#REF!</definedName>
    <definedName name="__________tsc2" localSheetId="17">#REF!</definedName>
    <definedName name="__________tsc2" localSheetId="8">#REF!</definedName>
    <definedName name="__________tsc2" localSheetId="4">#REF!</definedName>
    <definedName name="__________tsc2" localSheetId="20">#REF!</definedName>
    <definedName name="__________tsc2">#REF!</definedName>
    <definedName name="________tsc2" localSheetId="7">#REF!</definedName>
    <definedName name="________tsc2" localSheetId="15">#REF!</definedName>
    <definedName name="________tsc2" localSheetId="1">#REF!</definedName>
    <definedName name="________tsc2" localSheetId="18">#REF!</definedName>
    <definedName name="________tsc2" localSheetId="16">#REF!</definedName>
    <definedName name="________tsc2" localSheetId="6">#REF!</definedName>
    <definedName name="________tsc2" localSheetId="5">#REF!</definedName>
    <definedName name="________tsc2" localSheetId="3">#REF!</definedName>
    <definedName name="________tsc2" localSheetId="17">#REF!</definedName>
    <definedName name="________tsc2" localSheetId="8">#REF!</definedName>
    <definedName name="________tsc2" localSheetId="4">#REF!</definedName>
    <definedName name="________tsc2" localSheetId="20">#REF!</definedName>
    <definedName name="________tsc2">#REF!</definedName>
    <definedName name="______tsc2" localSheetId="7">#REF!</definedName>
    <definedName name="______tsc2" localSheetId="15">#REF!</definedName>
    <definedName name="______tsc2" localSheetId="1">#REF!</definedName>
    <definedName name="______tsc2" localSheetId="18">#REF!</definedName>
    <definedName name="______tsc2" localSheetId="16">#REF!</definedName>
    <definedName name="______tsc2" localSheetId="6">#REF!</definedName>
    <definedName name="______tsc2" localSheetId="5">#REF!</definedName>
    <definedName name="______tsc2" localSheetId="3">#REF!</definedName>
    <definedName name="______tsc2" localSheetId="17">#REF!</definedName>
    <definedName name="______tsc2" localSheetId="8">#REF!</definedName>
    <definedName name="______tsc2" localSheetId="4">#REF!</definedName>
    <definedName name="______tsc2" localSheetId="20">#REF!</definedName>
    <definedName name="______tsc2">#REF!</definedName>
    <definedName name="_____TK632" localSheetId="7">'[1]HD-XUAT'!#REF!</definedName>
    <definedName name="_____TK632" localSheetId="15">'[1]HD-XUAT'!#REF!</definedName>
    <definedName name="_____TK632" localSheetId="1">'[1]HD-XUAT'!#REF!</definedName>
    <definedName name="_____TK632" localSheetId="18">'[1]HD-XUAT'!#REF!</definedName>
    <definedName name="_____TK632" localSheetId="16">'[1]HD-XUAT'!#REF!</definedName>
    <definedName name="_____TK632" localSheetId="6">'[1]HD-XUAT'!#REF!</definedName>
    <definedName name="_____TK632" localSheetId="5">'[1]HD-XUAT'!#REF!</definedName>
    <definedName name="_____TK632" localSheetId="3">'[1]HD-XUAT'!#REF!</definedName>
    <definedName name="_____TK632" localSheetId="17">'[1]HD-XUAT'!#REF!</definedName>
    <definedName name="_____TK632" localSheetId="8">'[1]HD-XUAT'!#REF!</definedName>
    <definedName name="_____TK632" localSheetId="4">'[1]HD-XUAT'!#REF!</definedName>
    <definedName name="_____TK632" localSheetId="20">'[1]HD-XUAT'!#REF!</definedName>
    <definedName name="_____TK632">'[1]HD-XUAT'!#REF!</definedName>
    <definedName name="_____TK641" localSheetId="7">'[1]HD-XUAT'!#REF!</definedName>
    <definedName name="_____TK641" localSheetId="15">'[1]HD-XUAT'!#REF!</definedName>
    <definedName name="_____TK641" localSheetId="1">'[1]HD-XUAT'!#REF!</definedName>
    <definedName name="_____TK641" localSheetId="18">'[1]HD-XUAT'!#REF!</definedName>
    <definedName name="_____TK641" localSheetId="16">'[1]HD-XUAT'!#REF!</definedName>
    <definedName name="_____TK641" localSheetId="6">'[1]HD-XUAT'!#REF!</definedName>
    <definedName name="_____TK641" localSheetId="5">'[1]HD-XUAT'!#REF!</definedName>
    <definedName name="_____TK641" localSheetId="3">'[1]HD-XUAT'!#REF!</definedName>
    <definedName name="_____TK641" localSheetId="17">'[1]HD-XUAT'!#REF!</definedName>
    <definedName name="_____TK641" localSheetId="8">'[1]HD-XUAT'!#REF!</definedName>
    <definedName name="_____TK641" localSheetId="4">'[1]HD-XUAT'!#REF!</definedName>
    <definedName name="_____TK641" localSheetId="20">'[1]HD-XUAT'!#REF!</definedName>
    <definedName name="_____TK641">'[1]HD-XUAT'!#REF!</definedName>
    <definedName name="_____TK642" localSheetId="7">'[1]HD-XUAT'!#REF!</definedName>
    <definedName name="_____TK642" localSheetId="15">'[1]HD-XUAT'!#REF!</definedName>
    <definedName name="_____TK642" localSheetId="1">'[1]HD-XUAT'!#REF!</definedName>
    <definedName name="_____TK642" localSheetId="18">'[1]HD-XUAT'!#REF!</definedName>
    <definedName name="_____TK642" localSheetId="16">'[1]HD-XUAT'!#REF!</definedName>
    <definedName name="_____TK642" localSheetId="6">'[1]HD-XUAT'!#REF!</definedName>
    <definedName name="_____TK642" localSheetId="5">'[1]HD-XUAT'!#REF!</definedName>
    <definedName name="_____TK642" localSheetId="3">'[1]HD-XUAT'!#REF!</definedName>
    <definedName name="_____TK642" localSheetId="17">'[1]HD-XUAT'!#REF!</definedName>
    <definedName name="_____TK642" localSheetId="8">'[1]HD-XUAT'!#REF!</definedName>
    <definedName name="_____TK642" localSheetId="4">'[1]HD-XUAT'!#REF!</definedName>
    <definedName name="_____TK642" localSheetId="20">'[1]HD-XUAT'!#REF!</definedName>
    <definedName name="_____TK642">'[1]HD-XUAT'!#REF!</definedName>
    <definedName name="_____TK911" localSheetId="7">'[1]HD-XUAT'!#REF!</definedName>
    <definedName name="_____TK911" localSheetId="15">'[1]HD-XUAT'!#REF!</definedName>
    <definedName name="_____TK911" localSheetId="1">'[1]HD-XUAT'!#REF!</definedName>
    <definedName name="_____TK911" localSheetId="18">'[1]HD-XUAT'!#REF!</definedName>
    <definedName name="_____TK911" localSheetId="16">'[1]HD-XUAT'!#REF!</definedName>
    <definedName name="_____TK911" localSheetId="6">'[1]HD-XUAT'!#REF!</definedName>
    <definedName name="_____TK911" localSheetId="5">'[1]HD-XUAT'!#REF!</definedName>
    <definedName name="_____TK911" localSheetId="3">'[1]HD-XUAT'!#REF!</definedName>
    <definedName name="_____TK911" localSheetId="17">'[1]HD-XUAT'!#REF!</definedName>
    <definedName name="_____TK911" localSheetId="8">'[1]HD-XUAT'!#REF!</definedName>
    <definedName name="_____TK911" localSheetId="4">'[1]HD-XUAT'!#REF!</definedName>
    <definedName name="_____TK911" localSheetId="20">'[1]HD-XUAT'!#REF!</definedName>
    <definedName name="_____TK911">'[1]HD-XUAT'!#REF!</definedName>
    <definedName name="____Amt1" localSheetId="7">#REF!</definedName>
    <definedName name="____Amt1" localSheetId="15">#REF!</definedName>
    <definedName name="____Amt1" localSheetId="1">#REF!</definedName>
    <definedName name="____Amt1" localSheetId="18">#REF!</definedName>
    <definedName name="____Amt1" localSheetId="16">#REF!</definedName>
    <definedName name="____Amt1" localSheetId="6">#REF!</definedName>
    <definedName name="____Amt1" localSheetId="5">#REF!</definedName>
    <definedName name="____Amt1" localSheetId="3">#REF!</definedName>
    <definedName name="____Amt1" localSheetId="17">#REF!</definedName>
    <definedName name="____Amt1" localSheetId="8">#REF!</definedName>
    <definedName name="____Amt1" localSheetId="4">#REF!</definedName>
    <definedName name="____Amt1" localSheetId="20">#REF!</definedName>
    <definedName name="____Amt1">#REF!</definedName>
    <definedName name="____TK632" localSheetId="11">'[2]HD-XUAT'!#REF!</definedName>
    <definedName name="____TK632" localSheetId="7">'[3]HD-XUAT'!#REF!</definedName>
    <definedName name="____TK632" localSheetId="15">'[3]HD-XUAT'!#REF!</definedName>
    <definedName name="____TK632" localSheetId="1">'[3]HD-XUAT'!#REF!</definedName>
    <definedName name="____TK632" localSheetId="18">'[3]HD-XUAT'!#REF!</definedName>
    <definedName name="____TK632" localSheetId="16">'[3]HD-XUAT'!#REF!</definedName>
    <definedName name="____TK632" localSheetId="6">'[3]HD-XUAT'!#REF!</definedName>
    <definedName name="____TK632" localSheetId="14">'[3]HD-XUAT'!#REF!</definedName>
    <definedName name="____TK632" localSheetId="5">'[3]HD-XUAT'!#REF!</definedName>
    <definedName name="____TK632" localSheetId="3">'[3]HD-XUAT'!#REF!</definedName>
    <definedName name="____TK632" localSheetId="17">'[3]HD-XUAT'!#REF!</definedName>
    <definedName name="____TK632" localSheetId="8">'[3]HD-XUAT'!#REF!</definedName>
    <definedName name="____TK632" localSheetId="4">'[3]HD-XUAT'!#REF!</definedName>
    <definedName name="____TK632" localSheetId="20">'[3]HD-XUAT'!#REF!</definedName>
    <definedName name="____TK632">'[3]HD-XUAT'!#REF!</definedName>
    <definedName name="____TK641" localSheetId="11">'[2]HD-XUAT'!#REF!</definedName>
    <definedName name="____TK641" localSheetId="7">'[3]HD-XUAT'!#REF!</definedName>
    <definedName name="____TK641" localSheetId="15">'[3]HD-XUAT'!#REF!</definedName>
    <definedName name="____TK641" localSheetId="1">'[3]HD-XUAT'!#REF!</definedName>
    <definedName name="____TK641" localSheetId="18">'[3]HD-XUAT'!#REF!</definedName>
    <definedName name="____TK641" localSheetId="16">'[3]HD-XUAT'!#REF!</definedName>
    <definedName name="____TK641" localSheetId="6">'[3]HD-XUAT'!#REF!</definedName>
    <definedName name="____TK641" localSheetId="14">'[3]HD-XUAT'!#REF!</definedName>
    <definedName name="____TK641" localSheetId="5">'[3]HD-XUAT'!#REF!</definedName>
    <definedName name="____TK641" localSheetId="3">'[3]HD-XUAT'!#REF!</definedName>
    <definedName name="____TK641" localSheetId="17">'[3]HD-XUAT'!#REF!</definedName>
    <definedName name="____TK641" localSheetId="8">'[3]HD-XUAT'!#REF!</definedName>
    <definedName name="____TK641" localSheetId="4">'[3]HD-XUAT'!#REF!</definedName>
    <definedName name="____TK641" localSheetId="20">'[3]HD-XUAT'!#REF!</definedName>
    <definedName name="____TK641">'[3]HD-XUAT'!#REF!</definedName>
    <definedName name="____TK642" localSheetId="11">'[2]HD-XUAT'!#REF!</definedName>
    <definedName name="____TK642" localSheetId="7">'[3]HD-XUAT'!#REF!</definedName>
    <definedName name="____TK642" localSheetId="15">'[3]HD-XUAT'!#REF!</definedName>
    <definedName name="____TK642" localSheetId="1">'[3]HD-XUAT'!#REF!</definedName>
    <definedName name="____TK642" localSheetId="18">'[3]HD-XUAT'!#REF!</definedName>
    <definedName name="____TK642" localSheetId="16">'[3]HD-XUAT'!#REF!</definedName>
    <definedName name="____TK642" localSheetId="6">'[3]HD-XUAT'!#REF!</definedName>
    <definedName name="____TK642" localSheetId="14">'[3]HD-XUAT'!#REF!</definedName>
    <definedName name="____TK642" localSheetId="5">'[3]HD-XUAT'!#REF!</definedName>
    <definedName name="____TK642" localSheetId="3">'[3]HD-XUAT'!#REF!</definedName>
    <definedName name="____TK642" localSheetId="17">'[3]HD-XUAT'!#REF!</definedName>
    <definedName name="____TK642" localSheetId="8">'[3]HD-XUAT'!#REF!</definedName>
    <definedName name="____TK642" localSheetId="4">'[3]HD-XUAT'!#REF!</definedName>
    <definedName name="____TK642" localSheetId="20">'[3]HD-XUAT'!#REF!</definedName>
    <definedName name="____TK642">'[3]HD-XUAT'!#REF!</definedName>
    <definedName name="____TK911" localSheetId="11">'[2]HD-XUAT'!#REF!</definedName>
    <definedName name="____TK911" localSheetId="7">'[3]HD-XUAT'!#REF!</definedName>
    <definedName name="____TK911" localSheetId="15">'[3]HD-XUAT'!#REF!</definedName>
    <definedName name="____TK911" localSheetId="1">'[3]HD-XUAT'!#REF!</definedName>
    <definedName name="____TK911" localSheetId="18">'[3]HD-XUAT'!#REF!</definedName>
    <definedName name="____TK911" localSheetId="16">'[3]HD-XUAT'!#REF!</definedName>
    <definedName name="____TK911" localSheetId="6">'[3]HD-XUAT'!#REF!</definedName>
    <definedName name="____TK911" localSheetId="14">'[3]HD-XUAT'!#REF!</definedName>
    <definedName name="____TK911" localSheetId="5">'[3]HD-XUAT'!#REF!</definedName>
    <definedName name="____TK911" localSheetId="3">'[3]HD-XUAT'!#REF!</definedName>
    <definedName name="____TK911" localSheetId="17">'[3]HD-XUAT'!#REF!</definedName>
    <definedName name="____TK911" localSheetId="8">'[3]HD-XUAT'!#REF!</definedName>
    <definedName name="____TK911" localSheetId="4">'[3]HD-XUAT'!#REF!</definedName>
    <definedName name="____TK911" localSheetId="20">'[3]HD-XUAT'!#REF!</definedName>
    <definedName name="____TK911">'[3]HD-XUAT'!#REF!</definedName>
    <definedName name="____tsc2" localSheetId="7">#REF!</definedName>
    <definedName name="____tsc2" localSheetId="15">#REF!</definedName>
    <definedName name="____tsc2" localSheetId="1">#REF!</definedName>
    <definedName name="____tsc2" localSheetId="18">#REF!</definedName>
    <definedName name="____tsc2" localSheetId="16">#REF!</definedName>
    <definedName name="____tsc2" localSheetId="6">#REF!</definedName>
    <definedName name="____tsc2" localSheetId="5">#REF!</definedName>
    <definedName name="____tsc2" localSheetId="3">#REF!</definedName>
    <definedName name="____tsc2" localSheetId="17">#REF!</definedName>
    <definedName name="____tsc2" localSheetId="8">#REF!</definedName>
    <definedName name="____tsc2" localSheetId="4">#REF!</definedName>
    <definedName name="____tsc2" localSheetId="20">#REF!</definedName>
    <definedName name="____tsc2">#REF!</definedName>
    <definedName name="___lb21" localSheetId="5">[4]BangLuongMOI!$G$11</definedName>
    <definedName name="___lb21" localSheetId="3">[4]BangLuongMOI!$G$11</definedName>
    <definedName name="___lb21" localSheetId="17">[4]BangLuongMOI!$G$11</definedName>
    <definedName name="___lb21" localSheetId="8">[4]BangLuongMOI!$G$11</definedName>
    <definedName name="___lb21">[4]BangLuongMOI!$G$11</definedName>
    <definedName name="___lb25" localSheetId="5">[5]BangLuongMOI!$G$15</definedName>
    <definedName name="___lb25" localSheetId="3">[5]BangLuongMOI!$G$15</definedName>
    <definedName name="___lb25" localSheetId="17">[5]BangLuongMOI!$G$15</definedName>
    <definedName name="___lb25" localSheetId="8">[5]BangLuongMOI!$G$15</definedName>
    <definedName name="___lb25">[5]BangLuongMOI!$G$15</definedName>
    <definedName name="___lb31" localSheetId="5">[4]BangLuongMOI!$G$17</definedName>
    <definedName name="___lb31" localSheetId="3">[4]BangLuongMOI!$G$17</definedName>
    <definedName name="___lb31" localSheetId="17">[4]BangLuongMOI!$G$17</definedName>
    <definedName name="___lb31" localSheetId="8">[4]BangLuongMOI!$G$17</definedName>
    <definedName name="___lb31">[4]BangLuongMOI!$G$17</definedName>
    <definedName name="___lb35" localSheetId="5">[5]BangLuongMOI!$G$21</definedName>
    <definedName name="___lb35" localSheetId="3">[5]BangLuongMOI!$G$21</definedName>
    <definedName name="___lb35" localSheetId="17">[5]BangLuongMOI!$G$21</definedName>
    <definedName name="___lb35" localSheetId="8">[5]BangLuongMOI!$G$21</definedName>
    <definedName name="___lb35">[5]BangLuongMOI!$G$21</definedName>
    <definedName name="___lb41" localSheetId="5">[5]BangLuongMOI!$G$23</definedName>
    <definedName name="___lb41" localSheetId="3">[5]BangLuongMOI!$G$23</definedName>
    <definedName name="___lb41" localSheetId="17">[5]BangLuongMOI!$G$23</definedName>
    <definedName name="___lb41" localSheetId="8">[5]BangLuongMOI!$G$23</definedName>
    <definedName name="___lb41">[5]BangLuongMOI!$G$23</definedName>
    <definedName name="___lb45" localSheetId="5">[4]BangLuongMOI!$G$27</definedName>
    <definedName name="___lb45" localSheetId="3">[4]BangLuongMOI!$G$27</definedName>
    <definedName name="___lb45" localSheetId="17">[4]BangLuongMOI!$G$27</definedName>
    <definedName name="___lb45" localSheetId="8">[4]BangLuongMOI!$G$27</definedName>
    <definedName name="___lb45">[4]BangLuongMOI!$G$27</definedName>
    <definedName name="___lc21" localSheetId="5">[4]BangLuongMOI!$K$11</definedName>
    <definedName name="___lc21" localSheetId="3">[4]BangLuongMOI!$K$11</definedName>
    <definedName name="___lc21" localSheetId="17">[4]BangLuongMOI!$K$11</definedName>
    <definedName name="___lc21" localSheetId="8">[4]BangLuongMOI!$K$11</definedName>
    <definedName name="___lc21">[4]BangLuongMOI!$K$11</definedName>
    <definedName name="___lc25" localSheetId="5">[5]BangLuongMOI!$K$15</definedName>
    <definedName name="___lc25" localSheetId="3">[5]BangLuongMOI!$K$15</definedName>
    <definedName name="___lc25" localSheetId="17">[5]BangLuongMOI!$K$15</definedName>
    <definedName name="___lc25" localSheetId="8">[5]BangLuongMOI!$K$15</definedName>
    <definedName name="___lc25">[5]BangLuongMOI!$K$15</definedName>
    <definedName name="___LC31" localSheetId="5">[4]BangLuongMOI!$K$17</definedName>
    <definedName name="___LC31" localSheetId="3">[4]BangLuongMOI!$K$17</definedName>
    <definedName name="___LC31" localSheetId="17">[4]BangLuongMOI!$K$17</definedName>
    <definedName name="___LC31" localSheetId="8">[4]BangLuongMOI!$K$17</definedName>
    <definedName name="___LC31">[4]BangLuongMOI!$K$17</definedName>
    <definedName name="___Lc35" localSheetId="5">[4]BangLuongMOI!$K$21</definedName>
    <definedName name="___Lc35" localSheetId="3">[4]BangLuongMOI!$K$21</definedName>
    <definedName name="___Lc35" localSheetId="17">[4]BangLuongMOI!$K$21</definedName>
    <definedName name="___Lc35" localSheetId="8">[4]BangLuongMOI!$K$21</definedName>
    <definedName name="___Lc35">[4]BangLuongMOI!$K$21</definedName>
    <definedName name="___lc41" localSheetId="5">[5]BangLuongMOI!$K$23</definedName>
    <definedName name="___lc41" localSheetId="3">[5]BangLuongMOI!$K$23</definedName>
    <definedName name="___lc41" localSheetId="17">[5]BangLuongMOI!$K$23</definedName>
    <definedName name="___lc41" localSheetId="8">[5]BangLuongMOI!$K$23</definedName>
    <definedName name="___lc41">[5]BangLuongMOI!$K$23</definedName>
    <definedName name="___lc45" localSheetId="5">[4]BangLuongMOI!$K$27</definedName>
    <definedName name="___lc45" localSheetId="3">[4]BangLuongMOI!$K$27</definedName>
    <definedName name="___lc45" localSheetId="17">[4]BangLuongMOI!$K$27</definedName>
    <definedName name="___lc45" localSheetId="8">[4]BangLuongMOI!$K$27</definedName>
    <definedName name="___lc45">[4]BangLuongMOI!$K$27</definedName>
    <definedName name="___lc51" localSheetId="5">[5]BangLuongMOI!$K$29</definedName>
    <definedName name="___lc51" localSheetId="3">[5]BangLuongMOI!$K$29</definedName>
    <definedName name="___lc51" localSheetId="17">[5]BangLuongMOI!$K$29</definedName>
    <definedName name="___lc51" localSheetId="8">[5]BangLuongMOI!$K$29</definedName>
    <definedName name="___lc51">[5]BangLuongMOI!$K$29</definedName>
    <definedName name="___LD11" localSheetId="7">#REF!</definedName>
    <definedName name="___LD11" localSheetId="15">#REF!</definedName>
    <definedName name="___LD11" localSheetId="1">#REF!</definedName>
    <definedName name="___LD11" localSheetId="18">#REF!</definedName>
    <definedName name="___LD11" localSheetId="16">#REF!</definedName>
    <definedName name="___LD11" localSheetId="6">#REF!</definedName>
    <definedName name="___LD11" localSheetId="5">#REF!</definedName>
    <definedName name="___LD11" localSheetId="3">#REF!</definedName>
    <definedName name="___LD11" localSheetId="17">#REF!</definedName>
    <definedName name="___LD11" localSheetId="8">#REF!</definedName>
    <definedName name="___LD11" localSheetId="4">#REF!</definedName>
    <definedName name="___LD11" localSheetId="20">#REF!</definedName>
    <definedName name="___LD11">#REF!</definedName>
    <definedName name="___LD15" localSheetId="7">#REF!</definedName>
    <definedName name="___LD15" localSheetId="15">#REF!</definedName>
    <definedName name="___LD15" localSheetId="1">#REF!</definedName>
    <definedName name="___LD15" localSheetId="18">#REF!</definedName>
    <definedName name="___LD15" localSheetId="16">#REF!</definedName>
    <definedName name="___LD15" localSheetId="6">#REF!</definedName>
    <definedName name="___LD15" localSheetId="5">#REF!</definedName>
    <definedName name="___LD15" localSheetId="3">#REF!</definedName>
    <definedName name="___LD15" localSheetId="17">#REF!</definedName>
    <definedName name="___LD15" localSheetId="8">#REF!</definedName>
    <definedName name="___LD15" localSheetId="4">#REF!</definedName>
    <definedName name="___LD15" localSheetId="20">#REF!</definedName>
    <definedName name="___LD15">#REF!</definedName>
    <definedName name="___LD21" localSheetId="7">#REF!</definedName>
    <definedName name="___LD21" localSheetId="15">#REF!</definedName>
    <definedName name="___LD21" localSheetId="1">#REF!</definedName>
    <definedName name="___LD21" localSheetId="18">#REF!</definedName>
    <definedName name="___LD21" localSheetId="16">#REF!</definedName>
    <definedName name="___LD21" localSheetId="6">#REF!</definedName>
    <definedName name="___LD21" localSheetId="5">#REF!</definedName>
    <definedName name="___LD21" localSheetId="3">#REF!</definedName>
    <definedName name="___LD21" localSheetId="17">#REF!</definedName>
    <definedName name="___LD21" localSheetId="8">#REF!</definedName>
    <definedName name="___LD21" localSheetId="4">#REF!</definedName>
    <definedName name="___LD21" localSheetId="20">#REF!</definedName>
    <definedName name="___LD21">#REF!</definedName>
    <definedName name="___ld22" localSheetId="7">#REF!</definedName>
    <definedName name="___ld22" localSheetId="15">#REF!</definedName>
    <definedName name="___ld22" localSheetId="1">#REF!</definedName>
    <definedName name="___ld22" localSheetId="18">#REF!</definedName>
    <definedName name="___ld22" localSheetId="16">#REF!</definedName>
    <definedName name="___ld22" localSheetId="6">#REF!</definedName>
    <definedName name="___ld22" localSheetId="5">#REF!</definedName>
    <definedName name="___ld22" localSheetId="3">#REF!</definedName>
    <definedName name="___ld22" localSheetId="17">#REF!</definedName>
    <definedName name="___ld22" localSheetId="8">#REF!</definedName>
    <definedName name="___ld22" localSheetId="4">#REF!</definedName>
    <definedName name="___ld22" localSheetId="20">#REF!</definedName>
    <definedName name="___ld22">#REF!</definedName>
    <definedName name="___ld23" localSheetId="7">#REF!</definedName>
    <definedName name="___ld23" localSheetId="15">#REF!</definedName>
    <definedName name="___ld23" localSheetId="1">#REF!</definedName>
    <definedName name="___ld23" localSheetId="18">#REF!</definedName>
    <definedName name="___ld23" localSheetId="16">#REF!</definedName>
    <definedName name="___ld23" localSheetId="6">#REF!</definedName>
    <definedName name="___ld23" localSheetId="5">#REF!</definedName>
    <definedName name="___ld23" localSheetId="3">#REF!</definedName>
    <definedName name="___ld23" localSheetId="17">#REF!</definedName>
    <definedName name="___ld23" localSheetId="8">#REF!</definedName>
    <definedName name="___ld23" localSheetId="4">#REF!</definedName>
    <definedName name="___ld23" localSheetId="20">#REF!</definedName>
    <definedName name="___ld23">#REF!</definedName>
    <definedName name="___LD25" localSheetId="7">#REF!</definedName>
    <definedName name="___LD25" localSheetId="15">#REF!</definedName>
    <definedName name="___LD25" localSheetId="1">#REF!</definedName>
    <definedName name="___LD25" localSheetId="18">#REF!</definedName>
    <definedName name="___LD25" localSheetId="16">#REF!</definedName>
    <definedName name="___LD25" localSheetId="6">#REF!</definedName>
    <definedName name="___LD25" localSheetId="5">#REF!</definedName>
    <definedName name="___LD25" localSheetId="3">#REF!</definedName>
    <definedName name="___LD25" localSheetId="17">#REF!</definedName>
    <definedName name="___LD25" localSheetId="8">#REF!</definedName>
    <definedName name="___LD25" localSheetId="4">#REF!</definedName>
    <definedName name="___LD25" localSheetId="20">#REF!</definedName>
    <definedName name="___LD25">#REF!</definedName>
    <definedName name="___LD31" localSheetId="7">#REF!</definedName>
    <definedName name="___LD31" localSheetId="15">#REF!</definedName>
    <definedName name="___LD31" localSheetId="1">#REF!</definedName>
    <definedName name="___LD31" localSheetId="18">#REF!</definedName>
    <definedName name="___LD31" localSheetId="16">#REF!</definedName>
    <definedName name="___LD31" localSheetId="6">#REF!</definedName>
    <definedName name="___LD31" localSheetId="5">#REF!</definedName>
    <definedName name="___LD31" localSheetId="3">#REF!</definedName>
    <definedName name="___LD31" localSheetId="17">#REF!</definedName>
    <definedName name="___LD31" localSheetId="8">#REF!</definedName>
    <definedName name="___LD31" localSheetId="4">#REF!</definedName>
    <definedName name="___LD31" localSheetId="20">#REF!</definedName>
    <definedName name="___LD31">#REF!</definedName>
    <definedName name="___LD35" localSheetId="7">#REF!</definedName>
    <definedName name="___LD35" localSheetId="15">#REF!</definedName>
    <definedName name="___LD35" localSheetId="1">#REF!</definedName>
    <definedName name="___LD35" localSheetId="18">#REF!</definedName>
    <definedName name="___LD35" localSheetId="16">#REF!</definedName>
    <definedName name="___LD35" localSheetId="6">#REF!</definedName>
    <definedName name="___LD35" localSheetId="5">#REF!</definedName>
    <definedName name="___LD35" localSheetId="3">#REF!</definedName>
    <definedName name="___LD35" localSheetId="17">#REF!</definedName>
    <definedName name="___LD35" localSheetId="8">#REF!</definedName>
    <definedName name="___LD35" localSheetId="4">#REF!</definedName>
    <definedName name="___LD35" localSheetId="20">#REF!</definedName>
    <definedName name="___LD35">#REF!</definedName>
    <definedName name="___LD41" localSheetId="7">#REF!</definedName>
    <definedName name="___LD41" localSheetId="15">#REF!</definedName>
    <definedName name="___LD41" localSheetId="1">#REF!</definedName>
    <definedName name="___LD41" localSheetId="18">#REF!</definedName>
    <definedName name="___LD41" localSheetId="16">#REF!</definedName>
    <definedName name="___LD41" localSheetId="6">#REF!</definedName>
    <definedName name="___LD41" localSheetId="5">#REF!</definedName>
    <definedName name="___LD41" localSheetId="3">#REF!</definedName>
    <definedName name="___LD41" localSheetId="17">#REF!</definedName>
    <definedName name="___LD41" localSheetId="8">#REF!</definedName>
    <definedName name="___LD41" localSheetId="4">#REF!</definedName>
    <definedName name="___LD41" localSheetId="20">#REF!</definedName>
    <definedName name="___LD41">#REF!</definedName>
    <definedName name="___LD45" localSheetId="7">#REF!</definedName>
    <definedName name="___LD45" localSheetId="15">#REF!</definedName>
    <definedName name="___LD45" localSheetId="1">#REF!</definedName>
    <definedName name="___LD45" localSheetId="18">#REF!</definedName>
    <definedName name="___LD45" localSheetId="16">#REF!</definedName>
    <definedName name="___LD45" localSheetId="6">#REF!</definedName>
    <definedName name="___LD45" localSheetId="5">#REF!</definedName>
    <definedName name="___LD45" localSheetId="3">#REF!</definedName>
    <definedName name="___LD45" localSheetId="17">#REF!</definedName>
    <definedName name="___LD45" localSheetId="8">#REF!</definedName>
    <definedName name="___LD45" localSheetId="4">#REF!</definedName>
    <definedName name="___LD45" localSheetId="20">#REF!</definedName>
    <definedName name="___LD45">#REF!</definedName>
    <definedName name="___LD51" localSheetId="7">#REF!</definedName>
    <definedName name="___LD51" localSheetId="15">#REF!</definedName>
    <definedName name="___LD51" localSheetId="1">#REF!</definedName>
    <definedName name="___LD51" localSheetId="18">#REF!</definedName>
    <definedName name="___LD51" localSheetId="16">#REF!</definedName>
    <definedName name="___LD51" localSheetId="6">#REF!</definedName>
    <definedName name="___LD51" localSheetId="5">#REF!</definedName>
    <definedName name="___LD51" localSheetId="3">#REF!</definedName>
    <definedName name="___LD51" localSheetId="17">#REF!</definedName>
    <definedName name="___LD51" localSheetId="8">#REF!</definedName>
    <definedName name="___LD51" localSheetId="4">#REF!</definedName>
    <definedName name="___LD51" localSheetId="20">#REF!</definedName>
    <definedName name="___LD51">#REF!</definedName>
    <definedName name="___LD55" localSheetId="7">#REF!</definedName>
    <definedName name="___LD55" localSheetId="15">#REF!</definedName>
    <definedName name="___LD55" localSheetId="1">#REF!</definedName>
    <definedName name="___LD55" localSheetId="18">#REF!</definedName>
    <definedName name="___LD55" localSheetId="16">#REF!</definedName>
    <definedName name="___LD55" localSheetId="6">#REF!</definedName>
    <definedName name="___LD55" localSheetId="5">#REF!</definedName>
    <definedName name="___LD55" localSheetId="3">#REF!</definedName>
    <definedName name="___LD55" localSheetId="17">#REF!</definedName>
    <definedName name="___LD55" localSheetId="8">#REF!</definedName>
    <definedName name="___LD55" localSheetId="4">#REF!</definedName>
    <definedName name="___LD55" localSheetId="20">#REF!</definedName>
    <definedName name="___LD55">#REF!</definedName>
    <definedName name="___le21" localSheetId="7">#REF!</definedName>
    <definedName name="___le21" localSheetId="15">#REF!</definedName>
    <definedName name="___le21" localSheetId="1">#REF!</definedName>
    <definedName name="___le21" localSheetId="18">#REF!</definedName>
    <definedName name="___le21" localSheetId="16">#REF!</definedName>
    <definedName name="___le21" localSheetId="6">#REF!</definedName>
    <definedName name="___le21" localSheetId="5">#REF!</definedName>
    <definedName name="___le21" localSheetId="3">#REF!</definedName>
    <definedName name="___le21" localSheetId="17">#REF!</definedName>
    <definedName name="___le21" localSheetId="8">#REF!</definedName>
    <definedName name="___le21" localSheetId="4">#REF!</definedName>
    <definedName name="___le21" localSheetId="20">#REF!</definedName>
    <definedName name="___le21">#REF!</definedName>
    <definedName name="___le25" localSheetId="7">#REF!</definedName>
    <definedName name="___le25" localSheetId="15">#REF!</definedName>
    <definedName name="___le25" localSheetId="1">#REF!</definedName>
    <definedName name="___le25" localSheetId="18">#REF!</definedName>
    <definedName name="___le25" localSheetId="16">#REF!</definedName>
    <definedName name="___le25" localSheetId="6">#REF!</definedName>
    <definedName name="___le25" localSheetId="5">#REF!</definedName>
    <definedName name="___le25" localSheetId="3">#REF!</definedName>
    <definedName name="___le25" localSheetId="17">#REF!</definedName>
    <definedName name="___le25" localSheetId="8">#REF!</definedName>
    <definedName name="___le25" localSheetId="4">#REF!</definedName>
    <definedName name="___le25" localSheetId="20">#REF!</definedName>
    <definedName name="___le25">#REF!</definedName>
    <definedName name="___LE31" localSheetId="7">#REF!</definedName>
    <definedName name="___LE31" localSheetId="15">#REF!</definedName>
    <definedName name="___LE31" localSheetId="1">#REF!</definedName>
    <definedName name="___LE31" localSheetId="18">#REF!</definedName>
    <definedName name="___LE31" localSheetId="16">#REF!</definedName>
    <definedName name="___LE31" localSheetId="6">#REF!</definedName>
    <definedName name="___LE31" localSheetId="5">#REF!</definedName>
    <definedName name="___LE31" localSheetId="3">#REF!</definedName>
    <definedName name="___LE31" localSheetId="17">#REF!</definedName>
    <definedName name="___LE31" localSheetId="8">#REF!</definedName>
    <definedName name="___LE31" localSheetId="4">#REF!</definedName>
    <definedName name="___LE31" localSheetId="20">#REF!</definedName>
    <definedName name="___LE31">#REF!</definedName>
    <definedName name="___TK632" localSheetId="11">'[2]HD-XUAT'!#REF!</definedName>
    <definedName name="___TK632" localSheetId="7">'[3]HD-XUAT'!#REF!</definedName>
    <definedName name="___TK632" localSheetId="15">'[3]HD-XUAT'!#REF!</definedName>
    <definedName name="___TK632" localSheetId="1">'[3]HD-XUAT'!#REF!</definedName>
    <definedName name="___TK632" localSheetId="18">'[3]HD-XUAT'!#REF!</definedName>
    <definedName name="___TK632" localSheetId="16">'[3]HD-XUAT'!#REF!</definedName>
    <definedName name="___TK632" localSheetId="6">'[3]HD-XUAT'!#REF!</definedName>
    <definedName name="___TK632" localSheetId="14">'[3]HD-XUAT'!#REF!</definedName>
    <definedName name="___TK632" localSheetId="5">'[3]HD-XUAT'!#REF!</definedName>
    <definedName name="___TK632" localSheetId="3">'[3]HD-XUAT'!#REF!</definedName>
    <definedName name="___TK632" localSheetId="17">'[3]HD-XUAT'!#REF!</definedName>
    <definedName name="___TK632" localSheetId="8">'[3]HD-XUAT'!#REF!</definedName>
    <definedName name="___TK632" localSheetId="4">'[3]HD-XUAT'!#REF!</definedName>
    <definedName name="___TK632" localSheetId="20">'[3]HD-XUAT'!#REF!</definedName>
    <definedName name="___TK632">'[3]HD-XUAT'!#REF!</definedName>
    <definedName name="___TK641" localSheetId="11">'[2]HD-XUAT'!#REF!</definedName>
    <definedName name="___TK641" localSheetId="7">'[3]HD-XUAT'!#REF!</definedName>
    <definedName name="___TK641" localSheetId="15">'[3]HD-XUAT'!#REF!</definedName>
    <definedName name="___TK641" localSheetId="1">'[3]HD-XUAT'!#REF!</definedName>
    <definedName name="___TK641" localSheetId="18">'[3]HD-XUAT'!#REF!</definedName>
    <definedName name="___TK641" localSheetId="16">'[3]HD-XUAT'!#REF!</definedName>
    <definedName name="___TK641" localSheetId="6">'[3]HD-XUAT'!#REF!</definedName>
    <definedName name="___TK641" localSheetId="14">'[3]HD-XUAT'!#REF!</definedName>
    <definedName name="___TK641" localSheetId="5">'[3]HD-XUAT'!#REF!</definedName>
    <definedName name="___TK641" localSheetId="3">'[3]HD-XUAT'!#REF!</definedName>
    <definedName name="___TK641" localSheetId="17">'[3]HD-XUAT'!#REF!</definedName>
    <definedName name="___TK641" localSheetId="8">'[3]HD-XUAT'!#REF!</definedName>
    <definedName name="___TK641" localSheetId="4">'[3]HD-XUAT'!#REF!</definedName>
    <definedName name="___TK641" localSheetId="20">'[3]HD-XUAT'!#REF!</definedName>
    <definedName name="___TK641">'[3]HD-XUAT'!#REF!</definedName>
    <definedName name="___TK642" localSheetId="11">'[2]HD-XUAT'!#REF!</definedName>
    <definedName name="___TK642" localSheetId="7">'[3]HD-XUAT'!#REF!</definedName>
    <definedName name="___TK642" localSheetId="15">'[3]HD-XUAT'!#REF!</definedName>
    <definedName name="___TK642" localSheetId="1">'[3]HD-XUAT'!#REF!</definedName>
    <definedName name="___TK642" localSheetId="18">'[3]HD-XUAT'!#REF!</definedName>
    <definedName name="___TK642" localSheetId="16">'[3]HD-XUAT'!#REF!</definedName>
    <definedName name="___TK642" localSheetId="6">'[3]HD-XUAT'!#REF!</definedName>
    <definedName name="___TK642" localSheetId="14">'[3]HD-XUAT'!#REF!</definedName>
    <definedName name="___TK642" localSheetId="5">'[3]HD-XUAT'!#REF!</definedName>
    <definedName name="___TK642" localSheetId="3">'[3]HD-XUAT'!#REF!</definedName>
    <definedName name="___TK642" localSheetId="17">'[3]HD-XUAT'!#REF!</definedName>
    <definedName name="___TK642" localSheetId="8">'[3]HD-XUAT'!#REF!</definedName>
    <definedName name="___TK642" localSheetId="4">'[3]HD-XUAT'!#REF!</definedName>
    <definedName name="___TK642" localSheetId="20">'[3]HD-XUAT'!#REF!</definedName>
    <definedName name="___TK642">'[3]HD-XUAT'!#REF!</definedName>
    <definedName name="___TK911" localSheetId="11">'[2]HD-XUAT'!#REF!</definedName>
    <definedName name="___TK911" localSheetId="7">'[3]HD-XUAT'!#REF!</definedName>
    <definedName name="___TK911" localSheetId="15">'[3]HD-XUAT'!#REF!</definedName>
    <definedName name="___TK911" localSheetId="1">'[3]HD-XUAT'!#REF!</definedName>
    <definedName name="___TK911" localSheetId="18">'[3]HD-XUAT'!#REF!</definedName>
    <definedName name="___TK911" localSheetId="16">'[3]HD-XUAT'!#REF!</definedName>
    <definedName name="___TK911" localSheetId="6">'[3]HD-XUAT'!#REF!</definedName>
    <definedName name="___TK911" localSheetId="14">'[3]HD-XUAT'!#REF!</definedName>
    <definedName name="___TK911" localSheetId="5">'[3]HD-XUAT'!#REF!</definedName>
    <definedName name="___TK911" localSheetId="3">'[3]HD-XUAT'!#REF!</definedName>
    <definedName name="___TK911" localSheetId="17">'[3]HD-XUAT'!#REF!</definedName>
    <definedName name="___TK911" localSheetId="8">'[3]HD-XUAT'!#REF!</definedName>
    <definedName name="___TK911" localSheetId="4">'[3]HD-XUAT'!#REF!</definedName>
    <definedName name="___TK911" localSheetId="20">'[3]HD-XUAT'!#REF!</definedName>
    <definedName name="___TK911">'[3]HD-XUAT'!#REF!</definedName>
    <definedName name="__Amt1" localSheetId="7">#REF!</definedName>
    <definedName name="__Amt1" localSheetId="15">#REF!</definedName>
    <definedName name="__Amt1" localSheetId="1">#REF!</definedName>
    <definedName name="__Amt1" localSheetId="18">#REF!</definedName>
    <definedName name="__Amt1" localSheetId="16">#REF!</definedName>
    <definedName name="__Amt1" localSheetId="6">#REF!</definedName>
    <definedName name="__Amt1" localSheetId="5">#REF!</definedName>
    <definedName name="__Amt1" localSheetId="3">#REF!</definedName>
    <definedName name="__Amt1" localSheetId="17">#REF!</definedName>
    <definedName name="__Amt1" localSheetId="8">#REF!</definedName>
    <definedName name="__Amt1" localSheetId="4">#REF!</definedName>
    <definedName name="__Amt1" localSheetId="20">#REF!</definedName>
    <definedName name="__Amt1">#REF!</definedName>
    <definedName name="__data__X" localSheetId="7">#REF!</definedName>
    <definedName name="__data__X" localSheetId="15">#REF!</definedName>
    <definedName name="__data__X" localSheetId="1">#REF!</definedName>
    <definedName name="__data__X" localSheetId="18">#REF!</definedName>
    <definedName name="__data__X" localSheetId="16">#REF!</definedName>
    <definedName name="__data__X" localSheetId="6">#REF!</definedName>
    <definedName name="__data__X" localSheetId="5">#REF!</definedName>
    <definedName name="__data__X" localSheetId="3">#REF!</definedName>
    <definedName name="__data__X" localSheetId="17">#REF!</definedName>
    <definedName name="__data__X" localSheetId="8">#REF!</definedName>
    <definedName name="__data__X" localSheetId="4">#REF!</definedName>
    <definedName name="__data__X" localSheetId="20">#REF!</definedName>
    <definedName name="__data__X">#REF!</definedName>
    <definedName name="__data1__X" localSheetId="7">#REF!</definedName>
    <definedName name="__data1__X" localSheetId="15">#REF!</definedName>
    <definedName name="__data1__X" localSheetId="1">#REF!</definedName>
    <definedName name="__data1__X" localSheetId="18">#REF!</definedName>
    <definedName name="__data1__X" localSheetId="16">#REF!</definedName>
    <definedName name="__data1__X" localSheetId="6">#REF!</definedName>
    <definedName name="__data1__X" localSheetId="10">#REF!</definedName>
    <definedName name="__data1__X" localSheetId="14">#REF!</definedName>
    <definedName name="__data1__X" localSheetId="5">#REF!</definedName>
    <definedName name="__data1__X" localSheetId="3">#REF!</definedName>
    <definedName name="__data1__X" localSheetId="17">#REF!</definedName>
    <definedName name="__data1__X" localSheetId="8">#REF!</definedName>
    <definedName name="__data1__X" localSheetId="4">#REF!</definedName>
    <definedName name="__data1__X" localSheetId="20">#REF!</definedName>
    <definedName name="__data1__X">#REF!</definedName>
    <definedName name="__JRNAL_NO__" localSheetId="7">#REF!</definedName>
    <definedName name="__JRNAL_NO__" localSheetId="15">#REF!</definedName>
    <definedName name="__JRNAL_NO__" localSheetId="1">#REF!</definedName>
    <definedName name="__JRNAL_NO__" localSheetId="18">#REF!</definedName>
    <definedName name="__JRNAL_NO__" localSheetId="16">#REF!</definedName>
    <definedName name="__JRNAL_NO__" localSheetId="6">#REF!</definedName>
    <definedName name="__JRNAL_NO__" localSheetId="10">#REF!</definedName>
    <definedName name="__JRNAL_NO__" localSheetId="14">#REF!</definedName>
    <definedName name="__JRNAL_NO__" localSheetId="5">#REF!</definedName>
    <definedName name="__JRNAL_NO__" localSheetId="3">#REF!</definedName>
    <definedName name="__JRNAL_NO__" localSheetId="17">#REF!</definedName>
    <definedName name="__JRNAL_NO__" localSheetId="8">#REF!</definedName>
    <definedName name="__JRNAL_NO__" localSheetId="4">#REF!</definedName>
    <definedName name="__JRNAL_NO__" localSheetId="20">#REF!</definedName>
    <definedName name="__JRNAL_NO__">#REF!</definedName>
    <definedName name="__la21" localSheetId="5">[4]BangLuongMOI!$C$11</definedName>
    <definedName name="__la21" localSheetId="3">[4]BangLuongMOI!$C$11</definedName>
    <definedName name="__la21" localSheetId="17">[4]BangLuongMOI!$C$11</definedName>
    <definedName name="__la21" localSheetId="8">[4]BangLuongMOI!$C$11</definedName>
    <definedName name="__la21">[4]BangLuongMOI!$C$11</definedName>
    <definedName name="__la25" localSheetId="5">[5]BangLuongMOI!$C$15</definedName>
    <definedName name="__la25" localSheetId="3">[5]BangLuongMOI!$C$15</definedName>
    <definedName name="__la25" localSheetId="17">[5]BangLuongMOI!$C$15</definedName>
    <definedName name="__la25" localSheetId="8">[5]BangLuongMOI!$C$15</definedName>
    <definedName name="__la25">[5]BangLuongMOI!$C$15</definedName>
    <definedName name="__la31" localSheetId="5">[5]BangLuongMOI!$C$17</definedName>
    <definedName name="__la31" localSheetId="3">[5]BangLuongMOI!$C$17</definedName>
    <definedName name="__la31" localSheetId="17">[5]BangLuongMOI!$C$17</definedName>
    <definedName name="__la31" localSheetId="8">[5]BangLuongMOI!$C$17</definedName>
    <definedName name="__la31">[5]BangLuongMOI!$C$17</definedName>
    <definedName name="__la35" localSheetId="5">[5]BangLuongMOI!$C$21</definedName>
    <definedName name="__la35" localSheetId="3">[5]BangLuongMOI!$C$21</definedName>
    <definedName name="__la35" localSheetId="17">[5]BangLuongMOI!$C$21</definedName>
    <definedName name="__la35" localSheetId="8">[5]BangLuongMOI!$C$21</definedName>
    <definedName name="__la35">[5]BangLuongMOI!$C$21</definedName>
    <definedName name="__la41" localSheetId="5">[5]BangLuongMOI!$C$23</definedName>
    <definedName name="__la41" localSheetId="3">[5]BangLuongMOI!$C$23</definedName>
    <definedName name="__la41" localSheetId="17">[5]BangLuongMOI!$C$23</definedName>
    <definedName name="__la41" localSheetId="8">[5]BangLuongMOI!$C$23</definedName>
    <definedName name="__la41">[5]BangLuongMOI!$C$23</definedName>
    <definedName name="__la45" localSheetId="5">[5]BangLuongMOI!$C$27</definedName>
    <definedName name="__la45" localSheetId="3">[5]BangLuongMOI!$C$27</definedName>
    <definedName name="__la45" localSheetId="17">[5]BangLuongMOI!$C$27</definedName>
    <definedName name="__la45" localSheetId="8">[5]BangLuongMOI!$C$27</definedName>
    <definedName name="__la45">[5]BangLuongMOI!$C$27</definedName>
    <definedName name="__la51" localSheetId="5">[5]BangLuongMOI!$C$29</definedName>
    <definedName name="__la51" localSheetId="3">[5]BangLuongMOI!$C$29</definedName>
    <definedName name="__la51" localSheetId="17">[5]BangLuongMOI!$C$29</definedName>
    <definedName name="__la51" localSheetId="8">[5]BangLuongMOI!$C$29</definedName>
    <definedName name="__la51">[5]BangLuongMOI!$C$29</definedName>
    <definedName name="__la55" localSheetId="7">#REF!</definedName>
    <definedName name="__la55" localSheetId="15">#REF!</definedName>
    <definedName name="__la55" localSheetId="1">#REF!</definedName>
    <definedName name="__la55" localSheetId="18">#REF!</definedName>
    <definedName name="__la55" localSheetId="16">#REF!</definedName>
    <definedName name="__la55" localSheetId="6">#REF!</definedName>
    <definedName name="__la55" localSheetId="5">#REF!</definedName>
    <definedName name="__la55" localSheetId="3">#REF!</definedName>
    <definedName name="__la55" localSheetId="17">#REF!</definedName>
    <definedName name="__la55" localSheetId="8">#REF!</definedName>
    <definedName name="__la55" localSheetId="4">#REF!</definedName>
    <definedName name="__la55" localSheetId="20">#REF!</definedName>
    <definedName name="__la55">#REF!</definedName>
    <definedName name="__lb11" localSheetId="7">#REF!</definedName>
    <definedName name="__lb11" localSheetId="15">#REF!</definedName>
    <definedName name="__lb11" localSheetId="1">#REF!</definedName>
    <definedName name="__lb11" localSheetId="18">#REF!</definedName>
    <definedName name="__lb11" localSheetId="16">#REF!</definedName>
    <definedName name="__lb11" localSheetId="6">#REF!</definedName>
    <definedName name="__lb11" localSheetId="5">#REF!</definedName>
    <definedName name="__lb11" localSheetId="3">#REF!</definedName>
    <definedName name="__lb11" localSheetId="17">#REF!</definedName>
    <definedName name="__lb11" localSheetId="8">#REF!</definedName>
    <definedName name="__lb11" localSheetId="4">#REF!</definedName>
    <definedName name="__lb11" localSheetId="20">#REF!</definedName>
    <definedName name="__lb11">#REF!</definedName>
    <definedName name="__lb21" localSheetId="5">[4]BangLuongMOI!$G$11</definedName>
    <definedName name="__lb21" localSheetId="3">[4]BangLuongMOI!$G$11</definedName>
    <definedName name="__lb21" localSheetId="17">[4]BangLuongMOI!$G$11</definedName>
    <definedName name="__lb21" localSheetId="8">[4]BangLuongMOI!$G$11</definedName>
    <definedName name="__lb21">[4]BangLuongMOI!$G$11</definedName>
    <definedName name="__lb25" localSheetId="5">[5]BangLuongMOI!$G$15</definedName>
    <definedName name="__lb25" localSheetId="3">[5]BangLuongMOI!$G$15</definedName>
    <definedName name="__lb25" localSheetId="17">[5]BangLuongMOI!$G$15</definedName>
    <definedName name="__lb25" localSheetId="8">[5]BangLuongMOI!$G$15</definedName>
    <definedName name="__lb25">[5]BangLuongMOI!$G$15</definedName>
    <definedName name="__lb31" localSheetId="5">[4]BangLuongMOI!$G$17</definedName>
    <definedName name="__lb31" localSheetId="3">[4]BangLuongMOI!$G$17</definedName>
    <definedName name="__lb31" localSheetId="17">[4]BangLuongMOI!$G$17</definedName>
    <definedName name="__lb31" localSheetId="8">[4]BangLuongMOI!$G$17</definedName>
    <definedName name="__lb31">[4]BangLuongMOI!$G$17</definedName>
    <definedName name="__lb35" localSheetId="5">[5]BangLuongMOI!$G$21</definedName>
    <definedName name="__lb35" localSheetId="3">[5]BangLuongMOI!$G$21</definedName>
    <definedName name="__lb35" localSheetId="17">[5]BangLuongMOI!$G$21</definedName>
    <definedName name="__lb35" localSheetId="8">[5]BangLuongMOI!$G$21</definedName>
    <definedName name="__lb35">[5]BangLuongMOI!$G$21</definedName>
    <definedName name="__lb41" localSheetId="5">[5]BangLuongMOI!$G$23</definedName>
    <definedName name="__lb41" localSheetId="3">[5]BangLuongMOI!$G$23</definedName>
    <definedName name="__lb41" localSheetId="17">[5]BangLuongMOI!$G$23</definedName>
    <definedName name="__lb41" localSheetId="8">[5]BangLuongMOI!$G$23</definedName>
    <definedName name="__lb41">[5]BangLuongMOI!$G$23</definedName>
    <definedName name="__lb45" localSheetId="5">[4]BangLuongMOI!$G$27</definedName>
    <definedName name="__lb45" localSheetId="3">[4]BangLuongMOI!$G$27</definedName>
    <definedName name="__lb45" localSheetId="17">[4]BangLuongMOI!$G$27</definedName>
    <definedName name="__lb45" localSheetId="8">[4]BangLuongMOI!$G$27</definedName>
    <definedName name="__lb45">[4]BangLuongMOI!$G$27</definedName>
    <definedName name="__lb55" localSheetId="7">#REF!</definedName>
    <definedName name="__lb55" localSheetId="15">#REF!</definedName>
    <definedName name="__lb55" localSheetId="1">#REF!</definedName>
    <definedName name="__lb55" localSheetId="18">#REF!</definedName>
    <definedName name="__lb55" localSheetId="16">#REF!</definedName>
    <definedName name="__lb55" localSheetId="6">#REF!</definedName>
    <definedName name="__lb55" localSheetId="5">#REF!</definedName>
    <definedName name="__lb55" localSheetId="3">#REF!</definedName>
    <definedName name="__lb55" localSheetId="17">#REF!</definedName>
    <definedName name="__lb55" localSheetId="8">#REF!</definedName>
    <definedName name="__lb55" localSheetId="4">#REF!</definedName>
    <definedName name="__lb55" localSheetId="20">#REF!</definedName>
    <definedName name="__lb55">#REF!</definedName>
    <definedName name="__lc11" localSheetId="7">#REF!</definedName>
    <definedName name="__lc11" localSheetId="15">#REF!</definedName>
    <definedName name="__lc11" localSheetId="1">#REF!</definedName>
    <definedName name="__lc11" localSheetId="18">#REF!</definedName>
    <definedName name="__lc11" localSheetId="16">#REF!</definedName>
    <definedName name="__lc11" localSheetId="6">#REF!</definedName>
    <definedName name="__lc11" localSheetId="5">#REF!</definedName>
    <definedName name="__lc11" localSheetId="3">#REF!</definedName>
    <definedName name="__lc11" localSheetId="17">#REF!</definedName>
    <definedName name="__lc11" localSheetId="8">#REF!</definedName>
    <definedName name="__lc11" localSheetId="4">#REF!</definedName>
    <definedName name="__lc11" localSheetId="20">#REF!</definedName>
    <definedName name="__lc11">#REF!</definedName>
    <definedName name="__lc21" localSheetId="5">[4]BangLuongMOI!$K$11</definedName>
    <definedName name="__lc21" localSheetId="3">[4]BangLuongMOI!$K$11</definedName>
    <definedName name="__lc21" localSheetId="17">[4]BangLuongMOI!$K$11</definedName>
    <definedName name="__lc21" localSheetId="8">[4]BangLuongMOI!$K$11</definedName>
    <definedName name="__lc21">[4]BangLuongMOI!$K$11</definedName>
    <definedName name="__lc25" localSheetId="5">[5]BangLuongMOI!$K$15</definedName>
    <definedName name="__lc25" localSheetId="3">[5]BangLuongMOI!$K$15</definedName>
    <definedName name="__lc25" localSheetId="17">[5]BangLuongMOI!$K$15</definedName>
    <definedName name="__lc25" localSheetId="8">[5]BangLuongMOI!$K$15</definedName>
    <definedName name="__lc25">[5]BangLuongMOI!$K$15</definedName>
    <definedName name="__LC31" localSheetId="5">[4]BangLuongMOI!$K$17</definedName>
    <definedName name="__LC31" localSheetId="3">[4]BangLuongMOI!$K$17</definedName>
    <definedName name="__LC31" localSheetId="17">[4]BangLuongMOI!$K$17</definedName>
    <definedName name="__LC31" localSheetId="8">[4]BangLuongMOI!$K$17</definedName>
    <definedName name="__LC31">[4]BangLuongMOI!$K$17</definedName>
    <definedName name="__Lc35" localSheetId="5">[4]BangLuongMOI!$K$21</definedName>
    <definedName name="__Lc35" localSheetId="3">[4]BangLuongMOI!$K$21</definedName>
    <definedName name="__Lc35" localSheetId="17">[4]BangLuongMOI!$K$21</definedName>
    <definedName name="__Lc35" localSheetId="8">[4]BangLuongMOI!$K$21</definedName>
    <definedName name="__Lc35">[4]BangLuongMOI!$K$21</definedName>
    <definedName name="__lc41" localSheetId="5">[5]BangLuongMOI!$K$23</definedName>
    <definedName name="__lc41" localSheetId="3">[5]BangLuongMOI!$K$23</definedName>
    <definedName name="__lc41" localSheetId="17">[5]BangLuongMOI!$K$23</definedName>
    <definedName name="__lc41" localSheetId="8">[5]BangLuongMOI!$K$23</definedName>
    <definedName name="__lc41">[5]BangLuongMOI!$K$23</definedName>
    <definedName name="__lc45" localSheetId="5">[4]BangLuongMOI!$K$27</definedName>
    <definedName name="__lc45" localSheetId="3">[4]BangLuongMOI!$K$27</definedName>
    <definedName name="__lc45" localSheetId="17">[4]BangLuongMOI!$K$27</definedName>
    <definedName name="__lc45" localSheetId="8">[4]BangLuongMOI!$K$27</definedName>
    <definedName name="__lc45">[4]BangLuongMOI!$K$27</definedName>
    <definedName name="__lc51" localSheetId="5">[5]BangLuongMOI!$K$29</definedName>
    <definedName name="__lc51" localSheetId="3">[5]BangLuongMOI!$K$29</definedName>
    <definedName name="__lc51" localSheetId="17">[5]BangLuongMOI!$K$29</definedName>
    <definedName name="__lc51" localSheetId="8">[5]BangLuongMOI!$K$29</definedName>
    <definedName name="__lc51">[5]BangLuongMOI!$K$29</definedName>
    <definedName name="__lc55" localSheetId="7">#REF!</definedName>
    <definedName name="__lc55" localSheetId="15">#REF!</definedName>
    <definedName name="__lc55" localSheetId="1">#REF!</definedName>
    <definedName name="__lc55" localSheetId="18">#REF!</definedName>
    <definedName name="__lc55" localSheetId="16">#REF!</definedName>
    <definedName name="__lc55" localSheetId="6">#REF!</definedName>
    <definedName name="__lc55" localSheetId="5">#REF!</definedName>
    <definedName name="__lc55" localSheetId="3">#REF!</definedName>
    <definedName name="__lc55" localSheetId="17">#REF!</definedName>
    <definedName name="__lc55" localSheetId="8">#REF!</definedName>
    <definedName name="__lc55" localSheetId="4">#REF!</definedName>
    <definedName name="__lc55" localSheetId="20">#REF!</definedName>
    <definedName name="__lc55">#REF!</definedName>
    <definedName name="__LD11" localSheetId="7">#REF!</definedName>
    <definedName name="__LD11" localSheetId="15">#REF!</definedName>
    <definedName name="__LD11" localSheetId="1">#REF!</definedName>
    <definedName name="__LD11" localSheetId="18">#REF!</definedName>
    <definedName name="__LD11" localSheetId="16">#REF!</definedName>
    <definedName name="__LD11" localSheetId="6">#REF!</definedName>
    <definedName name="__LD11" localSheetId="5">#REF!</definedName>
    <definedName name="__LD11" localSheetId="3">#REF!</definedName>
    <definedName name="__LD11" localSheetId="17">#REF!</definedName>
    <definedName name="__LD11" localSheetId="8">#REF!</definedName>
    <definedName name="__LD11" localSheetId="4">#REF!</definedName>
    <definedName name="__LD11" localSheetId="20">#REF!</definedName>
    <definedName name="__LD11">#REF!</definedName>
    <definedName name="__ld13" localSheetId="7">#REF!</definedName>
    <definedName name="__ld13" localSheetId="15">#REF!</definedName>
    <definedName name="__ld13" localSheetId="1">#REF!</definedName>
    <definedName name="__ld13" localSheetId="18">#REF!</definedName>
    <definedName name="__ld13" localSheetId="16">#REF!</definedName>
    <definedName name="__ld13" localSheetId="6">#REF!</definedName>
    <definedName name="__ld13" localSheetId="5">#REF!</definedName>
    <definedName name="__ld13" localSheetId="3">#REF!</definedName>
    <definedName name="__ld13" localSheetId="17">#REF!</definedName>
    <definedName name="__ld13" localSheetId="8">#REF!</definedName>
    <definedName name="__ld13" localSheetId="4">#REF!</definedName>
    <definedName name="__ld13" localSheetId="20">#REF!</definedName>
    <definedName name="__ld13">#REF!</definedName>
    <definedName name="__LD15" localSheetId="7">#REF!</definedName>
    <definedName name="__LD15" localSheetId="15">#REF!</definedName>
    <definedName name="__LD15" localSheetId="1">#REF!</definedName>
    <definedName name="__LD15" localSheetId="18">#REF!</definedName>
    <definedName name="__LD15" localSheetId="16">#REF!</definedName>
    <definedName name="__LD15" localSheetId="6">#REF!</definedName>
    <definedName name="__LD15" localSheetId="5">#REF!</definedName>
    <definedName name="__LD15" localSheetId="3">#REF!</definedName>
    <definedName name="__LD15" localSheetId="17">#REF!</definedName>
    <definedName name="__LD15" localSheetId="8">#REF!</definedName>
    <definedName name="__LD15" localSheetId="4">#REF!</definedName>
    <definedName name="__LD15" localSheetId="20">#REF!</definedName>
    <definedName name="__LD15">#REF!</definedName>
    <definedName name="__LD21" localSheetId="7">#REF!</definedName>
    <definedName name="__LD21" localSheetId="15">#REF!</definedName>
    <definedName name="__LD21" localSheetId="1">#REF!</definedName>
    <definedName name="__LD21" localSheetId="18">#REF!</definedName>
    <definedName name="__LD21" localSheetId="16">#REF!</definedName>
    <definedName name="__LD21" localSheetId="6">#REF!</definedName>
    <definedName name="__LD21" localSheetId="5">#REF!</definedName>
    <definedName name="__LD21" localSheetId="3">#REF!</definedName>
    <definedName name="__LD21" localSheetId="17">#REF!</definedName>
    <definedName name="__LD21" localSheetId="8">#REF!</definedName>
    <definedName name="__LD21" localSheetId="4">#REF!</definedName>
    <definedName name="__LD21" localSheetId="20">#REF!</definedName>
    <definedName name="__LD21">#REF!</definedName>
    <definedName name="__ld22" localSheetId="7">#REF!</definedName>
    <definedName name="__ld22" localSheetId="15">#REF!</definedName>
    <definedName name="__ld22" localSheetId="1">#REF!</definedName>
    <definedName name="__ld22" localSheetId="18">#REF!</definedName>
    <definedName name="__ld22" localSheetId="16">#REF!</definedName>
    <definedName name="__ld22" localSheetId="6">#REF!</definedName>
    <definedName name="__ld22" localSheetId="5">#REF!</definedName>
    <definedName name="__ld22" localSheetId="3">#REF!</definedName>
    <definedName name="__ld22" localSheetId="17">#REF!</definedName>
    <definedName name="__ld22" localSheetId="8">#REF!</definedName>
    <definedName name="__ld22" localSheetId="4">#REF!</definedName>
    <definedName name="__ld22" localSheetId="20">#REF!</definedName>
    <definedName name="__ld22">#REF!</definedName>
    <definedName name="__ld23" localSheetId="7">#REF!</definedName>
    <definedName name="__ld23" localSheetId="15">#REF!</definedName>
    <definedName name="__ld23" localSheetId="1">#REF!</definedName>
    <definedName name="__ld23" localSheetId="18">#REF!</definedName>
    <definedName name="__ld23" localSheetId="16">#REF!</definedName>
    <definedName name="__ld23" localSheetId="6">#REF!</definedName>
    <definedName name="__ld23" localSheetId="5">#REF!</definedName>
    <definedName name="__ld23" localSheetId="3">#REF!</definedName>
    <definedName name="__ld23" localSheetId="17">#REF!</definedName>
    <definedName name="__ld23" localSheetId="8">#REF!</definedName>
    <definedName name="__ld23" localSheetId="4">#REF!</definedName>
    <definedName name="__ld23" localSheetId="20">#REF!</definedName>
    <definedName name="__ld23">#REF!</definedName>
    <definedName name="__LD25" localSheetId="7">#REF!</definedName>
    <definedName name="__LD25" localSheetId="15">#REF!</definedName>
    <definedName name="__LD25" localSheetId="1">#REF!</definedName>
    <definedName name="__LD25" localSheetId="18">#REF!</definedName>
    <definedName name="__LD25" localSheetId="16">#REF!</definedName>
    <definedName name="__LD25" localSheetId="6">#REF!</definedName>
    <definedName name="__LD25" localSheetId="5">#REF!</definedName>
    <definedName name="__LD25" localSheetId="3">#REF!</definedName>
    <definedName name="__LD25" localSheetId="17">#REF!</definedName>
    <definedName name="__LD25" localSheetId="8">#REF!</definedName>
    <definedName name="__LD25" localSheetId="4">#REF!</definedName>
    <definedName name="__LD25" localSheetId="20">#REF!</definedName>
    <definedName name="__LD25">#REF!</definedName>
    <definedName name="__LD31" localSheetId="7">#REF!</definedName>
    <definedName name="__LD31" localSheetId="15">#REF!</definedName>
    <definedName name="__LD31" localSheetId="1">#REF!</definedName>
    <definedName name="__LD31" localSheetId="18">#REF!</definedName>
    <definedName name="__LD31" localSheetId="16">#REF!</definedName>
    <definedName name="__LD31" localSheetId="6">#REF!</definedName>
    <definedName name="__LD31" localSheetId="5">#REF!</definedName>
    <definedName name="__LD31" localSheetId="3">#REF!</definedName>
    <definedName name="__LD31" localSheetId="17">#REF!</definedName>
    <definedName name="__LD31" localSheetId="8">#REF!</definedName>
    <definedName name="__LD31" localSheetId="4">#REF!</definedName>
    <definedName name="__LD31" localSheetId="20">#REF!</definedName>
    <definedName name="__LD31">#REF!</definedName>
    <definedName name="__ld32" localSheetId="7">#REF!</definedName>
    <definedName name="__ld32" localSheetId="15">#REF!</definedName>
    <definedName name="__ld32" localSheetId="1">#REF!</definedName>
    <definedName name="__ld32" localSheetId="18">#REF!</definedName>
    <definedName name="__ld32" localSheetId="16">#REF!</definedName>
    <definedName name="__ld32" localSheetId="6">#REF!</definedName>
    <definedName name="__ld32" localSheetId="5">#REF!</definedName>
    <definedName name="__ld32" localSheetId="3">#REF!</definedName>
    <definedName name="__ld32" localSheetId="17">#REF!</definedName>
    <definedName name="__ld32" localSheetId="8">#REF!</definedName>
    <definedName name="__ld32" localSheetId="4">#REF!</definedName>
    <definedName name="__ld32" localSheetId="20">#REF!</definedName>
    <definedName name="__ld32">#REF!</definedName>
    <definedName name="__LD35" localSheetId="7">#REF!</definedName>
    <definedName name="__LD35" localSheetId="15">#REF!</definedName>
    <definedName name="__LD35" localSheetId="1">#REF!</definedName>
    <definedName name="__LD35" localSheetId="18">#REF!</definedName>
    <definedName name="__LD35" localSheetId="16">#REF!</definedName>
    <definedName name="__LD35" localSheetId="6">#REF!</definedName>
    <definedName name="__LD35" localSheetId="5">#REF!</definedName>
    <definedName name="__LD35" localSheetId="3">#REF!</definedName>
    <definedName name="__LD35" localSheetId="17">#REF!</definedName>
    <definedName name="__LD35" localSheetId="8">#REF!</definedName>
    <definedName name="__LD35" localSheetId="4">#REF!</definedName>
    <definedName name="__LD35" localSheetId="20">#REF!</definedName>
    <definedName name="__LD35">#REF!</definedName>
    <definedName name="__LD41" localSheetId="7">#REF!</definedName>
    <definedName name="__LD41" localSheetId="15">#REF!</definedName>
    <definedName name="__LD41" localSheetId="1">#REF!</definedName>
    <definedName name="__LD41" localSheetId="18">#REF!</definedName>
    <definedName name="__LD41" localSheetId="16">#REF!</definedName>
    <definedName name="__LD41" localSheetId="6">#REF!</definedName>
    <definedName name="__LD41" localSheetId="5">#REF!</definedName>
    <definedName name="__LD41" localSheetId="3">#REF!</definedName>
    <definedName name="__LD41" localSheetId="17">#REF!</definedName>
    <definedName name="__LD41" localSheetId="8">#REF!</definedName>
    <definedName name="__LD41" localSheetId="4">#REF!</definedName>
    <definedName name="__LD41" localSheetId="20">#REF!</definedName>
    <definedName name="__LD41">#REF!</definedName>
    <definedName name="__LD45" localSheetId="7">#REF!</definedName>
    <definedName name="__LD45" localSheetId="15">#REF!</definedName>
    <definedName name="__LD45" localSheetId="1">#REF!</definedName>
    <definedName name="__LD45" localSheetId="18">#REF!</definedName>
    <definedName name="__LD45" localSheetId="16">#REF!</definedName>
    <definedName name="__LD45" localSheetId="6">#REF!</definedName>
    <definedName name="__LD45" localSheetId="5">#REF!</definedName>
    <definedName name="__LD45" localSheetId="3">#REF!</definedName>
    <definedName name="__LD45" localSheetId="17">#REF!</definedName>
    <definedName name="__LD45" localSheetId="8">#REF!</definedName>
    <definedName name="__LD45" localSheetId="4">#REF!</definedName>
    <definedName name="__LD45" localSheetId="20">#REF!</definedName>
    <definedName name="__LD45">#REF!</definedName>
    <definedName name="__LD51" localSheetId="7">#REF!</definedName>
    <definedName name="__LD51" localSheetId="15">#REF!</definedName>
    <definedName name="__LD51" localSheetId="1">#REF!</definedName>
    <definedName name="__LD51" localSheetId="18">#REF!</definedName>
    <definedName name="__LD51" localSheetId="16">#REF!</definedName>
    <definedName name="__LD51" localSheetId="6">#REF!</definedName>
    <definedName name="__LD51" localSheetId="5">#REF!</definedName>
    <definedName name="__LD51" localSheetId="3">#REF!</definedName>
    <definedName name="__LD51" localSheetId="17">#REF!</definedName>
    <definedName name="__LD51" localSheetId="8">#REF!</definedName>
    <definedName name="__LD51" localSheetId="4">#REF!</definedName>
    <definedName name="__LD51" localSheetId="20">#REF!</definedName>
    <definedName name="__LD51">#REF!</definedName>
    <definedName name="__LD55" localSheetId="7">#REF!</definedName>
    <definedName name="__LD55" localSheetId="15">#REF!</definedName>
    <definedName name="__LD55" localSheetId="1">#REF!</definedName>
    <definedName name="__LD55" localSheetId="18">#REF!</definedName>
    <definedName name="__LD55" localSheetId="16">#REF!</definedName>
    <definedName name="__LD55" localSheetId="6">#REF!</definedName>
    <definedName name="__LD55" localSheetId="5">#REF!</definedName>
    <definedName name="__LD55" localSheetId="3">#REF!</definedName>
    <definedName name="__LD55" localSheetId="17">#REF!</definedName>
    <definedName name="__LD55" localSheetId="8">#REF!</definedName>
    <definedName name="__LD55" localSheetId="4">#REF!</definedName>
    <definedName name="__LD55" localSheetId="20">#REF!</definedName>
    <definedName name="__LD55">#REF!</definedName>
    <definedName name="__le13" localSheetId="7">#REF!</definedName>
    <definedName name="__le13" localSheetId="15">#REF!</definedName>
    <definedName name="__le13" localSheetId="1">#REF!</definedName>
    <definedName name="__le13" localSheetId="18">#REF!</definedName>
    <definedName name="__le13" localSheetId="16">#REF!</definedName>
    <definedName name="__le13" localSheetId="6">#REF!</definedName>
    <definedName name="__le13" localSheetId="5">#REF!</definedName>
    <definedName name="__le13" localSheetId="3">#REF!</definedName>
    <definedName name="__le13" localSheetId="17">#REF!</definedName>
    <definedName name="__le13" localSheetId="8">#REF!</definedName>
    <definedName name="__le13" localSheetId="4">#REF!</definedName>
    <definedName name="__le13" localSheetId="20">#REF!</definedName>
    <definedName name="__le13">#REF!</definedName>
    <definedName name="__le21" localSheetId="7">#REF!</definedName>
    <definedName name="__le21" localSheetId="15">#REF!</definedName>
    <definedName name="__le21" localSheetId="1">#REF!</definedName>
    <definedName name="__le21" localSheetId="18">#REF!</definedName>
    <definedName name="__le21" localSheetId="16">#REF!</definedName>
    <definedName name="__le21" localSheetId="6">#REF!</definedName>
    <definedName name="__le21" localSheetId="5">#REF!</definedName>
    <definedName name="__le21" localSheetId="3">#REF!</definedName>
    <definedName name="__le21" localSheetId="17">#REF!</definedName>
    <definedName name="__le21" localSheetId="8">#REF!</definedName>
    <definedName name="__le21" localSheetId="4">#REF!</definedName>
    <definedName name="__le21" localSheetId="20">#REF!</definedName>
    <definedName name="__le21">#REF!</definedName>
    <definedName name="__le23" localSheetId="7">#REF!</definedName>
    <definedName name="__le23" localSheetId="15">#REF!</definedName>
    <definedName name="__le23" localSheetId="1">#REF!</definedName>
    <definedName name="__le23" localSheetId="18">#REF!</definedName>
    <definedName name="__le23" localSheetId="16">#REF!</definedName>
    <definedName name="__le23" localSheetId="6">#REF!</definedName>
    <definedName name="__le23" localSheetId="5">#REF!</definedName>
    <definedName name="__le23" localSheetId="3">#REF!</definedName>
    <definedName name="__le23" localSheetId="17">#REF!</definedName>
    <definedName name="__le23" localSheetId="8">#REF!</definedName>
    <definedName name="__le23" localSheetId="4">#REF!</definedName>
    <definedName name="__le23" localSheetId="20">#REF!</definedName>
    <definedName name="__le23">#REF!</definedName>
    <definedName name="__le25" localSheetId="7">#REF!</definedName>
    <definedName name="__le25" localSheetId="15">#REF!</definedName>
    <definedName name="__le25" localSheetId="1">#REF!</definedName>
    <definedName name="__le25" localSheetId="18">#REF!</definedName>
    <definedName name="__le25" localSheetId="16">#REF!</definedName>
    <definedName name="__le25" localSheetId="6">#REF!</definedName>
    <definedName name="__le25" localSheetId="5">#REF!</definedName>
    <definedName name="__le25" localSheetId="3">#REF!</definedName>
    <definedName name="__le25" localSheetId="17">#REF!</definedName>
    <definedName name="__le25" localSheetId="8">#REF!</definedName>
    <definedName name="__le25" localSheetId="4">#REF!</definedName>
    <definedName name="__le25" localSheetId="20">#REF!</definedName>
    <definedName name="__le25">#REF!</definedName>
    <definedName name="__LE31" localSheetId="7">#REF!</definedName>
    <definedName name="__LE31" localSheetId="15">#REF!</definedName>
    <definedName name="__LE31" localSheetId="1">#REF!</definedName>
    <definedName name="__LE31" localSheetId="18">#REF!</definedName>
    <definedName name="__LE31" localSheetId="16">#REF!</definedName>
    <definedName name="__LE31" localSheetId="6">#REF!</definedName>
    <definedName name="__LE31" localSheetId="5">#REF!</definedName>
    <definedName name="__LE31" localSheetId="3">#REF!</definedName>
    <definedName name="__LE31" localSheetId="17">#REF!</definedName>
    <definedName name="__LE31" localSheetId="8">#REF!</definedName>
    <definedName name="__LE31" localSheetId="4">#REF!</definedName>
    <definedName name="__LE31" localSheetId="20">#REF!</definedName>
    <definedName name="__LE31">#REF!</definedName>
    <definedName name="__le32" localSheetId="7">#REF!</definedName>
    <definedName name="__le32" localSheetId="15">#REF!</definedName>
    <definedName name="__le32" localSheetId="1">#REF!</definedName>
    <definedName name="__le32" localSheetId="18">#REF!</definedName>
    <definedName name="__le32" localSheetId="16">#REF!</definedName>
    <definedName name="__le32" localSheetId="6">#REF!</definedName>
    <definedName name="__le32" localSheetId="5">#REF!</definedName>
    <definedName name="__le32" localSheetId="3">#REF!</definedName>
    <definedName name="__le32" localSheetId="17">#REF!</definedName>
    <definedName name="__le32" localSheetId="8">#REF!</definedName>
    <definedName name="__le32" localSheetId="4">#REF!</definedName>
    <definedName name="__le32" localSheetId="20">#REF!</definedName>
    <definedName name="__le32">#REF!</definedName>
    <definedName name="__le33" localSheetId="7">#REF!</definedName>
    <definedName name="__le33" localSheetId="15">#REF!</definedName>
    <definedName name="__le33" localSheetId="1">#REF!</definedName>
    <definedName name="__le33" localSheetId="18">#REF!</definedName>
    <definedName name="__le33" localSheetId="16">#REF!</definedName>
    <definedName name="__le33" localSheetId="6">#REF!</definedName>
    <definedName name="__le33" localSheetId="5">#REF!</definedName>
    <definedName name="__le33" localSheetId="3">#REF!</definedName>
    <definedName name="__le33" localSheetId="17">#REF!</definedName>
    <definedName name="__le33" localSheetId="8">#REF!</definedName>
    <definedName name="__le33" localSheetId="4">#REF!</definedName>
    <definedName name="__le33" localSheetId="20">#REF!</definedName>
    <definedName name="__le33">#REF!</definedName>
    <definedName name="__LE35" localSheetId="7">#REF!</definedName>
    <definedName name="__LE35" localSheetId="15">#REF!</definedName>
    <definedName name="__LE35" localSheetId="1">#REF!</definedName>
    <definedName name="__LE35" localSheetId="18">#REF!</definedName>
    <definedName name="__LE35" localSheetId="16">#REF!</definedName>
    <definedName name="__LE35" localSheetId="6">#REF!</definedName>
    <definedName name="__LE35" localSheetId="5">#REF!</definedName>
    <definedName name="__LE35" localSheetId="3">#REF!</definedName>
    <definedName name="__LE35" localSheetId="17">#REF!</definedName>
    <definedName name="__LE35" localSheetId="8">#REF!</definedName>
    <definedName name="__LE35" localSheetId="4">#REF!</definedName>
    <definedName name="__LE35" localSheetId="20">#REF!</definedName>
    <definedName name="__LE35">#REF!</definedName>
    <definedName name="__LE41" localSheetId="7">#REF!</definedName>
    <definedName name="__LE41" localSheetId="15">#REF!</definedName>
    <definedName name="__LE41" localSheetId="1">#REF!</definedName>
    <definedName name="__LE41" localSheetId="18">#REF!</definedName>
    <definedName name="__LE41" localSheetId="16">#REF!</definedName>
    <definedName name="__LE41" localSheetId="6">#REF!</definedName>
    <definedName name="__LE41" localSheetId="5">#REF!</definedName>
    <definedName name="__LE41" localSheetId="3">#REF!</definedName>
    <definedName name="__LE41" localSheetId="17">#REF!</definedName>
    <definedName name="__LE41" localSheetId="8">#REF!</definedName>
    <definedName name="__LE41" localSheetId="4">#REF!</definedName>
    <definedName name="__LE41" localSheetId="20">#REF!</definedName>
    <definedName name="__LE41">#REF!</definedName>
    <definedName name="__le42" localSheetId="7">#REF!</definedName>
    <definedName name="__le42" localSheetId="15">#REF!</definedName>
    <definedName name="__le42" localSheetId="1">#REF!</definedName>
    <definedName name="__le42" localSheetId="18">#REF!</definedName>
    <definedName name="__le42" localSheetId="16">#REF!</definedName>
    <definedName name="__le42" localSheetId="6">#REF!</definedName>
    <definedName name="__le42" localSheetId="5">#REF!</definedName>
    <definedName name="__le42" localSheetId="3">#REF!</definedName>
    <definedName name="__le42" localSheetId="17">#REF!</definedName>
    <definedName name="__le42" localSheetId="8">#REF!</definedName>
    <definedName name="__le42" localSheetId="4">#REF!</definedName>
    <definedName name="__le42" localSheetId="20">#REF!</definedName>
    <definedName name="__le42">#REF!</definedName>
    <definedName name="__LE45" localSheetId="7">#REF!</definedName>
    <definedName name="__LE45" localSheetId="15">#REF!</definedName>
    <definedName name="__LE45" localSheetId="1">#REF!</definedName>
    <definedName name="__LE45" localSheetId="18">#REF!</definedName>
    <definedName name="__LE45" localSheetId="16">#REF!</definedName>
    <definedName name="__LE45" localSheetId="6">#REF!</definedName>
    <definedName name="__LE45" localSheetId="5">#REF!</definedName>
    <definedName name="__LE45" localSheetId="3">#REF!</definedName>
    <definedName name="__LE45" localSheetId="17">#REF!</definedName>
    <definedName name="__LE45" localSheetId="8">#REF!</definedName>
    <definedName name="__LE45" localSheetId="4">#REF!</definedName>
    <definedName name="__LE45" localSheetId="20">#REF!</definedName>
    <definedName name="__LE45">#REF!</definedName>
    <definedName name="__LE51" localSheetId="7">#REF!</definedName>
    <definedName name="__LE51" localSheetId="15">#REF!</definedName>
    <definedName name="__LE51" localSheetId="1">#REF!</definedName>
    <definedName name="__LE51" localSheetId="18">#REF!</definedName>
    <definedName name="__LE51" localSheetId="16">#REF!</definedName>
    <definedName name="__LE51" localSheetId="6">#REF!</definedName>
    <definedName name="__LE51" localSheetId="5">#REF!</definedName>
    <definedName name="__LE51" localSheetId="3">#REF!</definedName>
    <definedName name="__LE51" localSheetId="17">#REF!</definedName>
    <definedName name="__LE51" localSheetId="8">#REF!</definedName>
    <definedName name="__LE51" localSheetId="4">#REF!</definedName>
    <definedName name="__LE51" localSheetId="20">#REF!</definedName>
    <definedName name="__LE51">#REF!</definedName>
    <definedName name="__le52" localSheetId="7">#REF!</definedName>
    <definedName name="__le52" localSheetId="15">#REF!</definedName>
    <definedName name="__le52" localSheetId="1">#REF!</definedName>
    <definedName name="__le52" localSheetId="18">#REF!</definedName>
    <definedName name="__le52" localSheetId="16">#REF!</definedName>
    <definedName name="__le52" localSheetId="6">#REF!</definedName>
    <definedName name="__le52" localSheetId="5">#REF!</definedName>
    <definedName name="__le52" localSheetId="3">#REF!</definedName>
    <definedName name="__le52" localSheetId="17">#REF!</definedName>
    <definedName name="__le52" localSheetId="8">#REF!</definedName>
    <definedName name="__le52" localSheetId="4">#REF!</definedName>
    <definedName name="__le52" localSheetId="20">#REF!</definedName>
    <definedName name="__le52">#REF!</definedName>
    <definedName name="__LE55" localSheetId="7">#REF!</definedName>
    <definedName name="__LE55" localSheetId="15">#REF!</definedName>
    <definedName name="__LE55" localSheetId="1">#REF!</definedName>
    <definedName name="__LE55" localSheetId="18">#REF!</definedName>
    <definedName name="__LE55" localSheetId="16">#REF!</definedName>
    <definedName name="__LE55" localSheetId="6">#REF!</definedName>
    <definedName name="__LE55" localSheetId="5">#REF!</definedName>
    <definedName name="__LE55" localSheetId="3">#REF!</definedName>
    <definedName name="__LE55" localSheetId="17">#REF!</definedName>
    <definedName name="__LE55" localSheetId="8">#REF!</definedName>
    <definedName name="__LE55" localSheetId="4">#REF!</definedName>
    <definedName name="__LE55" localSheetId="20">#REF!</definedName>
    <definedName name="__LE55">#REF!</definedName>
    <definedName name="__Parameters__" localSheetId="7">#REF!</definedName>
    <definedName name="__Parameters__" localSheetId="15">#REF!</definedName>
    <definedName name="__Parameters__" localSheetId="1">#REF!</definedName>
    <definedName name="__Parameters__" localSheetId="18">#REF!</definedName>
    <definedName name="__Parameters__" localSheetId="16">#REF!</definedName>
    <definedName name="__Parameters__" localSheetId="6">#REF!</definedName>
    <definedName name="__Parameters__" localSheetId="10">#REF!</definedName>
    <definedName name="__Parameters__" localSheetId="14">#REF!</definedName>
    <definedName name="__Parameters__" localSheetId="5">#REF!</definedName>
    <definedName name="__Parameters__" localSheetId="3">#REF!</definedName>
    <definedName name="__Parameters__" localSheetId="17">#REF!</definedName>
    <definedName name="__Parameters__" localSheetId="8">#REF!</definedName>
    <definedName name="__Parameters__" localSheetId="4">#REF!</definedName>
    <definedName name="__Parameters__" localSheetId="20">#REF!</definedName>
    <definedName name="__Parameters__">#REF!</definedName>
    <definedName name="__Parameters__X" localSheetId="7">#REF!</definedName>
    <definedName name="__Parameters__X" localSheetId="15">#REF!</definedName>
    <definedName name="__Parameters__X" localSheetId="1">#REF!</definedName>
    <definedName name="__Parameters__X" localSheetId="18">#REF!</definedName>
    <definedName name="__Parameters__X" localSheetId="16">#REF!</definedName>
    <definedName name="__Parameters__X" localSheetId="6">#REF!</definedName>
    <definedName name="__Parameters__X" localSheetId="10">#REF!</definedName>
    <definedName name="__Parameters__X" localSheetId="14">#REF!</definedName>
    <definedName name="__Parameters__X" localSheetId="5">#REF!</definedName>
    <definedName name="__Parameters__X" localSheetId="3">#REF!</definedName>
    <definedName name="__Parameters__X" localSheetId="17">#REF!</definedName>
    <definedName name="__Parameters__X" localSheetId="8">#REF!</definedName>
    <definedName name="__Parameters__X" localSheetId="4">#REF!</definedName>
    <definedName name="__Parameters__X" localSheetId="20">#REF!</definedName>
    <definedName name="__Parameters__X">#REF!</definedName>
    <definedName name="__prd__" localSheetId="7">#REF!</definedName>
    <definedName name="__prd__" localSheetId="15">#REF!</definedName>
    <definedName name="__prd__" localSheetId="1">#REF!</definedName>
    <definedName name="__prd__" localSheetId="18">#REF!</definedName>
    <definedName name="__prd__" localSheetId="16">#REF!</definedName>
    <definedName name="__prd__" localSheetId="6">#REF!</definedName>
    <definedName name="__prd__" localSheetId="5">#REF!</definedName>
    <definedName name="__prd__" localSheetId="3">#REF!</definedName>
    <definedName name="__prd__" localSheetId="17">#REF!</definedName>
    <definedName name="__prd__" localSheetId="8">#REF!</definedName>
    <definedName name="__prd__" localSheetId="4">#REF!</definedName>
    <definedName name="__prd__" localSheetId="20">#REF!</definedName>
    <definedName name="__prd__">#REF!</definedName>
    <definedName name="__tk__" localSheetId="7">#REF!</definedName>
    <definedName name="__tk__" localSheetId="15">#REF!</definedName>
    <definedName name="__tk__" localSheetId="1">#REF!</definedName>
    <definedName name="__tk__" localSheetId="18">#REF!</definedName>
    <definedName name="__tk__" localSheetId="16">#REF!</definedName>
    <definedName name="__tk__" localSheetId="6">#REF!</definedName>
    <definedName name="__tk__" localSheetId="5">#REF!</definedName>
    <definedName name="__tk__" localSheetId="3">#REF!</definedName>
    <definedName name="__tk__" localSheetId="17">#REF!</definedName>
    <definedName name="__tk__" localSheetId="8">#REF!</definedName>
    <definedName name="__tk__" localSheetId="4">#REF!</definedName>
    <definedName name="__tk__" localSheetId="20">#REF!</definedName>
    <definedName name="__tk__">#REF!</definedName>
    <definedName name="__TK111" localSheetId="11">'[1]HD-XUAT'!#REF!</definedName>
    <definedName name="__TK111" localSheetId="7">'[1]HD-XUAT'!#REF!</definedName>
    <definedName name="__TK111" localSheetId="15">'[1]HD-XUAT'!#REF!</definedName>
    <definedName name="__TK111" localSheetId="1">'[1]HD-XUAT'!#REF!</definedName>
    <definedName name="__TK111" localSheetId="18">'[1]HD-XUAT'!#REF!</definedName>
    <definedName name="__TK111" localSheetId="16">'[1]HD-XUAT'!#REF!</definedName>
    <definedName name="__TK111" localSheetId="6">'[1]HD-XUAT'!#REF!</definedName>
    <definedName name="__TK111" localSheetId="3">'[1]HD-XUAT'!#REF!</definedName>
    <definedName name="__TK111" localSheetId="17">'[1]HD-XUAT'!#REF!</definedName>
    <definedName name="__TK111" localSheetId="8">'[1]HD-XUAT'!#REF!</definedName>
    <definedName name="__TK111" localSheetId="4">'[1]HD-XUAT'!#REF!</definedName>
    <definedName name="__TK111" localSheetId="20">'[1]HD-XUAT'!#REF!</definedName>
    <definedName name="__TK111">'[1]HD-XUAT'!#REF!</definedName>
    <definedName name="__TK632" localSheetId="11">'[2]HD-XUAT'!#REF!</definedName>
    <definedName name="__TK632" localSheetId="7">'[6]HD-XUAT'!#REF!</definedName>
    <definedName name="__TK632" localSheetId="15">'[6]HD-XUAT'!#REF!</definedName>
    <definedName name="__TK632" localSheetId="1">'[6]HD-XUAT'!#REF!</definedName>
    <definedName name="__TK632" localSheetId="18">'[6]HD-XUAT'!#REF!</definedName>
    <definedName name="__TK632" localSheetId="16">'[6]HD-XUAT'!#REF!</definedName>
    <definedName name="__TK632" localSheetId="6">'[6]HD-XUAT'!#REF!</definedName>
    <definedName name="__TK632" localSheetId="10">'[6]HD-XUAT'!#REF!</definedName>
    <definedName name="__TK632" localSheetId="14">'[6]HD-XUAT'!#REF!</definedName>
    <definedName name="__TK632" localSheetId="5">'[7]HD-XUAT'!#REF!</definedName>
    <definedName name="__TK632" localSheetId="3">'[7]HD-XUAT'!#REF!</definedName>
    <definedName name="__TK632" localSheetId="17">'[7]HD-XUAT'!#REF!</definedName>
    <definedName name="__TK632" localSheetId="13">'[8]HD-XUAT'!#REF!</definedName>
    <definedName name="__TK632" localSheetId="8">'[7]HD-XUAT'!#REF!</definedName>
    <definedName name="__TK632" localSheetId="4">'[6]HD-XUAT'!#REF!</definedName>
    <definedName name="__TK632" localSheetId="20">'[6]HD-XUAT'!#REF!</definedName>
    <definedName name="__TK632">'[6]HD-XUAT'!#REF!</definedName>
    <definedName name="__TK641" localSheetId="11">'[2]HD-XUAT'!#REF!</definedName>
    <definedName name="__TK641" localSheetId="7">'[6]HD-XUAT'!#REF!</definedName>
    <definedName name="__TK641" localSheetId="15">'[6]HD-XUAT'!#REF!</definedName>
    <definedName name="__TK641" localSheetId="1">'[6]HD-XUAT'!#REF!</definedName>
    <definedName name="__TK641" localSheetId="18">'[6]HD-XUAT'!#REF!</definedName>
    <definedName name="__TK641" localSheetId="16">'[6]HD-XUAT'!#REF!</definedName>
    <definedName name="__TK641" localSheetId="6">'[6]HD-XUAT'!#REF!</definedName>
    <definedName name="__TK641" localSheetId="10">'[6]HD-XUAT'!#REF!</definedName>
    <definedName name="__TK641" localSheetId="14">'[6]HD-XUAT'!#REF!</definedName>
    <definedName name="__TK641" localSheetId="5">'[7]HD-XUAT'!#REF!</definedName>
    <definedName name="__TK641" localSheetId="3">'[7]HD-XUAT'!#REF!</definedName>
    <definedName name="__TK641" localSheetId="17">'[7]HD-XUAT'!#REF!</definedName>
    <definedName name="__TK641" localSheetId="13">'[8]HD-XUAT'!#REF!</definedName>
    <definedName name="__TK641" localSheetId="8">'[7]HD-XUAT'!#REF!</definedName>
    <definedName name="__TK641" localSheetId="4">'[6]HD-XUAT'!#REF!</definedName>
    <definedName name="__TK641" localSheetId="20">'[6]HD-XUAT'!#REF!</definedName>
    <definedName name="__TK641">'[6]HD-XUAT'!#REF!</definedName>
    <definedName name="__TK642" localSheetId="11">'[2]HD-XUAT'!#REF!</definedName>
    <definedName name="__TK642" localSheetId="7">'[6]HD-XUAT'!#REF!</definedName>
    <definedName name="__TK642" localSheetId="15">'[6]HD-XUAT'!#REF!</definedName>
    <definedName name="__TK642" localSheetId="1">'[6]HD-XUAT'!#REF!</definedName>
    <definedName name="__TK642" localSheetId="18">'[6]HD-XUAT'!#REF!</definedName>
    <definedName name="__TK642" localSheetId="16">'[6]HD-XUAT'!#REF!</definedName>
    <definedName name="__TK642" localSheetId="6">'[6]HD-XUAT'!#REF!</definedName>
    <definedName name="__TK642" localSheetId="10">'[6]HD-XUAT'!#REF!</definedName>
    <definedName name="__TK642" localSheetId="14">'[6]HD-XUAT'!#REF!</definedName>
    <definedName name="__TK642" localSheetId="5">'[7]HD-XUAT'!#REF!</definedName>
    <definedName name="__TK642" localSheetId="3">'[7]HD-XUAT'!#REF!</definedName>
    <definedName name="__TK642" localSheetId="17">'[7]HD-XUAT'!#REF!</definedName>
    <definedName name="__TK642" localSheetId="13">'[8]HD-XUAT'!#REF!</definedName>
    <definedName name="__TK642" localSheetId="8">'[7]HD-XUAT'!#REF!</definedName>
    <definedName name="__TK642" localSheetId="4">'[6]HD-XUAT'!#REF!</definedName>
    <definedName name="__TK642" localSheetId="20">'[6]HD-XUAT'!#REF!</definedName>
    <definedName name="__TK642">'[6]HD-XUAT'!#REF!</definedName>
    <definedName name="__TK911" localSheetId="11">'[2]HD-XUAT'!#REF!</definedName>
    <definedName name="__TK911" localSheetId="7">'[6]HD-XUAT'!#REF!</definedName>
    <definedName name="__TK911" localSheetId="15">'[6]HD-XUAT'!#REF!</definedName>
    <definedName name="__TK911" localSheetId="1">'[6]HD-XUAT'!#REF!</definedName>
    <definedName name="__TK911" localSheetId="18">'[6]HD-XUAT'!#REF!</definedName>
    <definedName name="__TK911" localSheetId="16">'[6]HD-XUAT'!#REF!</definedName>
    <definedName name="__TK911" localSheetId="6">'[6]HD-XUAT'!#REF!</definedName>
    <definedName name="__TK911" localSheetId="10">'[6]HD-XUAT'!#REF!</definedName>
    <definedName name="__TK911" localSheetId="14">'[6]HD-XUAT'!#REF!</definedName>
    <definedName name="__TK911" localSheetId="5">'[7]HD-XUAT'!#REF!</definedName>
    <definedName name="__TK911" localSheetId="3">'[7]HD-XUAT'!#REF!</definedName>
    <definedName name="__TK911" localSheetId="17">'[7]HD-XUAT'!#REF!</definedName>
    <definedName name="__TK911" localSheetId="13">'[8]HD-XUAT'!#REF!</definedName>
    <definedName name="__TK911" localSheetId="8">'[7]HD-XUAT'!#REF!</definedName>
    <definedName name="__TK911" localSheetId="4">'[6]HD-XUAT'!#REF!</definedName>
    <definedName name="__TK911" localSheetId="20">'[6]HD-XUAT'!#REF!</definedName>
    <definedName name="__TK911">'[6]HD-XUAT'!#REF!</definedName>
    <definedName name="__tsc2" localSheetId="7">#REF!</definedName>
    <definedName name="__tsc2" localSheetId="15">#REF!</definedName>
    <definedName name="__tsc2" localSheetId="1">#REF!</definedName>
    <definedName name="__tsc2" localSheetId="18">#REF!</definedName>
    <definedName name="__tsc2" localSheetId="16">#REF!</definedName>
    <definedName name="__tsc2" localSheetId="6">#REF!</definedName>
    <definedName name="__tsc2" localSheetId="5">#REF!</definedName>
    <definedName name="__tsc2" localSheetId="3">#REF!</definedName>
    <definedName name="__tsc2" localSheetId="17">#REF!</definedName>
    <definedName name="__tsc2" localSheetId="8">#REF!</definedName>
    <definedName name="__tsc2" localSheetId="4">#REF!</definedName>
    <definedName name="__tsc2" localSheetId="20">#REF!</definedName>
    <definedName name="__tsc2">#REF!</definedName>
    <definedName name="_1" localSheetId="5">#REF!</definedName>
    <definedName name="_1" localSheetId="3">#REF!</definedName>
    <definedName name="_1" localSheetId="17">#REF!</definedName>
    <definedName name="_1" localSheetId="8">#REF!</definedName>
    <definedName name="_1">#N/A</definedName>
    <definedName name="_1000A01">#N/A</definedName>
    <definedName name="_12_Jun">"'smb://Jyang8/ftsl/WINDOWS/Desktop/jeannie/DAILY/INVEST.XLS'#$Cash_in_Bank.$#REF!#REF!"</definedName>
    <definedName name="_123" localSheetId="11">'[1]HD-XUAT'!#REF!</definedName>
    <definedName name="_123" localSheetId="7">'[1]HD-XUAT'!#REF!</definedName>
    <definedName name="_123" localSheetId="15">'[1]HD-XUAT'!#REF!</definedName>
    <definedName name="_123" localSheetId="1">'[1]HD-XUAT'!#REF!</definedName>
    <definedName name="_123" localSheetId="18">'[1]HD-XUAT'!#REF!</definedName>
    <definedName name="_123" localSheetId="16">'[1]HD-XUAT'!#REF!</definedName>
    <definedName name="_123" localSheetId="6">'[1]HD-XUAT'!#REF!</definedName>
    <definedName name="_123" localSheetId="3">'[1]HD-XUAT'!#REF!</definedName>
    <definedName name="_123" localSheetId="17">'[1]HD-XUAT'!#REF!</definedName>
    <definedName name="_123" localSheetId="8">'[1]HD-XUAT'!#REF!</definedName>
    <definedName name="_123" localSheetId="4">'[1]HD-XUAT'!#REF!</definedName>
    <definedName name="_123" localSheetId="20">'[1]HD-XUAT'!#REF!</definedName>
    <definedName name="_123">'[1]HD-XUAT'!#REF!</definedName>
    <definedName name="_1BA2500" localSheetId="7">#REF!</definedName>
    <definedName name="_1BA2500" localSheetId="15">#REF!</definedName>
    <definedName name="_1BA2500" localSheetId="1">#REF!</definedName>
    <definedName name="_1BA2500" localSheetId="18">#REF!</definedName>
    <definedName name="_1BA2500" localSheetId="16">#REF!</definedName>
    <definedName name="_1BA2500" localSheetId="6">#REF!</definedName>
    <definedName name="_1BA2500" localSheetId="3">#REF!</definedName>
    <definedName name="_1BA2500" localSheetId="17">#REF!</definedName>
    <definedName name="_1BA2500" localSheetId="8">#REF!</definedName>
    <definedName name="_1BA2500" localSheetId="4">#REF!</definedName>
    <definedName name="_1BA2500" localSheetId="20">#REF!</definedName>
    <definedName name="_1BA2500">#REF!</definedName>
    <definedName name="_1BA3250" localSheetId="7">#REF!</definedName>
    <definedName name="_1BA3250" localSheetId="15">#REF!</definedName>
    <definedName name="_1BA3250" localSheetId="1">#REF!</definedName>
    <definedName name="_1BA3250" localSheetId="18">#REF!</definedName>
    <definedName name="_1BA3250" localSheetId="16">#REF!</definedName>
    <definedName name="_1BA3250" localSheetId="6">#REF!</definedName>
    <definedName name="_1BA3250" localSheetId="3">#REF!</definedName>
    <definedName name="_1BA3250" localSheetId="17">#REF!</definedName>
    <definedName name="_1BA3250" localSheetId="8">#REF!</definedName>
    <definedName name="_1BA3250" localSheetId="4">#REF!</definedName>
    <definedName name="_1BA3250" localSheetId="20">#REF!</definedName>
    <definedName name="_1BA3250">#REF!</definedName>
    <definedName name="_1BA400P" localSheetId="7">#REF!</definedName>
    <definedName name="_1BA400P" localSheetId="15">#REF!</definedName>
    <definedName name="_1BA400P" localSheetId="1">#REF!</definedName>
    <definedName name="_1BA400P" localSheetId="18">#REF!</definedName>
    <definedName name="_1BA400P" localSheetId="16">#REF!</definedName>
    <definedName name="_1BA400P" localSheetId="6">#REF!</definedName>
    <definedName name="_1BA400P" localSheetId="3">#REF!</definedName>
    <definedName name="_1BA400P" localSheetId="17">#REF!</definedName>
    <definedName name="_1BA400P" localSheetId="8">#REF!</definedName>
    <definedName name="_1BA400P" localSheetId="4">#REF!</definedName>
    <definedName name="_1BA400P" localSheetId="20">#REF!</definedName>
    <definedName name="_1BA400P">#REF!</definedName>
    <definedName name="_1CAP001" localSheetId="7">#REF!</definedName>
    <definedName name="_1CAP001" localSheetId="15">#REF!</definedName>
    <definedName name="_1CAP001" localSheetId="1">#REF!</definedName>
    <definedName name="_1CAP001" localSheetId="18">#REF!</definedName>
    <definedName name="_1CAP001" localSheetId="16">#REF!</definedName>
    <definedName name="_1CAP001" localSheetId="6">#REF!</definedName>
    <definedName name="_1CAP001" localSheetId="3">#REF!</definedName>
    <definedName name="_1CAP001" localSheetId="17">#REF!</definedName>
    <definedName name="_1CAP001" localSheetId="8">#REF!</definedName>
    <definedName name="_1CAP001" localSheetId="4">#REF!</definedName>
    <definedName name="_1CAP001" localSheetId="20">#REF!</definedName>
    <definedName name="_1CAP001">#REF!</definedName>
    <definedName name="_1DAU002" localSheetId="7">#REF!</definedName>
    <definedName name="_1DAU002" localSheetId="15">#REF!</definedName>
    <definedName name="_1DAU002" localSheetId="1">#REF!</definedName>
    <definedName name="_1DAU002" localSheetId="18">#REF!</definedName>
    <definedName name="_1DAU002" localSheetId="16">#REF!</definedName>
    <definedName name="_1DAU002" localSheetId="6">#REF!</definedName>
    <definedName name="_1DAU002" localSheetId="3">#REF!</definedName>
    <definedName name="_1DAU002" localSheetId="17">#REF!</definedName>
    <definedName name="_1DAU002" localSheetId="8">#REF!</definedName>
    <definedName name="_1DAU002" localSheetId="4">#REF!</definedName>
    <definedName name="_1DAU002" localSheetId="20">#REF!</definedName>
    <definedName name="_1DAU002">#REF!</definedName>
    <definedName name="_1DDAY03" localSheetId="7">#REF!</definedName>
    <definedName name="_1DDAY03" localSheetId="15">#REF!</definedName>
    <definedName name="_1DDAY03" localSheetId="1">#REF!</definedName>
    <definedName name="_1DDAY03" localSheetId="18">#REF!</definedName>
    <definedName name="_1DDAY03" localSheetId="16">#REF!</definedName>
    <definedName name="_1DDAY03" localSheetId="6">#REF!</definedName>
    <definedName name="_1DDAY03" localSheetId="3">#REF!</definedName>
    <definedName name="_1DDAY03" localSheetId="17">#REF!</definedName>
    <definedName name="_1DDAY03" localSheetId="8">#REF!</definedName>
    <definedName name="_1DDAY03" localSheetId="4">#REF!</definedName>
    <definedName name="_1DDAY03" localSheetId="20">#REF!</definedName>
    <definedName name="_1DDAY03">#REF!</definedName>
    <definedName name="_1DDTT01" localSheetId="7">#REF!</definedName>
    <definedName name="_1DDTT01" localSheetId="15">#REF!</definedName>
    <definedName name="_1DDTT01" localSheetId="1">#REF!</definedName>
    <definedName name="_1DDTT01" localSheetId="18">#REF!</definedName>
    <definedName name="_1DDTT01" localSheetId="16">#REF!</definedName>
    <definedName name="_1DDTT01" localSheetId="6">#REF!</definedName>
    <definedName name="_1DDTT01" localSheetId="3">#REF!</definedName>
    <definedName name="_1DDTT01" localSheetId="17">#REF!</definedName>
    <definedName name="_1DDTT01" localSheetId="8">#REF!</definedName>
    <definedName name="_1DDTT01" localSheetId="4">#REF!</definedName>
    <definedName name="_1DDTT01" localSheetId="20">#REF!</definedName>
    <definedName name="_1DDTT01">#REF!</definedName>
    <definedName name="_1FCO101" localSheetId="7">#REF!</definedName>
    <definedName name="_1FCO101" localSheetId="15">#REF!</definedName>
    <definedName name="_1FCO101" localSheetId="1">#REF!</definedName>
    <definedName name="_1FCO101" localSheetId="18">#REF!</definedName>
    <definedName name="_1FCO101" localSheetId="16">#REF!</definedName>
    <definedName name="_1FCO101" localSheetId="6">#REF!</definedName>
    <definedName name="_1FCO101" localSheetId="3">#REF!</definedName>
    <definedName name="_1FCO101" localSheetId="17">#REF!</definedName>
    <definedName name="_1FCO101" localSheetId="8">#REF!</definedName>
    <definedName name="_1FCO101" localSheetId="4">#REF!</definedName>
    <definedName name="_1FCO101" localSheetId="20">#REF!</definedName>
    <definedName name="_1FCO101">#REF!</definedName>
    <definedName name="_1GIA101" localSheetId="7">#REF!</definedName>
    <definedName name="_1GIA101" localSheetId="15">#REF!</definedName>
    <definedName name="_1GIA101" localSheetId="1">#REF!</definedName>
    <definedName name="_1GIA101" localSheetId="18">#REF!</definedName>
    <definedName name="_1GIA101" localSheetId="16">#REF!</definedName>
    <definedName name="_1GIA101" localSheetId="6">#REF!</definedName>
    <definedName name="_1GIA101" localSheetId="3">#REF!</definedName>
    <definedName name="_1GIA101" localSheetId="17">#REF!</definedName>
    <definedName name="_1GIA101" localSheetId="8">#REF!</definedName>
    <definedName name="_1GIA101" localSheetId="4">#REF!</definedName>
    <definedName name="_1GIA101" localSheetId="20">#REF!</definedName>
    <definedName name="_1GIA101">#REF!</definedName>
    <definedName name="_1LA1001" localSheetId="7">#REF!</definedName>
    <definedName name="_1LA1001" localSheetId="15">#REF!</definedName>
    <definedName name="_1LA1001" localSheetId="1">#REF!</definedName>
    <definedName name="_1LA1001" localSheetId="18">#REF!</definedName>
    <definedName name="_1LA1001" localSheetId="16">#REF!</definedName>
    <definedName name="_1LA1001" localSheetId="6">#REF!</definedName>
    <definedName name="_1LA1001" localSheetId="3">#REF!</definedName>
    <definedName name="_1LA1001" localSheetId="17">#REF!</definedName>
    <definedName name="_1LA1001" localSheetId="8">#REF!</definedName>
    <definedName name="_1LA1001" localSheetId="4">#REF!</definedName>
    <definedName name="_1LA1001" localSheetId="20">#REF!</definedName>
    <definedName name="_1LA1001">#REF!</definedName>
    <definedName name="_1MCCBO2" localSheetId="7">#REF!</definedName>
    <definedName name="_1MCCBO2" localSheetId="15">#REF!</definedName>
    <definedName name="_1MCCBO2" localSheetId="1">#REF!</definedName>
    <definedName name="_1MCCBO2" localSheetId="18">#REF!</definedName>
    <definedName name="_1MCCBO2" localSheetId="16">#REF!</definedName>
    <definedName name="_1MCCBO2" localSheetId="6">#REF!</definedName>
    <definedName name="_1MCCBO2" localSheetId="3">#REF!</definedName>
    <definedName name="_1MCCBO2" localSheetId="17">#REF!</definedName>
    <definedName name="_1MCCBO2" localSheetId="8">#REF!</definedName>
    <definedName name="_1MCCBO2" localSheetId="4">#REF!</definedName>
    <definedName name="_1MCCBO2" localSheetId="20">#REF!</definedName>
    <definedName name="_1MCCBO2">#REF!</definedName>
    <definedName name="_1PKCAP1" localSheetId="7">#REF!</definedName>
    <definedName name="_1PKCAP1" localSheetId="15">#REF!</definedName>
    <definedName name="_1PKCAP1" localSheetId="1">#REF!</definedName>
    <definedName name="_1PKCAP1" localSheetId="18">#REF!</definedName>
    <definedName name="_1PKCAP1" localSheetId="16">#REF!</definedName>
    <definedName name="_1PKCAP1" localSheetId="6">#REF!</definedName>
    <definedName name="_1PKCAP1" localSheetId="3">#REF!</definedName>
    <definedName name="_1PKCAP1" localSheetId="17">#REF!</definedName>
    <definedName name="_1PKCAP1" localSheetId="8">#REF!</definedName>
    <definedName name="_1PKCAP1" localSheetId="4">#REF!</definedName>
    <definedName name="_1PKCAP1" localSheetId="20">#REF!</definedName>
    <definedName name="_1PKCAP1">#REF!</definedName>
    <definedName name="_1PKTT01" localSheetId="7">#REF!</definedName>
    <definedName name="_1PKTT01" localSheetId="15">#REF!</definedName>
    <definedName name="_1PKTT01" localSheetId="1">#REF!</definedName>
    <definedName name="_1PKTT01" localSheetId="18">#REF!</definedName>
    <definedName name="_1PKTT01" localSheetId="16">#REF!</definedName>
    <definedName name="_1PKTT01" localSheetId="6">#REF!</definedName>
    <definedName name="_1PKTT01" localSheetId="3">#REF!</definedName>
    <definedName name="_1PKTT01" localSheetId="17">#REF!</definedName>
    <definedName name="_1PKTT01" localSheetId="8">#REF!</definedName>
    <definedName name="_1PKTT01" localSheetId="4">#REF!</definedName>
    <definedName name="_1PKTT01" localSheetId="20">#REF!</definedName>
    <definedName name="_1PKTT01">#REF!</definedName>
    <definedName name="_1TCD101" localSheetId="7">#REF!</definedName>
    <definedName name="_1TCD101" localSheetId="15">#REF!</definedName>
    <definedName name="_1TCD101" localSheetId="1">#REF!</definedName>
    <definedName name="_1TCD101" localSheetId="18">#REF!</definedName>
    <definedName name="_1TCD101" localSheetId="16">#REF!</definedName>
    <definedName name="_1TCD101" localSheetId="6">#REF!</definedName>
    <definedName name="_1TCD101" localSheetId="3">#REF!</definedName>
    <definedName name="_1TCD101" localSheetId="17">#REF!</definedName>
    <definedName name="_1TCD101" localSheetId="8">#REF!</definedName>
    <definedName name="_1TCD101" localSheetId="4">#REF!</definedName>
    <definedName name="_1TCD101" localSheetId="20">#REF!</definedName>
    <definedName name="_1TCD101">#REF!</definedName>
    <definedName name="_1TCD201" localSheetId="7">#REF!</definedName>
    <definedName name="_1TCD201" localSheetId="15">#REF!</definedName>
    <definedName name="_1TCD201" localSheetId="1">#REF!</definedName>
    <definedName name="_1TCD201" localSheetId="18">#REF!</definedName>
    <definedName name="_1TCD201" localSheetId="16">#REF!</definedName>
    <definedName name="_1TCD201" localSheetId="6">#REF!</definedName>
    <definedName name="_1TCD201" localSheetId="3">#REF!</definedName>
    <definedName name="_1TCD201" localSheetId="17">#REF!</definedName>
    <definedName name="_1TCD201" localSheetId="8">#REF!</definedName>
    <definedName name="_1TCD201" localSheetId="4">#REF!</definedName>
    <definedName name="_1TCD201" localSheetId="20">#REF!</definedName>
    <definedName name="_1TCD201">#REF!</definedName>
    <definedName name="_1TD2001" localSheetId="7">#REF!</definedName>
    <definedName name="_1TD2001" localSheetId="15">#REF!</definedName>
    <definedName name="_1TD2001" localSheetId="1">#REF!</definedName>
    <definedName name="_1TD2001" localSheetId="18">#REF!</definedName>
    <definedName name="_1TD2001" localSheetId="16">#REF!</definedName>
    <definedName name="_1TD2001" localSheetId="6">#REF!</definedName>
    <definedName name="_1TD2001" localSheetId="3">#REF!</definedName>
    <definedName name="_1TD2001" localSheetId="17">#REF!</definedName>
    <definedName name="_1TD2001" localSheetId="8">#REF!</definedName>
    <definedName name="_1TD2001" localSheetId="4">#REF!</definedName>
    <definedName name="_1TD2001" localSheetId="20">#REF!</definedName>
    <definedName name="_1TD2001">#REF!</definedName>
    <definedName name="_1TIHT01" localSheetId="7">#REF!</definedName>
    <definedName name="_1TIHT01" localSheetId="15">#REF!</definedName>
    <definedName name="_1TIHT01" localSheetId="1">#REF!</definedName>
    <definedName name="_1TIHT01" localSheetId="18">#REF!</definedName>
    <definedName name="_1TIHT01" localSheetId="16">#REF!</definedName>
    <definedName name="_1TIHT01" localSheetId="6">#REF!</definedName>
    <definedName name="_1TIHT01" localSheetId="3">#REF!</definedName>
    <definedName name="_1TIHT01" localSheetId="17">#REF!</definedName>
    <definedName name="_1TIHT01" localSheetId="8">#REF!</definedName>
    <definedName name="_1TIHT01" localSheetId="4">#REF!</definedName>
    <definedName name="_1TIHT01" localSheetId="20">#REF!</definedName>
    <definedName name="_1TIHT01">#REF!</definedName>
    <definedName name="_1TRU121" localSheetId="7">#REF!</definedName>
    <definedName name="_1TRU121" localSheetId="15">#REF!</definedName>
    <definedName name="_1TRU121" localSheetId="1">#REF!</definedName>
    <definedName name="_1TRU121" localSheetId="18">#REF!</definedName>
    <definedName name="_1TRU121" localSheetId="16">#REF!</definedName>
    <definedName name="_1TRU121" localSheetId="6">#REF!</definedName>
    <definedName name="_1TRU121" localSheetId="3">#REF!</definedName>
    <definedName name="_1TRU121" localSheetId="17">#REF!</definedName>
    <definedName name="_1TRU121" localSheetId="8">#REF!</definedName>
    <definedName name="_1TRU121" localSheetId="4">#REF!</definedName>
    <definedName name="_1TRU121" localSheetId="20">#REF!</definedName>
    <definedName name="_1TRU121">#REF!</definedName>
    <definedName name="_1차_94년">#N/A</definedName>
    <definedName name="_2" localSheetId="5">#REF!</definedName>
    <definedName name="_2" localSheetId="3">#REF!</definedName>
    <definedName name="_2" localSheetId="17">#REF!</definedName>
    <definedName name="_2" localSheetId="8">#REF!</definedName>
    <definedName name="_2">#N/A</definedName>
    <definedName name="_2BLA100" localSheetId="7">#REF!</definedName>
    <definedName name="_2BLA100" localSheetId="15">#REF!</definedName>
    <definedName name="_2BLA100" localSheetId="1">#REF!</definedName>
    <definedName name="_2BLA100" localSheetId="18">#REF!</definedName>
    <definedName name="_2BLA100" localSheetId="16">#REF!</definedName>
    <definedName name="_2BLA100" localSheetId="6">#REF!</definedName>
    <definedName name="_2BLA100" localSheetId="3">#REF!</definedName>
    <definedName name="_2BLA100" localSheetId="17">#REF!</definedName>
    <definedName name="_2BLA100" localSheetId="8">#REF!</definedName>
    <definedName name="_2BLA100" localSheetId="4">#REF!</definedName>
    <definedName name="_2BLA100" localSheetId="20">#REF!</definedName>
    <definedName name="_2BLA100">#REF!</definedName>
    <definedName name="_2DAL201" localSheetId="7">#REF!</definedName>
    <definedName name="_2DAL201" localSheetId="15">#REF!</definedName>
    <definedName name="_2DAL201" localSheetId="1">#REF!</definedName>
    <definedName name="_2DAL201" localSheetId="18">#REF!</definedName>
    <definedName name="_2DAL201" localSheetId="16">#REF!</definedName>
    <definedName name="_2DAL201" localSheetId="6">#REF!</definedName>
    <definedName name="_2DAL201" localSheetId="3">#REF!</definedName>
    <definedName name="_2DAL201" localSheetId="17">#REF!</definedName>
    <definedName name="_2DAL201" localSheetId="8">#REF!</definedName>
    <definedName name="_2DAL201" localSheetId="4">#REF!</definedName>
    <definedName name="_2DAL201" localSheetId="20">#REF!</definedName>
    <definedName name="_2DAL201">#REF!</definedName>
    <definedName name="_2차결제일">#N/A</definedName>
    <definedName name="_3_?" localSheetId="7">#REF!</definedName>
    <definedName name="_3_?" localSheetId="15">#REF!</definedName>
    <definedName name="_3_?" localSheetId="1">#REF!</definedName>
    <definedName name="_3_?" localSheetId="18">#REF!</definedName>
    <definedName name="_3_?" localSheetId="16">#REF!</definedName>
    <definedName name="_3_?" localSheetId="6">#REF!</definedName>
    <definedName name="_3_?" localSheetId="3">#REF!</definedName>
    <definedName name="_3_?" localSheetId="17">#REF!</definedName>
    <definedName name="_3_?" localSheetId="8">#REF!</definedName>
    <definedName name="_3_?" localSheetId="4">#REF!</definedName>
    <definedName name="_3_?" localSheetId="20">#REF!</definedName>
    <definedName name="_3_?">#REF!</definedName>
    <definedName name="_3BLXMD" localSheetId="7">#REF!</definedName>
    <definedName name="_3BLXMD" localSheetId="15">#REF!</definedName>
    <definedName name="_3BLXMD" localSheetId="1">#REF!</definedName>
    <definedName name="_3BLXMD" localSheetId="18">#REF!</definedName>
    <definedName name="_3BLXMD" localSheetId="16">#REF!</definedName>
    <definedName name="_3BLXMD" localSheetId="6">#REF!</definedName>
    <definedName name="_3BLXMD" localSheetId="3">#REF!</definedName>
    <definedName name="_3BLXMD" localSheetId="17">#REF!</definedName>
    <definedName name="_3BLXMD" localSheetId="8">#REF!</definedName>
    <definedName name="_3BLXMD" localSheetId="4">#REF!</definedName>
    <definedName name="_3BLXMD" localSheetId="20">#REF!</definedName>
    <definedName name="_3BLXMD">#REF!</definedName>
    <definedName name="_3TU0609" localSheetId="7">#REF!</definedName>
    <definedName name="_3TU0609" localSheetId="15">#REF!</definedName>
    <definedName name="_3TU0609" localSheetId="1">#REF!</definedName>
    <definedName name="_3TU0609" localSheetId="18">#REF!</definedName>
    <definedName name="_3TU0609" localSheetId="16">#REF!</definedName>
    <definedName name="_3TU0609" localSheetId="6">#REF!</definedName>
    <definedName name="_3TU0609" localSheetId="3">#REF!</definedName>
    <definedName name="_3TU0609" localSheetId="17">#REF!</definedName>
    <definedName name="_3TU0609" localSheetId="8">#REF!</definedName>
    <definedName name="_3TU0609" localSheetId="4">#REF!</definedName>
    <definedName name="_3TU0609" localSheetId="20">#REF!</definedName>
    <definedName name="_3TU0609">#REF!</definedName>
    <definedName name="_4CNT240" localSheetId="7">#REF!</definedName>
    <definedName name="_4CNT240" localSheetId="15">#REF!</definedName>
    <definedName name="_4CNT240" localSheetId="1">#REF!</definedName>
    <definedName name="_4CNT240" localSheetId="18">#REF!</definedName>
    <definedName name="_4CNT240" localSheetId="16">#REF!</definedName>
    <definedName name="_4CNT240" localSheetId="6">#REF!</definedName>
    <definedName name="_4CNT240" localSheetId="3">#REF!</definedName>
    <definedName name="_4CNT240" localSheetId="17">#REF!</definedName>
    <definedName name="_4CNT240" localSheetId="8">#REF!</definedName>
    <definedName name="_4CNT240" localSheetId="4">#REF!</definedName>
    <definedName name="_4CNT240" localSheetId="20">#REF!</definedName>
    <definedName name="_4CNT240">#REF!</definedName>
    <definedName name="_4CTL240" localSheetId="7">#REF!</definedName>
    <definedName name="_4CTL240" localSheetId="15">#REF!</definedName>
    <definedName name="_4CTL240" localSheetId="1">#REF!</definedName>
    <definedName name="_4CTL240" localSheetId="18">#REF!</definedName>
    <definedName name="_4CTL240" localSheetId="16">#REF!</definedName>
    <definedName name="_4CTL240" localSheetId="6">#REF!</definedName>
    <definedName name="_4CTL240" localSheetId="3">#REF!</definedName>
    <definedName name="_4CTL240" localSheetId="17">#REF!</definedName>
    <definedName name="_4CTL240" localSheetId="8">#REF!</definedName>
    <definedName name="_4CTL240" localSheetId="4">#REF!</definedName>
    <definedName name="_4CTL240" localSheetId="20">#REF!</definedName>
    <definedName name="_4CTL240">#REF!</definedName>
    <definedName name="_4FCO100" localSheetId="7">#REF!</definedName>
    <definedName name="_4FCO100" localSheetId="15">#REF!</definedName>
    <definedName name="_4FCO100" localSheetId="1">#REF!</definedName>
    <definedName name="_4FCO100" localSheetId="18">#REF!</definedName>
    <definedName name="_4FCO100" localSheetId="16">#REF!</definedName>
    <definedName name="_4FCO100" localSheetId="6">#REF!</definedName>
    <definedName name="_4FCO100" localSheetId="3">#REF!</definedName>
    <definedName name="_4FCO100" localSheetId="17">#REF!</definedName>
    <definedName name="_4FCO100" localSheetId="8">#REF!</definedName>
    <definedName name="_4FCO100" localSheetId="4">#REF!</definedName>
    <definedName name="_4FCO100" localSheetId="20">#REF!</definedName>
    <definedName name="_4FCO100">#REF!</definedName>
    <definedName name="_4HDCTT4" localSheetId="7">#REF!</definedName>
    <definedName name="_4HDCTT4" localSheetId="15">#REF!</definedName>
    <definedName name="_4HDCTT4" localSheetId="1">#REF!</definedName>
    <definedName name="_4HDCTT4" localSheetId="18">#REF!</definedName>
    <definedName name="_4HDCTT4" localSheetId="16">#REF!</definedName>
    <definedName name="_4HDCTT4" localSheetId="6">#REF!</definedName>
    <definedName name="_4HDCTT4" localSheetId="3">#REF!</definedName>
    <definedName name="_4HDCTT4" localSheetId="17">#REF!</definedName>
    <definedName name="_4HDCTT4" localSheetId="8">#REF!</definedName>
    <definedName name="_4HDCTT4" localSheetId="4">#REF!</definedName>
    <definedName name="_4HDCTT4" localSheetId="20">#REF!</definedName>
    <definedName name="_4HDCTT4">#REF!</definedName>
    <definedName name="_4HNCTT4" localSheetId="7">#REF!</definedName>
    <definedName name="_4HNCTT4" localSheetId="15">#REF!</definedName>
    <definedName name="_4HNCTT4" localSheetId="1">#REF!</definedName>
    <definedName name="_4HNCTT4" localSheetId="18">#REF!</definedName>
    <definedName name="_4HNCTT4" localSheetId="16">#REF!</definedName>
    <definedName name="_4HNCTT4" localSheetId="6">#REF!</definedName>
    <definedName name="_4HNCTT4" localSheetId="3">#REF!</definedName>
    <definedName name="_4HNCTT4" localSheetId="17">#REF!</definedName>
    <definedName name="_4HNCTT4" localSheetId="8">#REF!</definedName>
    <definedName name="_4HNCTT4" localSheetId="4">#REF!</definedName>
    <definedName name="_4HNCTT4" localSheetId="20">#REF!</definedName>
    <definedName name="_4HNCTT4">#REF!</definedName>
    <definedName name="_4LBCO01" localSheetId="7">#REF!</definedName>
    <definedName name="_4LBCO01" localSheetId="15">#REF!</definedName>
    <definedName name="_4LBCO01" localSheetId="1">#REF!</definedName>
    <definedName name="_4LBCO01" localSheetId="18">#REF!</definedName>
    <definedName name="_4LBCO01" localSheetId="16">#REF!</definedName>
    <definedName name="_4LBCO01" localSheetId="6">#REF!</definedName>
    <definedName name="_4LBCO01" localSheetId="3">#REF!</definedName>
    <definedName name="_4LBCO01" localSheetId="17">#REF!</definedName>
    <definedName name="_4LBCO01" localSheetId="8">#REF!</definedName>
    <definedName name="_4LBCO01" localSheetId="4">#REF!</definedName>
    <definedName name="_4LBCO01" localSheetId="20">#REF!</definedName>
    <definedName name="_4LBCO01">#REF!</definedName>
    <definedName name="_4OSLCTT" localSheetId="7">#REF!</definedName>
    <definedName name="_4OSLCTT" localSheetId="15">#REF!</definedName>
    <definedName name="_4OSLCTT" localSheetId="1">#REF!</definedName>
    <definedName name="_4OSLCTT" localSheetId="18">#REF!</definedName>
    <definedName name="_4OSLCTT" localSheetId="16">#REF!</definedName>
    <definedName name="_4OSLCTT" localSheetId="6">#REF!</definedName>
    <definedName name="_4OSLCTT" localSheetId="3">#REF!</definedName>
    <definedName name="_4OSLCTT" localSheetId="17">#REF!</definedName>
    <definedName name="_4OSLCTT" localSheetId="8">#REF!</definedName>
    <definedName name="_4OSLCTT" localSheetId="4">#REF!</definedName>
    <definedName name="_4OSLCTT" localSheetId="20">#REF!</definedName>
    <definedName name="_4OSLCTT">#REF!</definedName>
    <definedName name="_6_??????" localSheetId="7">#REF!</definedName>
    <definedName name="_6_??????" localSheetId="15">#REF!</definedName>
    <definedName name="_6_??????" localSheetId="1">#REF!</definedName>
    <definedName name="_6_??????" localSheetId="18">#REF!</definedName>
    <definedName name="_6_??????" localSheetId="16">#REF!</definedName>
    <definedName name="_6_??????" localSheetId="6">#REF!</definedName>
    <definedName name="_6_??????" localSheetId="3">#REF!</definedName>
    <definedName name="_6_??????" localSheetId="17">#REF!</definedName>
    <definedName name="_6_??????" localSheetId="8">#REF!</definedName>
    <definedName name="_6_??????" localSheetId="4">#REF!</definedName>
    <definedName name="_6_??????" localSheetId="20">#REF!</definedName>
    <definedName name="_6_??????">#REF!</definedName>
    <definedName name="_a">"'file:///A:/ACT-IS.XLS'#$8_4.$#REF!$#REF!"</definedName>
    <definedName name="_A65700" localSheetId="7">'[9]MTO REV.2(ARMOR)'!#REF!</definedName>
    <definedName name="_A65700" localSheetId="15">'[9]MTO REV.2(ARMOR)'!#REF!</definedName>
    <definedName name="_A65700" localSheetId="1">'[9]MTO REV.2(ARMOR)'!#REF!</definedName>
    <definedName name="_A65700" localSheetId="18">'[9]MTO REV.2(ARMOR)'!#REF!</definedName>
    <definedName name="_A65700" localSheetId="16">'[9]MTO REV.2(ARMOR)'!#REF!</definedName>
    <definedName name="_A65700" localSheetId="6">'[9]MTO REV.2(ARMOR)'!#REF!</definedName>
    <definedName name="_A65700" localSheetId="5">'[9]MTO REV.2(ARMOR)'!#REF!</definedName>
    <definedName name="_A65700" localSheetId="3">'[9]MTO REV.2(ARMOR)'!#REF!</definedName>
    <definedName name="_A65700" localSheetId="17">'[9]MTO REV.2(ARMOR)'!#REF!</definedName>
    <definedName name="_A65700" localSheetId="8">'[9]MTO REV.2(ARMOR)'!#REF!</definedName>
    <definedName name="_A65700" localSheetId="4">'[9]MTO REV.2(ARMOR)'!#REF!</definedName>
    <definedName name="_A65700" localSheetId="20">'[9]MTO REV.2(ARMOR)'!#REF!</definedName>
    <definedName name="_A65700">'[9]MTO REV.2(ARMOR)'!#REF!</definedName>
    <definedName name="_A65800" localSheetId="7">'[9]MTO REV.2(ARMOR)'!#REF!</definedName>
    <definedName name="_A65800" localSheetId="15">'[9]MTO REV.2(ARMOR)'!#REF!</definedName>
    <definedName name="_A65800" localSheetId="1">'[9]MTO REV.2(ARMOR)'!#REF!</definedName>
    <definedName name="_A65800" localSheetId="18">'[9]MTO REV.2(ARMOR)'!#REF!</definedName>
    <definedName name="_A65800" localSheetId="16">'[9]MTO REV.2(ARMOR)'!#REF!</definedName>
    <definedName name="_A65800" localSheetId="6">'[9]MTO REV.2(ARMOR)'!#REF!</definedName>
    <definedName name="_A65800" localSheetId="5">'[9]MTO REV.2(ARMOR)'!#REF!</definedName>
    <definedName name="_A65800" localSheetId="3">'[9]MTO REV.2(ARMOR)'!#REF!</definedName>
    <definedName name="_A65800" localSheetId="17">'[9]MTO REV.2(ARMOR)'!#REF!</definedName>
    <definedName name="_A65800" localSheetId="8">'[9]MTO REV.2(ARMOR)'!#REF!</definedName>
    <definedName name="_A65800" localSheetId="4">'[9]MTO REV.2(ARMOR)'!#REF!</definedName>
    <definedName name="_A65800" localSheetId="20">'[9]MTO REV.2(ARMOR)'!#REF!</definedName>
    <definedName name="_A65800">'[9]MTO REV.2(ARMOR)'!#REF!</definedName>
    <definedName name="_A66000" localSheetId="7">'[9]MTO REV.2(ARMOR)'!#REF!</definedName>
    <definedName name="_A66000" localSheetId="15">'[9]MTO REV.2(ARMOR)'!#REF!</definedName>
    <definedName name="_A66000" localSheetId="1">'[9]MTO REV.2(ARMOR)'!#REF!</definedName>
    <definedName name="_A66000" localSheetId="18">'[9]MTO REV.2(ARMOR)'!#REF!</definedName>
    <definedName name="_A66000" localSheetId="16">'[9]MTO REV.2(ARMOR)'!#REF!</definedName>
    <definedName name="_A66000" localSheetId="6">'[9]MTO REV.2(ARMOR)'!#REF!</definedName>
    <definedName name="_A66000" localSheetId="5">'[9]MTO REV.2(ARMOR)'!#REF!</definedName>
    <definedName name="_A66000" localSheetId="3">'[9]MTO REV.2(ARMOR)'!#REF!</definedName>
    <definedName name="_A66000" localSheetId="17">'[9]MTO REV.2(ARMOR)'!#REF!</definedName>
    <definedName name="_A66000" localSheetId="8">'[9]MTO REV.2(ARMOR)'!#REF!</definedName>
    <definedName name="_A66000" localSheetId="4">'[9]MTO REV.2(ARMOR)'!#REF!</definedName>
    <definedName name="_A66000" localSheetId="20">'[9]MTO REV.2(ARMOR)'!#REF!</definedName>
    <definedName name="_A66000">'[9]MTO REV.2(ARMOR)'!#REF!</definedName>
    <definedName name="_A67000" localSheetId="7">'[9]MTO REV.2(ARMOR)'!#REF!</definedName>
    <definedName name="_A67000" localSheetId="15">'[9]MTO REV.2(ARMOR)'!#REF!</definedName>
    <definedName name="_A67000" localSheetId="1">'[9]MTO REV.2(ARMOR)'!#REF!</definedName>
    <definedName name="_A67000" localSheetId="18">'[9]MTO REV.2(ARMOR)'!#REF!</definedName>
    <definedName name="_A67000" localSheetId="16">'[9]MTO REV.2(ARMOR)'!#REF!</definedName>
    <definedName name="_A67000" localSheetId="6">'[9]MTO REV.2(ARMOR)'!#REF!</definedName>
    <definedName name="_A67000" localSheetId="5">'[9]MTO REV.2(ARMOR)'!#REF!</definedName>
    <definedName name="_A67000" localSheetId="3">'[9]MTO REV.2(ARMOR)'!#REF!</definedName>
    <definedName name="_A67000" localSheetId="17">'[9]MTO REV.2(ARMOR)'!#REF!</definedName>
    <definedName name="_A67000" localSheetId="8">'[9]MTO REV.2(ARMOR)'!#REF!</definedName>
    <definedName name="_A67000" localSheetId="4">'[9]MTO REV.2(ARMOR)'!#REF!</definedName>
    <definedName name="_A67000" localSheetId="20">'[9]MTO REV.2(ARMOR)'!#REF!</definedName>
    <definedName name="_A67000">'[9]MTO REV.2(ARMOR)'!#REF!</definedName>
    <definedName name="_A68000" localSheetId="7">'[9]MTO REV.2(ARMOR)'!#REF!</definedName>
    <definedName name="_A68000" localSheetId="15">'[9]MTO REV.2(ARMOR)'!#REF!</definedName>
    <definedName name="_A68000" localSheetId="1">'[9]MTO REV.2(ARMOR)'!#REF!</definedName>
    <definedName name="_A68000" localSheetId="18">'[9]MTO REV.2(ARMOR)'!#REF!</definedName>
    <definedName name="_A68000" localSheetId="16">'[9]MTO REV.2(ARMOR)'!#REF!</definedName>
    <definedName name="_A68000" localSheetId="6">'[9]MTO REV.2(ARMOR)'!#REF!</definedName>
    <definedName name="_A68000" localSheetId="5">'[9]MTO REV.2(ARMOR)'!#REF!</definedName>
    <definedName name="_A68000" localSheetId="3">'[9]MTO REV.2(ARMOR)'!#REF!</definedName>
    <definedName name="_A68000" localSheetId="17">'[9]MTO REV.2(ARMOR)'!#REF!</definedName>
    <definedName name="_A68000" localSheetId="8">'[9]MTO REV.2(ARMOR)'!#REF!</definedName>
    <definedName name="_A68000" localSheetId="4">'[9]MTO REV.2(ARMOR)'!#REF!</definedName>
    <definedName name="_A68000" localSheetId="20">'[9]MTO REV.2(ARMOR)'!#REF!</definedName>
    <definedName name="_A68000">'[9]MTO REV.2(ARMOR)'!#REF!</definedName>
    <definedName name="_A70000" localSheetId="7">'[9]MTO REV.2(ARMOR)'!#REF!</definedName>
    <definedName name="_A70000" localSheetId="15">'[9]MTO REV.2(ARMOR)'!#REF!</definedName>
    <definedName name="_A70000" localSheetId="1">'[9]MTO REV.2(ARMOR)'!#REF!</definedName>
    <definedName name="_A70000" localSheetId="18">'[9]MTO REV.2(ARMOR)'!#REF!</definedName>
    <definedName name="_A70000" localSheetId="16">'[9]MTO REV.2(ARMOR)'!#REF!</definedName>
    <definedName name="_A70000" localSheetId="6">'[9]MTO REV.2(ARMOR)'!#REF!</definedName>
    <definedName name="_A70000" localSheetId="5">'[9]MTO REV.2(ARMOR)'!#REF!</definedName>
    <definedName name="_A70000" localSheetId="3">'[9]MTO REV.2(ARMOR)'!#REF!</definedName>
    <definedName name="_A70000" localSheetId="17">'[9]MTO REV.2(ARMOR)'!#REF!</definedName>
    <definedName name="_A70000" localSheetId="8">'[9]MTO REV.2(ARMOR)'!#REF!</definedName>
    <definedName name="_A70000" localSheetId="4">'[9]MTO REV.2(ARMOR)'!#REF!</definedName>
    <definedName name="_A70000" localSheetId="20">'[9]MTO REV.2(ARMOR)'!#REF!</definedName>
    <definedName name="_A70000">'[9]MTO REV.2(ARMOR)'!#REF!</definedName>
    <definedName name="_A75000" localSheetId="7">'[9]MTO REV.2(ARMOR)'!#REF!</definedName>
    <definedName name="_A75000" localSheetId="15">'[9]MTO REV.2(ARMOR)'!#REF!</definedName>
    <definedName name="_A75000" localSheetId="1">'[9]MTO REV.2(ARMOR)'!#REF!</definedName>
    <definedName name="_A75000" localSheetId="18">'[9]MTO REV.2(ARMOR)'!#REF!</definedName>
    <definedName name="_A75000" localSheetId="16">'[9]MTO REV.2(ARMOR)'!#REF!</definedName>
    <definedName name="_A75000" localSheetId="6">'[9]MTO REV.2(ARMOR)'!#REF!</definedName>
    <definedName name="_A75000" localSheetId="5">'[9]MTO REV.2(ARMOR)'!#REF!</definedName>
    <definedName name="_A75000" localSheetId="3">'[9]MTO REV.2(ARMOR)'!#REF!</definedName>
    <definedName name="_A75000" localSheetId="17">'[9]MTO REV.2(ARMOR)'!#REF!</definedName>
    <definedName name="_A75000" localSheetId="8">'[9]MTO REV.2(ARMOR)'!#REF!</definedName>
    <definedName name="_A75000" localSheetId="4">'[9]MTO REV.2(ARMOR)'!#REF!</definedName>
    <definedName name="_A75000" localSheetId="20">'[9]MTO REV.2(ARMOR)'!#REF!</definedName>
    <definedName name="_A75000">'[9]MTO REV.2(ARMOR)'!#REF!</definedName>
    <definedName name="_A85000" localSheetId="7">'[9]MTO REV.2(ARMOR)'!#REF!</definedName>
    <definedName name="_A85000" localSheetId="15">'[9]MTO REV.2(ARMOR)'!#REF!</definedName>
    <definedName name="_A85000" localSheetId="1">'[9]MTO REV.2(ARMOR)'!#REF!</definedName>
    <definedName name="_A85000" localSheetId="18">'[9]MTO REV.2(ARMOR)'!#REF!</definedName>
    <definedName name="_A85000" localSheetId="16">'[9]MTO REV.2(ARMOR)'!#REF!</definedName>
    <definedName name="_A85000" localSheetId="6">'[9]MTO REV.2(ARMOR)'!#REF!</definedName>
    <definedName name="_A85000" localSheetId="5">'[9]MTO REV.2(ARMOR)'!#REF!</definedName>
    <definedName name="_A85000" localSheetId="3">'[9]MTO REV.2(ARMOR)'!#REF!</definedName>
    <definedName name="_A85000" localSheetId="17">'[9]MTO REV.2(ARMOR)'!#REF!</definedName>
    <definedName name="_A85000" localSheetId="8">'[9]MTO REV.2(ARMOR)'!#REF!</definedName>
    <definedName name="_A85000" localSheetId="4">'[9]MTO REV.2(ARMOR)'!#REF!</definedName>
    <definedName name="_A85000" localSheetId="20">'[9]MTO REV.2(ARMOR)'!#REF!</definedName>
    <definedName name="_A85000">'[9]MTO REV.2(ARMOR)'!#REF!</definedName>
    <definedName name="_b">"'file:///A:/ACT-IS.XLS'#$8_4.$#REF!$#REF!"</definedName>
    <definedName name="_CON1" localSheetId="7">#REF!</definedName>
    <definedName name="_CON1" localSheetId="15">#REF!</definedName>
    <definedName name="_CON1" localSheetId="1">#REF!</definedName>
    <definedName name="_CON1" localSheetId="18">#REF!</definedName>
    <definedName name="_CON1" localSheetId="16">#REF!</definedName>
    <definedName name="_CON1" localSheetId="6">#REF!</definedName>
    <definedName name="_CON1" localSheetId="5">#REF!</definedName>
    <definedName name="_CON1" localSheetId="3">#REF!</definedName>
    <definedName name="_CON1" localSheetId="17">#REF!</definedName>
    <definedName name="_CON1" localSheetId="8">#REF!</definedName>
    <definedName name="_CON1" localSheetId="4">#REF!</definedName>
    <definedName name="_CON1" localSheetId="20">#REF!</definedName>
    <definedName name="_CON1">#REF!</definedName>
    <definedName name="_con120" localSheetId="7">'[10]page 6'!#REF!</definedName>
    <definedName name="_con120" localSheetId="15">'[10]page 6'!#REF!</definedName>
    <definedName name="_con120" localSheetId="1">'[10]page 6'!#REF!</definedName>
    <definedName name="_con120" localSheetId="18">'[10]page 6'!#REF!</definedName>
    <definedName name="_con120" localSheetId="16">'[10]page 6'!#REF!</definedName>
    <definedName name="_con120" localSheetId="6">'[10]page 6'!#REF!</definedName>
    <definedName name="_con120" localSheetId="5">'[10]page 6'!#REF!</definedName>
    <definedName name="_con120" localSheetId="3">'[10]page 6'!#REF!</definedName>
    <definedName name="_con120" localSheetId="17">'[10]page 6'!#REF!</definedName>
    <definedName name="_con120" localSheetId="8">'[10]page 6'!#REF!</definedName>
    <definedName name="_con120" localSheetId="4">'[10]page 6'!#REF!</definedName>
    <definedName name="_con120" localSheetId="20">'[10]page 6'!#REF!</definedName>
    <definedName name="_con120">'[10]page 6'!#REF!</definedName>
    <definedName name="_CON2" localSheetId="7">#REF!</definedName>
    <definedName name="_CON2" localSheetId="15">#REF!</definedName>
    <definedName name="_CON2" localSheetId="1">#REF!</definedName>
    <definedName name="_CON2" localSheetId="18">#REF!</definedName>
    <definedName name="_CON2" localSheetId="16">#REF!</definedName>
    <definedName name="_CON2" localSheetId="6">#REF!</definedName>
    <definedName name="_CON2" localSheetId="5">#REF!</definedName>
    <definedName name="_CON2" localSheetId="3">#REF!</definedName>
    <definedName name="_CON2" localSheetId="17">#REF!</definedName>
    <definedName name="_CON2" localSheetId="8">#REF!</definedName>
    <definedName name="_CON2" localSheetId="4">#REF!</definedName>
    <definedName name="_CON2" localSheetId="20">#REF!</definedName>
    <definedName name="_CON2">#REF!</definedName>
    <definedName name="_con30" localSheetId="7">'[10]page 6'!#REF!</definedName>
    <definedName name="_con30" localSheetId="15">'[10]page 6'!#REF!</definedName>
    <definedName name="_con30" localSheetId="1">'[10]page 6'!#REF!</definedName>
    <definedName name="_con30" localSheetId="18">'[10]page 6'!#REF!</definedName>
    <definedName name="_con30" localSheetId="16">'[10]page 6'!#REF!</definedName>
    <definedName name="_con30" localSheetId="6">'[10]page 6'!#REF!</definedName>
    <definedName name="_con30" localSheetId="5">'[10]page 6'!#REF!</definedName>
    <definedName name="_con30" localSheetId="3">'[10]page 6'!#REF!</definedName>
    <definedName name="_con30" localSheetId="17">'[10]page 6'!#REF!</definedName>
    <definedName name="_con30" localSheetId="8">'[10]page 6'!#REF!</definedName>
    <definedName name="_con30" localSheetId="4">'[10]page 6'!#REF!</definedName>
    <definedName name="_con30" localSheetId="20">'[10]page 6'!#REF!</definedName>
    <definedName name="_con30">'[10]page 6'!#REF!</definedName>
    <definedName name="_con60" localSheetId="7">'[10]page 6'!#REF!</definedName>
    <definedName name="_con60" localSheetId="15">'[10]page 6'!#REF!</definedName>
    <definedName name="_con60" localSheetId="1">'[10]page 6'!#REF!</definedName>
    <definedName name="_con60" localSheetId="18">'[10]page 6'!#REF!</definedName>
    <definedName name="_con60" localSheetId="16">'[10]page 6'!#REF!</definedName>
    <definedName name="_con60" localSheetId="6">'[10]page 6'!#REF!</definedName>
    <definedName name="_con60" localSheetId="5">'[10]page 6'!#REF!</definedName>
    <definedName name="_con60" localSheetId="3">'[10]page 6'!#REF!</definedName>
    <definedName name="_con60" localSheetId="17">'[10]page 6'!#REF!</definedName>
    <definedName name="_con60" localSheetId="8">'[10]page 6'!#REF!</definedName>
    <definedName name="_con60" localSheetId="4">'[10]page 6'!#REF!</definedName>
    <definedName name="_con60" localSheetId="20">'[10]page 6'!#REF!</definedName>
    <definedName name="_con60">'[10]page 6'!#REF!</definedName>
    <definedName name="_con90" localSheetId="7">'[10]page 6'!#REF!</definedName>
    <definedName name="_con90" localSheetId="15">'[10]page 6'!#REF!</definedName>
    <definedName name="_con90" localSheetId="1">'[10]page 6'!#REF!</definedName>
    <definedName name="_con90" localSheetId="18">'[10]page 6'!#REF!</definedName>
    <definedName name="_con90" localSheetId="16">'[10]page 6'!#REF!</definedName>
    <definedName name="_con90" localSheetId="6">'[10]page 6'!#REF!</definedName>
    <definedName name="_con90" localSheetId="5">'[10]page 6'!#REF!</definedName>
    <definedName name="_con90" localSheetId="3">'[10]page 6'!#REF!</definedName>
    <definedName name="_con90" localSheetId="17">'[10]page 6'!#REF!</definedName>
    <definedName name="_con90" localSheetId="8">'[10]page 6'!#REF!</definedName>
    <definedName name="_con90" localSheetId="4">'[10]page 6'!#REF!</definedName>
    <definedName name="_con90" localSheetId="20">'[10]page 6'!#REF!</definedName>
    <definedName name="_con90">'[10]page 6'!#REF!</definedName>
    <definedName name="_CV11" localSheetId="7">#REF!</definedName>
    <definedName name="_CV11" localSheetId="15">#REF!</definedName>
    <definedName name="_CV11" localSheetId="1">#REF!</definedName>
    <definedName name="_CV11" localSheetId="18">#REF!</definedName>
    <definedName name="_CV11" localSheetId="16">#REF!</definedName>
    <definedName name="_CV11" localSheetId="6">#REF!</definedName>
    <definedName name="_CV11" localSheetId="5">#REF!</definedName>
    <definedName name="_CV11" localSheetId="3">#REF!</definedName>
    <definedName name="_CV11" localSheetId="17">#REF!</definedName>
    <definedName name="_CV11" localSheetId="8">#REF!</definedName>
    <definedName name="_CV11" localSheetId="4">#REF!</definedName>
    <definedName name="_CV11" localSheetId="20">#REF!</definedName>
    <definedName name="_CV11">#REF!</definedName>
    <definedName name="_CV16" localSheetId="7">#REF!</definedName>
    <definedName name="_CV16" localSheetId="15">#REF!</definedName>
    <definedName name="_CV16" localSheetId="1">#REF!</definedName>
    <definedName name="_CV16" localSheetId="18">#REF!</definedName>
    <definedName name="_CV16" localSheetId="16">#REF!</definedName>
    <definedName name="_CV16" localSheetId="6">#REF!</definedName>
    <definedName name="_CV16" localSheetId="5">#REF!</definedName>
    <definedName name="_CV16" localSheetId="3">#REF!</definedName>
    <definedName name="_CV16" localSheetId="17">#REF!</definedName>
    <definedName name="_CV16" localSheetId="8">#REF!</definedName>
    <definedName name="_CV16" localSheetId="4">#REF!</definedName>
    <definedName name="_CV16" localSheetId="20">#REF!</definedName>
    <definedName name="_CV16">#REF!</definedName>
    <definedName name="_CV21" localSheetId="7">#REF!</definedName>
    <definedName name="_CV21" localSheetId="15">#REF!</definedName>
    <definedName name="_CV21" localSheetId="1">#REF!</definedName>
    <definedName name="_CV21" localSheetId="18">#REF!</definedName>
    <definedName name="_CV21" localSheetId="16">#REF!</definedName>
    <definedName name="_CV21" localSheetId="6">#REF!</definedName>
    <definedName name="_CV21" localSheetId="5">#REF!</definedName>
    <definedName name="_CV21" localSheetId="3">#REF!</definedName>
    <definedName name="_CV21" localSheetId="17">#REF!</definedName>
    <definedName name="_CV21" localSheetId="8">#REF!</definedName>
    <definedName name="_CV21" localSheetId="4">#REF!</definedName>
    <definedName name="_CV21" localSheetId="20">#REF!</definedName>
    <definedName name="_CV21">#REF!</definedName>
    <definedName name="_CV26" localSheetId="7">#REF!</definedName>
    <definedName name="_CV26" localSheetId="15">#REF!</definedName>
    <definedName name="_CV26" localSheetId="1">#REF!</definedName>
    <definedName name="_CV26" localSheetId="18">#REF!</definedName>
    <definedName name="_CV26" localSheetId="16">#REF!</definedName>
    <definedName name="_CV26" localSheetId="6">#REF!</definedName>
    <definedName name="_CV26" localSheetId="5">#REF!</definedName>
    <definedName name="_CV26" localSheetId="3">#REF!</definedName>
    <definedName name="_CV26" localSheetId="17">#REF!</definedName>
    <definedName name="_CV26" localSheetId="8">#REF!</definedName>
    <definedName name="_CV26" localSheetId="4">#REF!</definedName>
    <definedName name="_CV26" localSheetId="20">#REF!</definedName>
    <definedName name="_CV26">#REF!</definedName>
    <definedName name="_CV31" localSheetId="7">#REF!</definedName>
    <definedName name="_CV31" localSheetId="15">#REF!</definedName>
    <definedName name="_CV31" localSheetId="1">#REF!</definedName>
    <definedName name="_CV31" localSheetId="18">#REF!</definedName>
    <definedName name="_CV31" localSheetId="16">#REF!</definedName>
    <definedName name="_CV31" localSheetId="6">#REF!</definedName>
    <definedName name="_CV31" localSheetId="5">#REF!</definedName>
    <definedName name="_CV31" localSheetId="3">#REF!</definedName>
    <definedName name="_CV31" localSheetId="17">#REF!</definedName>
    <definedName name="_CV31" localSheetId="8">#REF!</definedName>
    <definedName name="_CV31" localSheetId="4">#REF!</definedName>
    <definedName name="_CV31" localSheetId="20">#REF!</definedName>
    <definedName name="_CV31">#REF!</definedName>
    <definedName name="_CV36" localSheetId="7">#REF!</definedName>
    <definedName name="_CV36" localSheetId="15">#REF!</definedName>
    <definedName name="_CV36" localSheetId="1">#REF!</definedName>
    <definedName name="_CV36" localSheetId="18">#REF!</definedName>
    <definedName name="_CV36" localSheetId="16">#REF!</definedName>
    <definedName name="_CV36" localSheetId="6">#REF!</definedName>
    <definedName name="_CV36" localSheetId="5">#REF!</definedName>
    <definedName name="_CV36" localSheetId="3">#REF!</definedName>
    <definedName name="_CV36" localSheetId="17">#REF!</definedName>
    <definedName name="_CV36" localSheetId="8">#REF!</definedName>
    <definedName name="_CV36" localSheetId="4">#REF!</definedName>
    <definedName name="_CV36" localSheetId="20">#REF!</definedName>
    <definedName name="_CV36">#REF!</definedName>
    <definedName name="_CV41" localSheetId="7">#REF!</definedName>
    <definedName name="_CV41" localSheetId="15">#REF!</definedName>
    <definedName name="_CV41" localSheetId="1">#REF!</definedName>
    <definedName name="_CV41" localSheetId="18">#REF!</definedName>
    <definedName name="_CV41" localSheetId="16">#REF!</definedName>
    <definedName name="_CV41" localSheetId="6">#REF!</definedName>
    <definedName name="_CV41" localSheetId="5">#REF!</definedName>
    <definedName name="_CV41" localSheetId="3">#REF!</definedName>
    <definedName name="_CV41" localSheetId="17">#REF!</definedName>
    <definedName name="_CV41" localSheetId="8">#REF!</definedName>
    <definedName name="_CV41" localSheetId="4">#REF!</definedName>
    <definedName name="_CV41" localSheetId="20">#REF!</definedName>
    <definedName name="_CV41">#REF!</definedName>
    <definedName name="_CV46" localSheetId="7">#REF!</definedName>
    <definedName name="_CV46" localSheetId="15">#REF!</definedName>
    <definedName name="_CV46" localSheetId="1">#REF!</definedName>
    <definedName name="_CV46" localSheetId="18">#REF!</definedName>
    <definedName name="_CV46" localSheetId="16">#REF!</definedName>
    <definedName name="_CV46" localSheetId="6">#REF!</definedName>
    <definedName name="_CV46" localSheetId="5">#REF!</definedName>
    <definedName name="_CV46" localSheetId="3">#REF!</definedName>
    <definedName name="_CV46" localSheetId="17">#REF!</definedName>
    <definedName name="_CV46" localSheetId="8">#REF!</definedName>
    <definedName name="_CV46" localSheetId="4">#REF!</definedName>
    <definedName name="_CV46" localSheetId="20">#REF!</definedName>
    <definedName name="_CV46">#REF!</definedName>
    <definedName name="_CV51" localSheetId="7">#REF!</definedName>
    <definedName name="_CV51" localSheetId="15">#REF!</definedName>
    <definedName name="_CV51" localSheetId="1">#REF!</definedName>
    <definedName name="_CV51" localSheetId="18">#REF!</definedName>
    <definedName name="_CV51" localSheetId="16">#REF!</definedName>
    <definedName name="_CV51" localSheetId="6">#REF!</definedName>
    <definedName name="_CV51" localSheetId="5">#REF!</definedName>
    <definedName name="_CV51" localSheetId="3">#REF!</definedName>
    <definedName name="_CV51" localSheetId="17">#REF!</definedName>
    <definedName name="_CV51" localSheetId="8">#REF!</definedName>
    <definedName name="_CV51" localSheetId="4">#REF!</definedName>
    <definedName name="_CV51" localSheetId="20">#REF!</definedName>
    <definedName name="_CV51">#REF!</definedName>
    <definedName name="_CV56" localSheetId="7">#REF!</definedName>
    <definedName name="_CV56" localSheetId="15">#REF!</definedName>
    <definedName name="_CV56" localSheetId="1">#REF!</definedName>
    <definedName name="_CV56" localSheetId="18">#REF!</definedName>
    <definedName name="_CV56" localSheetId="16">#REF!</definedName>
    <definedName name="_CV56" localSheetId="6">#REF!</definedName>
    <definedName name="_CV56" localSheetId="5">#REF!</definedName>
    <definedName name="_CV56" localSheetId="3">#REF!</definedName>
    <definedName name="_CV56" localSheetId="17">#REF!</definedName>
    <definedName name="_CV56" localSheetId="8">#REF!</definedName>
    <definedName name="_CV56" localSheetId="4">#REF!</definedName>
    <definedName name="_CV56" localSheetId="20">#REF!</definedName>
    <definedName name="_CV56">#REF!</definedName>
    <definedName name="_D">"$#REF!.$AA$39"</definedName>
    <definedName name="_DAT1" localSheetId="7">#REF!</definedName>
    <definedName name="_DAT1" localSheetId="15">#REF!</definedName>
    <definedName name="_DAT1" localSheetId="1">#REF!</definedName>
    <definedName name="_DAT1" localSheetId="18">#REF!</definedName>
    <definedName name="_DAT1" localSheetId="16">#REF!</definedName>
    <definedName name="_DAT1" localSheetId="6">#REF!</definedName>
    <definedName name="_DAT1" localSheetId="10">#REF!</definedName>
    <definedName name="_DAT1" localSheetId="14">#REF!</definedName>
    <definedName name="_DAT1" localSheetId="5">#REF!</definedName>
    <definedName name="_DAT1" localSheetId="3">#REF!</definedName>
    <definedName name="_DAT1" localSheetId="17">#REF!</definedName>
    <definedName name="_DAT1" localSheetId="8">#REF!</definedName>
    <definedName name="_DAT1" localSheetId="4">#REF!</definedName>
    <definedName name="_DAT1" localSheetId="20">#REF!</definedName>
    <definedName name="_DAT1">#REF!</definedName>
    <definedName name="_DAT10" localSheetId="7">#REF!</definedName>
    <definedName name="_DAT10" localSheetId="15">#REF!</definedName>
    <definedName name="_DAT10" localSheetId="1">#REF!</definedName>
    <definedName name="_DAT10" localSheetId="18">#REF!</definedName>
    <definedName name="_DAT10" localSheetId="16">#REF!</definedName>
    <definedName name="_DAT10" localSheetId="6">#REF!</definedName>
    <definedName name="_DAT10" localSheetId="10">#REF!</definedName>
    <definedName name="_DAT10" localSheetId="14">#REF!</definedName>
    <definedName name="_DAT10" localSheetId="5">#REF!</definedName>
    <definedName name="_DAT10" localSheetId="3">#REF!</definedName>
    <definedName name="_DAT10" localSheetId="17">#REF!</definedName>
    <definedName name="_DAT10" localSheetId="8">#REF!</definedName>
    <definedName name="_DAT10" localSheetId="4">#REF!</definedName>
    <definedName name="_DAT10" localSheetId="20">#REF!</definedName>
    <definedName name="_DAT10">#REF!</definedName>
    <definedName name="_DAT11" localSheetId="7">#REF!</definedName>
    <definedName name="_DAT11" localSheetId="15">#REF!</definedName>
    <definedName name="_DAT11" localSheetId="1">#REF!</definedName>
    <definedName name="_DAT11" localSheetId="18">#REF!</definedName>
    <definedName name="_DAT11" localSheetId="16">#REF!</definedName>
    <definedName name="_DAT11" localSheetId="6">#REF!</definedName>
    <definedName name="_DAT11" localSheetId="10">#REF!</definedName>
    <definedName name="_DAT11" localSheetId="14">#REF!</definedName>
    <definedName name="_DAT11" localSheetId="5">#REF!</definedName>
    <definedName name="_DAT11" localSheetId="3">#REF!</definedName>
    <definedName name="_DAT11" localSheetId="17">#REF!</definedName>
    <definedName name="_DAT11" localSheetId="8">#REF!</definedName>
    <definedName name="_DAT11" localSheetId="4">#REF!</definedName>
    <definedName name="_DAT11" localSheetId="20">#REF!</definedName>
    <definedName name="_DAT11">#REF!</definedName>
    <definedName name="_DAT12" localSheetId="7">#REF!</definedName>
    <definedName name="_DAT12" localSheetId="15">#REF!</definedName>
    <definedName name="_DAT12" localSheetId="1">#REF!</definedName>
    <definedName name="_DAT12" localSheetId="18">#REF!</definedName>
    <definedName name="_DAT12" localSheetId="16">#REF!</definedName>
    <definedName name="_DAT12" localSheetId="6">#REF!</definedName>
    <definedName name="_DAT12" localSheetId="10">#REF!</definedName>
    <definedName name="_DAT12" localSheetId="14">#REF!</definedName>
    <definedName name="_DAT12" localSheetId="5">#REF!</definedName>
    <definedName name="_DAT12" localSheetId="3">#REF!</definedName>
    <definedName name="_DAT12" localSheetId="17">#REF!</definedName>
    <definedName name="_DAT12" localSheetId="8">#REF!</definedName>
    <definedName name="_DAT12" localSheetId="4">#REF!</definedName>
    <definedName name="_DAT12" localSheetId="20">#REF!</definedName>
    <definedName name="_DAT12">#REF!</definedName>
    <definedName name="_DAT13" localSheetId="7">#REF!</definedName>
    <definedName name="_DAT13" localSheetId="15">#REF!</definedName>
    <definedName name="_DAT13" localSheetId="1">#REF!</definedName>
    <definedName name="_DAT13" localSheetId="18">#REF!</definedName>
    <definedName name="_DAT13" localSheetId="16">#REF!</definedName>
    <definedName name="_DAT13" localSheetId="6">#REF!</definedName>
    <definedName name="_DAT13" localSheetId="10">#REF!</definedName>
    <definedName name="_DAT13" localSheetId="14">#REF!</definedName>
    <definedName name="_DAT13" localSheetId="5">#REF!</definedName>
    <definedName name="_DAT13" localSheetId="3">#REF!</definedName>
    <definedName name="_DAT13" localSheetId="17">#REF!</definedName>
    <definedName name="_DAT13" localSheetId="8">#REF!</definedName>
    <definedName name="_DAT13" localSheetId="4">#REF!</definedName>
    <definedName name="_DAT13" localSheetId="20">#REF!</definedName>
    <definedName name="_DAT13">#REF!</definedName>
    <definedName name="_DAT14" localSheetId="7">#REF!</definedName>
    <definedName name="_DAT14" localSheetId="15">#REF!</definedName>
    <definedName name="_DAT14" localSheetId="1">#REF!</definedName>
    <definedName name="_DAT14" localSheetId="18">#REF!</definedName>
    <definedName name="_DAT14" localSheetId="16">#REF!</definedName>
    <definedName name="_DAT14" localSheetId="6">#REF!</definedName>
    <definedName name="_DAT14" localSheetId="10">#REF!</definedName>
    <definedName name="_DAT14" localSheetId="14">#REF!</definedName>
    <definedName name="_DAT14" localSheetId="5">#REF!</definedName>
    <definedName name="_DAT14" localSheetId="3">#REF!</definedName>
    <definedName name="_DAT14" localSheetId="17">#REF!</definedName>
    <definedName name="_DAT14" localSheetId="8">#REF!</definedName>
    <definedName name="_DAT14" localSheetId="4">#REF!</definedName>
    <definedName name="_DAT14" localSheetId="20">#REF!</definedName>
    <definedName name="_DAT14">#REF!</definedName>
    <definedName name="_DAT15" localSheetId="7">#REF!</definedName>
    <definedName name="_DAT15" localSheetId="15">#REF!</definedName>
    <definedName name="_DAT15" localSheetId="1">#REF!</definedName>
    <definedName name="_DAT15" localSheetId="18">#REF!</definedName>
    <definedName name="_DAT15" localSheetId="16">#REF!</definedName>
    <definedName name="_DAT15" localSheetId="6">#REF!</definedName>
    <definedName name="_DAT15" localSheetId="10">#REF!</definedName>
    <definedName name="_DAT15" localSheetId="14">#REF!</definedName>
    <definedName name="_DAT15" localSheetId="5">#REF!</definedName>
    <definedName name="_DAT15" localSheetId="3">#REF!</definedName>
    <definedName name="_DAT15" localSheetId="17">#REF!</definedName>
    <definedName name="_DAT15" localSheetId="8">#REF!</definedName>
    <definedName name="_DAT15" localSheetId="4">#REF!</definedName>
    <definedName name="_DAT15" localSheetId="20">#REF!</definedName>
    <definedName name="_DAT15">#REF!</definedName>
    <definedName name="_DAT16" localSheetId="7">#REF!</definedName>
    <definedName name="_DAT16" localSheetId="15">#REF!</definedName>
    <definedName name="_DAT16" localSheetId="1">#REF!</definedName>
    <definedName name="_DAT16" localSheetId="18">#REF!</definedName>
    <definedName name="_DAT16" localSheetId="16">#REF!</definedName>
    <definedName name="_DAT16" localSheetId="6">#REF!</definedName>
    <definedName name="_DAT16" localSheetId="10">#REF!</definedName>
    <definedName name="_DAT16" localSheetId="14">#REF!</definedName>
    <definedName name="_DAT16" localSheetId="5">#REF!</definedName>
    <definedName name="_DAT16" localSheetId="3">#REF!</definedName>
    <definedName name="_DAT16" localSheetId="17">#REF!</definedName>
    <definedName name="_DAT16" localSheetId="8">#REF!</definedName>
    <definedName name="_DAT16" localSheetId="4">#REF!</definedName>
    <definedName name="_DAT16" localSheetId="20">#REF!</definedName>
    <definedName name="_DAT16">#REF!</definedName>
    <definedName name="_DAT17" localSheetId="7">#REF!</definedName>
    <definedName name="_DAT17" localSheetId="15">#REF!</definedName>
    <definedName name="_DAT17" localSheetId="1">#REF!</definedName>
    <definedName name="_DAT17" localSheetId="18">#REF!</definedName>
    <definedName name="_DAT17" localSheetId="16">#REF!</definedName>
    <definedName name="_DAT17" localSheetId="6">#REF!</definedName>
    <definedName name="_DAT17" localSheetId="10">#REF!</definedName>
    <definedName name="_DAT17" localSheetId="14">#REF!</definedName>
    <definedName name="_DAT17" localSheetId="5">#REF!</definedName>
    <definedName name="_DAT17" localSheetId="3">#REF!</definedName>
    <definedName name="_DAT17" localSheetId="17">#REF!</definedName>
    <definedName name="_DAT17" localSheetId="8">#REF!</definedName>
    <definedName name="_DAT17" localSheetId="4">#REF!</definedName>
    <definedName name="_DAT17" localSheetId="20">#REF!</definedName>
    <definedName name="_DAT17">#REF!</definedName>
    <definedName name="_DAT18" localSheetId="7">#REF!</definedName>
    <definedName name="_DAT18" localSheetId="15">#REF!</definedName>
    <definedName name="_DAT18" localSheetId="1">#REF!</definedName>
    <definedName name="_DAT18" localSheetId="18">#REF!</definedName>
    <definedName name="_DAT18" localSheetId="16">#REF!</definedName>
    <definedName name="_DAT18" localSheetId="6">#REF!</definedName>
    <definedName name="_DAT18" localSheetId="10">#REF!</definedName>
    <definedName name="_DAT18" localSheetId="14">#REF!</definedName>
    <definedName name="_DAT18" localSheetId="5">#REF!</definedName>
    <definedName name="_DAT18" localSheetId="3">#REF!</definedName>
    <definedName name="_DAT18" localSheetId="17">#REF!</definedName>
    <definedName name="_DAT18" localSheetId="8">#REF!</definedName>
    <definedName name="_DAT18" localSheetId="4">#REF!</definedName>
    <definedName name="_DAT18" localSheetId="20">#REF!</definedName>
    <definedName name="_DAT18">#REF!</definedName>
    <definedName name="_DAT19" localSheetId="7">#REF!</definedName>
    <definedName name="_DAT19" localSheetId="15">#REF!</definedName>
    <definedName name="_DAT19" localSheetId="1">#REF!</definedName>
    <definedName name="_DAT19" localSheetId="18">#REF!</definedName>
    <definedName name="_DAT19" localSheetId="16">#REF!</definedName>
    <definedName name="_DAT19" localSheetId="6">#REF!</definedName>
    <definedName name="_DAT19" localSheetId="10">#REF!</definedName>
    <definedName name="_DAT19" localSheetId="14">#REF!</definedName>
    <definedName name="_DAT19" localSheetId="5">#REF!</definedName>
    <definedName name="_DAT19" localSheetId="3">#REF!</definedName>
    <definedName name="_DAT19" localSheetId="17">#REF!</definedName>
    <definedName name="_DAT19" localSheetId="8">#REF!</definedName>
    <definedName name="_DAT19" localSheetId="4">#REF!</definedName>
    <definedName name="_DAT19" localSheetId="20">#REF!</definedName>
    <definedName name="_DAT19">#REF!</definedName>
    <definedName name="_DAT2" localSheetId="7">#REF!</definedName>
    <definedName name="_DAT2" localSheetId="15">#REF!</definedName>
    <definedName name="_DAT2" localSheetId="1">#REF!</definedName>
    <definedName name="_DAT2" localSheetId="18">#REF!</definedName>
    <definedName name="_DAT2" localSheetId="16">#REF!</definedName>
    <definedName name="_DAT2" localSheetId="6">#REF!</definedName>
    <definedName name="_DAT2" localSheetId="10">#REF!</definedName>
    <definedName name="_DAT2" localSheetId="14">#REF!</definedName>
    <definedName name="_DAT2" localSheetId="5">#REF!</definedName>
    <definedName name="_DAT2" localSheetId="3">#REF!</definedName>
    <definedName name="_DAT2" localSheetId="17">#REF!</definedName>
    <definedName name="_DAT2" localSheetId="8">#REF!</definedName>
    <definedName name="_DAT2" localSheetId="4">#REF!</definedName>
    <definedName name="_DAT2" localSheetId="20">#REF!</definedName>
    <definedName name="_DAT2">#REF!</definedName>
    <definedName name="_DAT20" localSheetId="7">#REF!</definedName>
    <definedName name="_DAT20" localSheetId="15">#REF!</definedName>
    <definedName name="_DAT20" localSheetId="1">#REF!</definedName>
    <definedName name="_DAT20" localSheetId="18">#REF!</definedName>
    <definedName name="_DAT20" localSheetId="16">#REF!</definedName>
    <definedName name="_DAT20" localSheetId="6">#REF!</definedName>
    <definedName name="_DAT20" localSheetId="10">#REF!</definedName>
    <definedName name="_DAT20" localSheetId="14">#REF!</definedName>
    <definedName name="_DAT20" localSheetId="5">#REF!</definedName>
    <definedName name="_DAT20" localSheetId="3">#REF!</definedName>
    <definedName name="_DAT20" localSheetId="17">#REF!</definedName>
    <definedName name="_DAT20" localSheetId="8">#REF!</definedName>
    <definedName name="_DAT20" localSheetId="4">#REF!</definedName>
    <definedName name="_DAT20" localSheetId="20">#REF!</definedName>
    <definedName name="_DAT20">#REF!</definedName>
    <definedName name="_DAT21" localSheetId="7">#REF!</definedName>
    <definedName name="_DAT21" localSheetId="15">#REF!</definedName>
    <definedName name="_DAT21" localSheetId="1">#REF!</definedName>
    <definedName name="_DAT21" localSheetId="18">#REF!</definedName>
    <definedName name="_DAT21" localSheetId="16">#REF!</definedName>
    <definedName name="_DAT21" localSheetId="6">#REF!</definedName>
    <definedName name="_DAT21" localSheetId="10">#REF!</definedName>
    <definedName name="_DAT21" localSheetId="14">#REF!</definedName>
    <definedName name="_DAT21" localSheetId="5">#REF!</definedName>
    <definedName name="_DAT21" localSheetId="3">#REF!</definedName>
    <definedName name="_DAT21" localSheetId="17">#REF!</definedName>
    <definedName name="_DAT21" localSheetId="8">#REF!</definedName>
    <definedName name="_DAT21" localSheetId="4">#REF!</definedName>
    <definedName name="_DAT21" localSheetId="20">#REF!</definedName>
    <definedName name="_DAT21">#REF!</definedName>
    <definedName name="_DAT22" localSheetId="7">#REF!</definedName>
    <definedName name="_DAT22" localSheetId="15">#REF!</definedName>
    <definedName name="_DAT22" localSheetId="1">#REF!</definedName>
    <definedName name="_DAT22" localSheetId="18">#REF!</definedName>
    <definedName name="_DAT22" localSheetId="16">#REF!</definedName>
    <definedName name="_DAT22" localSheetId="6">#REF!</definedName>
    <definedName name="_DAT22" localSheetId="10">#REF!</definedName>
    <definedName name="_DAT22" localSheetId="14">#REF!</definedName>
    <definedName name="_DAT22" localSheetId="5">#REF!</definedName>
    <definedName name="_DAT22" localSheetId="3">#REF!</definedName>
    <definedName name="_DAT22" localSheetId="17">#REF!</definedName>
    <definedName name="_DAT22" localSheetId="8">#REF!</definedName>
    <definedName name="_DAT22" localSheetId="4">#REF!</definedName>
    <definedName name="_DAT22" localSheetId="20">#REF!</definedName>
    <definedName name="_DAT22">#REF!</definedName>
    <definedName name="_DAT3" localSheetId="7">#REF!</definedName>
    <definedName name="_DAT3" localSheetId="15">#REF!</definedName>
    <definedName name="_DAT3" localSheetId="1">#REF!</definedName>
    <definedName name="_DAT3" localSheetId="18">#REF!</definedName>
    <definedName name="_DAT3" localSheetId="16">#REF!</definedName>
    <definedName name="_DAT3" localSheetId="6">#REF!</definedName>
    <definedName name="_DAT3" localSheetId="10">#REF!</definedName>
    <definedName name="_DAT3" localSheetId="14">#REF!</definedName>
    <definedName name="_DAT3" localSheetId="5">#REF!</definedName>
    <definedName name="_DAT3" localSheetId="3">#REF!</definedName>
    <definedName name="_DAT3" localSheetId="17">#REF!</definedName>
    <definedName name="_DAT3" localSheetId="8">#REF!</definedName>
    <definedName name="_DAT3" localSheetId="4">#REF!</definedName>
    <definedName name="_DAT3" localSheetId="20">#REF!</definedName>
    <definedName name="_DAT3">#REF!</definedName>
    <definedName name="_DAT4" localSheetId="7">#REF!</definedName>
    <definedName name="_DAT4" localSheetId="15">#REF!</definedName>
    <definedName name="_DAT4" localSheetId="1">#REF!</definedName>
    <definedName name="_DAT4" localSheetId="18">#REF!</definedName>
    <definedName name="_DAT4" localSheetId="16">#REF!</definedName>
    <definedName name="_DAT4" localSheetId="6">#REF!</definedName>
    <definedName name="_DAT4" localSheetId="10">#REF!</definedName>
    <definedName name="_DAT4" localSheetId="14">#REF!</definedName>
    <definedName name="_DAT4" localSheetId="5">#REF!</definedName>
    <definedName name="_DAT4" localSheetId="3">#REF!</definedName>
    <definedName name="_DAT4" localSheetId="17">#REF!</definedName>
    <definedName name="_DAT4" localSheetId="8">#REF!</definedName>
    <definedName name="_DAT4" localSheetId="4">#REF!</definedName>
    <definedName name="_DAT4" localSheetId="20">#REF!</definedName>
    <definedName name="_DAT4">#REF!</definedName>
    <definedName name="_DAT5" localSheetId="7">#REF!</definedName>
    <definedName name="_DAT5" localSheetId="15">#REF!</definedName>
    <definedName name="_DAT5" localSheetId="1">#REF!</definedName>
    <definedName name="_DAT5" localSheetId="18">#REF!</definedName>
    <definedName name="_DAT5" localSheetId="16">#REF!</definedName>
    <definedName name="_DAT5" localSheetId="6">#REF!</definedName>
    <definedName name="_DAT5" localSheetId="10">#REF!</definedName>
    <definedName name="_DAT5" localSheetId="14">#REF!</definedName>
    <definedName name="_DAT5" localSheetId="5">#REF!</definedName>
    <definedName name="_DAT5" localSheetId="3">#REF!</definedName>
    <definedName name="_DAT5" localSheetId="17">#REF!</definedName>
    <definedName name="_DAT5" localSheetId="8">#REF!</definedName>
    <definedName name="_DAT5" localSheetId="4">#REF!</definedName>
    <definedName name="_DAT5" localSheetId="20">#REF!</definedName>
    <definedName name="_DAT5">#REF!</definedName>
    <definedName name="_DAT6" localSheetId="7">#REF!</definedName>
    <definedName name="_DAT6" localSheetId="15">#REF!</definedName>
    <definedName name="_DAT6" localSheetId="1">#REF!</definedName>
    <definedName name="_DAT6" localSheetId="18">#REF!</definedName>
    <definedName name="_DAT6" localSheetId="16">#REF!</definedName>
    <definedName name="_DAT6" localSheetId="6">#REF!</definedName>
    <definedName name="_DAT6" localSheetId="10">#REF!</definedName>
    <definedName name="_DAT6" localSheetId="14">#REF!</definedName>
    <definedName name="_DAT6" localSheetId="5">#REF!</definedName>
    <definedName name="_DAT6" localSheetId="3">#REF!</definedName>
    <definedName name="_DAT6" localSheetId="17">#REF!</definedName>
    <definedName name="_DAT6" localSheetId="8">#REF!</definedName>
    <definedName name="_DAT6" localSheetId="4">#REF!</definedName>
    <definedName name="_DAT6" localSheetId="20">#REF!</definedName>
    <definedName name="_DAT6">#REF!</definedName>
    <definedName name="_DAT7" localSheetId="7">#REF!</definedName>
    <definedName name="_DAT7" localSheetId="15">#REF!</definedName>
    <definedName name="_DAT7" localSheetId="1">#REF!</definedName>
    <definedName name="_DAT7" localSheetId="18">#REF!</definedName>
    <definedName name="_DAT7" localSheetId="16">#REF!</definedName>
    <definedName name="_DAT7" localSheetId="6">#REF!</definedName>
    <definedName name="_DAT7" localSheetId="10">#REF!</definedName>
    <definedName name="_DAT7" localSheetId="14">#REF!</definedName>
    <definedName name="_DAT7" localSheetId="5">#REF!</definedName>
    <definedName name="_DAT7" localSheetId="3">#REF!</definedName>
    <definedName name="_DAT7" localSheetId="17">#REF!</definedName>
    <definedName name="_DAT7" localSheetId="8">#REF!</definedName>
    <definedName name="_DAT7" localSheetId="4">#REF!</definedName>
    <definedName name="_DAT7" localSheetId="20">#REF!</definedName>
    <definedName name="_DAT7">#REF!</definedName>
    <definedName name="_DAT8" localSheetId="7">#REF!</definedName>
    <definedName name="_DAT8" localSheetId="15">#REF!</definedName>
    <definedName name="_DAT8" localSheetId="1">#REF!</definedName>
    <definedName name="_DAT8" localSheetId="18">#REF!</definedName>
    <definedName name="_DAT8" localSheetId="16">#REF!</definedName>
    <definedName name="_DAT8" localSheetId="6">#REF!</definedName>
    <definedName name="_DAT8" localSheetId="10">#REF!</definedName>
    <definedName name="_DAT8" localSheetId="14">#REF!</definedName>
    <definedName name="_DAT8" localSheetId="5">#REF!</definedName>
    <definedName name="_DAT8" localSheetId="3">#REF!</definedName>
    <definedName name="_DAT8" localSheetId="17">#REF!</definedName>
    <definedName name="_DAT8" localSheetId="8">#REF!</definedName>
    <definedName name="_DAT8" localSheetId="4">#REF!</definedName>
    <definedName name="_DAT8" localSheetId="20">#REF!</definedName>
    <definedName name="_DAT8">#REF!</definedName>
    <definedName name="_DAT9" localSheetId="7">#REF!</definedName>
    <definedName name="_DAT9" localSheetId="15">#REF!</definedName>
    <definedName name="_DAT9" localSheetId="1">#REF!</definedName>
    <definedName name="_DAT9" localSheetId="18">#REF!</definedName>
    <definedName name="_DAT9" localSheetId="16">#REF!</definedName>
    <definedName name="_DAT9" localSheetId="6">#REF!</definedName>
    <definedName name="_DAT9" localSheetId="10">#REF!</definedName>
    <definedName name="_DAT9" localSheetId="14">#REF!</definedName>
    <definedName name="_DAT9" localSheetId="5">#REF!</definedName>
    <definedName name="_DAT9" localSheetId="3">#REF!</definedName>
    <definedName name="_DAT9" localSheetId="17">#REF!</definedName>
    <definedName name="_DAT9" localSheetId="8">#REF!</definedName>
    <definedName name="_DAT9" localSheetId="4">#REF!</definedName>
    <definedName name="_DAT9" localSheetId="20">#REF!</definedName>
    <definedName name="_DAT9">#REF!</definedName>
    <definedName name="_dct20">"$#REF!.$A$1:$IV$65536"</definedName>
    <definedName name="_dct206">"$#REF!.$A$1:$IV$65536"</definedName>
    <definedName name="_dct75">"$#REF!.$A$1:$IV$65536"</definedName>
    <definedName name="_dmc75">"$#REF!.$A$1:$IV$65536"</definedName>
    <definedName name="_F">"$#REF!.$AA$43"</definedName>
    <definedName name="_Fill" localSheetId="11" hidden="1">#REF!</definedName>
    <definedName name="_Fill" localSheetId="7" hidden="1">#REF!</definedName>
    <definedName name="_Fill" localSheetId="15" hidden="1">#REF!</definedName>
    <definedName name="_Fill" localSheetId="1" hidden="1">#REF!</definedName>
    <definedName name="_Fill" localSheetId="18" hidden="1">#REF!</definedName>
    <definedName name="_Fill" localSheetId="16" hidden="1">#REF!</definedName>
    <definedName name="_Fill" localSheetId="6" hidden="1">#REF!</definedName>
    <definedName name="_Fill" localSheetId="10" hidden="1">#REF!</definedName>
    <definedName name="_Fill" localSheetId="14" hidden="1">#REF!</definedName>
    <definedName name="_Fill" localSheetId="5" hidden="1">#REF!</definedName>
    <definedName name="_Fill" localSheetId="3" hidden="1">#REF!</definedName>
    <definedName name="_Fill" localSheetId="17" hidden="1">#REF!</definedName>
    <definedName name="_Fill" localSheetId="13" hidden="1">#REF!</definedName>
    <definedName name="_Fill" localSheetId="8" hidden="1">#REF!</definedName>
    <definedName name="_Fill" localSheetId="4" hidden="1">#REF!</definedName>
    <definedName name="_Fill" localSheetId="2" hidden="1">#REF!</definedName>
    <definedName name="_Fill" localSheetId="20" hidden="1">#REF!</definedName>
    <definedName name="_Fill" hidden="1">#REF!</definedName>
    <definedName name="_xlnm._FilterDatabase" localSheetId="11" hidden="1">'2017- APPROVED STAFF COST'!$A$6:$AG$46</definedName>
    <definedName name="_xlnm._FilterDatabase" localSheetId="5" hidden="1">'General-Budget 2018 - MF'!$A$6:$Y$168</definedName>
    <definedName name="_xlnm._FilterDatabase" localSheetId="3" hidden="1">'General-Budget 2018 - MF (2)'!$A$6:$X$168</definedName>
    <definedName name="_xlnm._FilterDatabase" localSheetId="17" hidden="1">'General-Budget 2018 - SF'!$A$6:$Y$99</definedName>
    <definedName name="_xlnm._FilterDatabase" localSheetId="13" hidden="1">HSBC!$A$85:$M$184</definedName>
    <definedName name="_xlnm._FilterDatabase" localSheetId="8" hidden="1">'In Cash - Out Cash - MF'!$A$6:$X$168</definedName>
    <definedName name="_FPV1994">"'file:///A:/USERDATA/WINXL/HKONDO/BSP/96BP/OTHER/VOLUME.XLS'#$'1996 FPV _Retail_'.$#REF!$#REF!:$#REF!$#REF!"</definedName>
    <definedName name="_g">"$#REF!.$#REF!$#REF!"</definedName>
    <definedName name="_int120" localSheetId="7">'[10]page 6'!#REF!</definedName>
    <definedName name="_int120" localSheetId="15">'[10]page 6'!#REF!</definedName>
    <definedName name="_int120" localSheetId="1">'[10]page 6'!#REF!</definedName>
    <definedName name="_int120" localSheetId="18">'[10]page 6'!#REF!</definedName>
    <definedName name="_int120" localSheetId="16">'[10]page 6'!#REF!</definedName>
    <definedName name="_int120" localSheetId="6">'[10]page 6'!#REF!</definedName>
    <definedName name="_int120" localSheetId="5">'[10]page 6'!#REF!</definedName>
    <definedName name="_int120" localSheetId="3">'[10]page 6'!#REF!</definedName>
    <definedName name="_int120" localSheetId="17">'[10]page 6'!#REF!</definedName>
    <definedName name="_int120" localSheetId="8">'[10]page 6'!#REF!</definedName>
    <definedName name="_int120" localSheetId="4">'[10]page 6'!#REF!</definedName>
    <definedName name="_int120" localSheetId="20">'[10]page 6'!#REF!</definedName>
    <definedName name="_int120">'[10]page 6'!#REF!</definedName>
    <definedName name="_int30" localSheetId="7">'[10]page 6'!#REF!</definedName>
    <definedName name="_int30" localSheetId="15">'[10]page 6'!#REF!</definedName>
    <definedName name="_int30" localSheetId="1">'[10]page 6'!#REF!</definedName>
    <definedName name="_int30" localSheetId="18">'[10]page 6'!#REF!</definedName>
    <definedName name="_int30" localSheetId="16">'[10]page 6'!#REF!</definedName>
    <definedName name="_int30" localSheetId="6">'[10]page 6'!#REF!</definedName>
    <definedName name="_int30" localSheetId="5">'[10]page 6'!#REF!</definedName>
    <definedName name="_int30" localSheetId="3">'[10]page 6'!#REF!</definedName>
    <definedName name="_int30" localSheetId="17">'[10]page 6'!#REF!</definedName>
    <definedName name="_int30" localSheetId="8">'[10]page 6'!#REF!</definedName>
    <definedName name="_int30" localSheetId="4">'[10]page 6'!#REF!</definedName>
    <definedName name="_int30" localSheetId="20">'[10]page 6'!#REF!</definedName>
    <definedName name="_int30">'[10]page 6'!#REF!</definedName>
    <definedName name="_int60" localSheetId="7">'[10]page 6'!#REF!</definedName>
    <definedName name="_int60" localSheetId="15">'[10]page 6'!#REF!</definedName>
    <definedName name="_int60" localSheetId="1">'[10]page 6'!#REF!</definedName>
    <definedName name="_int60" localSheetId="18">'[10]page 6'!#REF!</definedName>
    <definedName name="_int60" localSheetId="16">'[10]page 6'!#REF!</definedName>
    <definedName name="_int60" localSheetId="6">'[10]page 6'!#REF!</definedName>
    <definedName name="_int60" localSheetId="5">'[10]page 6'!#REF!</definedName>
    <definedName name="_int60" localSheetId="3">'[10]page 6'!#REF!</definedName>
    <definedName name="_int60" localSheetId="17">'[10]page 6'!#REF!</definedName>
    <definedName name="_int60" localSheetId="8">'[10]page 6'!#REF!</definedName>
    <definedName name="_int60" localSheetId="4">'[10]page 6'!#REF!</definedName>
    <definedName name="_int60" localSheetId="20">'[10]page 6'!#REF!</definedName>
    <definedName name="_int60">'[10]page 6'!#REF!</definedName>
    <definedName name="_int90" localSheetId="7">'[10]page 6'!#REF!</definedName>
    <definedName name="_int90" localSheetId="15">'[10]page 6'!#REF!</definedName>
    <definedName name="_int90" localSheetId="1">'[10]page 6'!#REF!</definedName>
    <definedName name="_int90" localSheetId="18">'[10]page 6'!#REF!</definedName>
    <definedName name="_int90" localSheetId="16">'[10]page 6'!#REF!</definedName>
    <definedName name="_int90" localSheetId="6">'[10]page 6'!#REF!</definedName>
    <definedName name="_int90" localSheetId="5">'[10]page 6'!#REF!</definedName>
    <definedName name="_int90" localSheetId="3">'[10]page 6'!#REF!</definedName>
    <definedName name="_int90" localSheetId="17">'[10]page 6'!#REF!</definedName>
    <definedName name="_int90" localSheetId="8">'[10]page 6'!#REF!</definedName>
    <definedName name="_int90" localSheetId="4">'[10]page 6'!#REF!</definedName>
    <definedName name="_int90" localSheetId="20">'[10]page 6'!#REF!</definedName>
    <definedName name="_int90">'[10]page 6'!#REF!</definedName>
    <definedName name="_inv120" localSheetId="7">'[10]page 6'!#REF!</definedName>
    <definedName name="_inv120" localSheetId="15">'[10]page 6'!#REF!</definedName>
    <definedName name="_inv120" localSheetId="1">'[10]page 6'!#REF!</definedName>
    <definedName name="_inv120" localSheetId="18">'[10]page 6'!#REF!</definedName>
    <definedName name="_inv120" localSheetId="16">'[10]page 6'!#REF!</definedName>
    <definedName name="_inv120" localSheetId="6">'[10]page 6'!#REF!</definedName>
    <definedName name="_inv120" localSheetId="5">'[10]page 6'!#REF!</definedName>
    <definedName name="_inv120" localSheetId="3">'[10]page 6'!#REF!</definedName>
    <definedName name="_inv120" localSheetId="17">'[10]page 6'!#REF!</definedName>
    <definedName name="_inv120" localSheetId="8">'[10]page 6'!#REF!</definedName>
    <definedName name="_inv120" localSheetId="4">'[10]page 6'!#REF!</definedName>
    <definedName name="_inv120" localSheetId="20">'[10]page 6'!#REF!</definedName>
    <definedName name="_inv120">'[10]page 6'!#REF!</definedName>
    <definedName name="_inv30" localSheetId="7">'[10]page 6'!#REF!</definedName>
    <definedName name="_inv30" localSheetId="15">'[10]page 6'!#REF!</definedName>
    <definedName name="_inv30" localSheetId="1">'[10]page 6'!#REF!</definedName>
    <definedName name="_inv30" localSheetId="18">'[10]page 6'!#REF!</definedName>
    <definedName name="_inv30" localSheetId="16">'[10]page 6'!#REF!</definedName>
    <definedName name="_inv30" localSheetId="6">'[10]page 6'!#REF!</definedName>
    <definedName name="_inv30" localSheetId="5">'[10]page 6'!#REF!</definedName>
    <definedName name="_inv30" localSheetId="3">'[10]page 6'!#REF!</definedName>
    <definedName name="_inv30" localSheetId="17">'[10]page 6'!#REF!</definedName>
    <definedName name="_inv30" localSheetId="8">'[10]page 6'!#REF!</definedName>
    <definedName name="_inv30" localSheetId="4">'[10]page 6'!#REF!</definedName>
    <definedName name="_inv30" localSheetId="20">'[10]page 6'!#REF!</definedName>
    <definedName name="_inv30">'[10]page 6'!#REF!</definedName>
    <definedName name="_inv60" localSheetId="7">'[10]page 6'!#REF!</definedName>
    <definedName name="_inv60" localSheetId="15">'[10]page 6'!#REF!</definedName>
    <definedName name="_inv60" localSheetId="1">'[10]page 6'!#REF!</definedName>
    <definedName name="_inv60" localSheetId="18">'[10]page 6'!#REF!</definedName>
    <definedName name="_inv60" localSheetId="16">'[10]page 6'!#REF!</definedName>
    <definedName name="_inv60" localSheetId="6">'[10]page 6'!#REF!</definedName>
    <definedName name="_inv60" localSheetId="5">'[10]page 6'!#REF!</definedName>
    <definedName name="_inv60" localSheetId="3">'[10]page 6'!#REF!</definedName>
    <definedName name="_inv60" localSheetId="17">'[10]page 6'!#REF!</definedName>
    <definedName name="_inv60" localSheetId="8">'[10]page 6'!#REF!</definedName>
    <definedName name="_inv60" localSheetId="4">'[10]page 6'!#REF!</definedName>
    <definedName name="_inv60" localSheetId="20">'[10]page 6'!#REF!</definedName>
    <definedName name="_inv60">'[10]page 6'!#REF!</definedName>
    <definedName name="_inv90" localSheetId="7">'[10]page 6'!#REF!</definedName>
    <definedName name="_inv90" localSheetId="15">'[10]page 6'!#REF!</definedName>
    <definedName name="_inv90" localSheetId="1">'[10]page 6'!#REF!</definedName>
    <definedName name="_inv90" localSheetId="18">'[10]page 6'!#REF!</definedName>
    <definedName name="_inv90" localSheetId="16">'[10]page 6'!#REF!</definedName>
    <definedName name="_inv90" localSheetId="6">'[10]page 6'!#REF!</definedName>
    <definedName name="_inv90" localSheetId="5">'[10]page 6'!#REF!</definedName>
    <definedName name="_inv90" localSheetId="3">'[10]page 6'!#REF!</definedName>
    <definedName name="_inv90" localSheetId="17">'[10]page 6'!#REF!</definedName>
    <definedName name="_inv90" localSheetId="8">'[10]page 6'!#REF!</definedName>
    <definedName name="_inv90" localSheetId="4">'[10]page 6'!#REF!</definedName>
    <definedName name="_inv90" localSheetId="20">'[10]page 6'!#REF!</definedName>
    <definedName name="_inv90">'[10]page 6'!#REF!</definedName>
    <definedName name="_jak10">#N/A</definedName>
    <definedName name="_jak11">#N/A</definedName>
    <definedName name="_jak12">#N/A</definedName>
    <definedName name="_jak13">#N/A</definedName>
    <definedName name="_jak2">#N/A</definedName>
    <definedName name="_jak3">#N/A</definedName>
    <definedName name="_jak4">#N/A</definedName>
    <definedName name="_jak5">#N/A</definedName>
    <definedName name="_jak6">#N/A</definedName>
    <definedName name="_jak7">#N/A</definedName>
    <definedName name="_jak9">#N/A</definedName>
    <definedName name="_JK4" localSheetId="7">#REF!</definedName>
    <definedName name="_JK4" localSheetId="15">#REF!</definedName>
    <definedName name="_JK4" localSheetId="1">#REF!</definedName>
    <definedName name="_JK4" localSheetId="18">#REF!</definedName>
    <definedName name="_JK4" localSheetId="16">#REF!</definedName>
    <definedName name="_JK4" localSheetId="6">#REF!</definedName>
    <definedName name="_JK4" localSheetId="5">#REF!</definedName>
    <definedName name="_JK4" localSheetId="3">#REF!</definedName>
    <definedName name="_JK4" localSheetId="17">#REF!</definedName>
    <definedName name="_JK4" localSheetId="8">#REF!</definedName>
    <definedName name="_JK4" localSheetId="4">#REF!</definedName>
    <definedName name="_JK4" localSheetId="20">#REF!</definedName>
    <definedName name="_JK4">#REF!</definedName>
    <definedName name="_Key1" localSheetId="7" hidden="1">#REF!</definedName>
    <definedName name="_Key1" localSheetId="15" hidden="1">#REF!</definedName>
    <definedName name="_Key1" localSheetId="1" hidden="1">#REF!</definedName>
    <definedName name="_Key1" localSheetId="18" hidden="1">#REF!</definedName>
    <definedName name="_Key1" localSheetId="16" hidden="1">#REF!</definedName>
    <definedName name="_Key1" localSheetId="6" hidden="1">#REF!</definedName>
    <definedName name="_Key1" localSheetId="3" hidden="1">#REF!</definedName>
    <definedName name="_Key1" localSheetId="17" hidden="1">#REF!</definedName>
    <definedName name="_Key1" localSheetId="8" hidden="1">#REF!</definedName>
    <definedName name="_Key1" localSheetId="4" hidden="1">#REF!</definedName>
    <definedName name="_Key1" localSheetId="20" hidden="1">#REF!</definedName>
    <definedName name="_Key1" hidden="1">#REF!</definedName>
    <definedName name="_Key2" localSheetId="7" hidden="1">#REF!</definedName>
    <definedName name="_Key2" localSheetId="15" hidden="1">#REF!</definedName>
    <definedName name="_Key2" localSheetId="1" hidden="1">#REF!</definedName>
    <definedName name="_Key2" localSheetId="18" hidden="1">#REF!</definedName>
    <definedName name="_Key2" localSheetId="16" hidden="1">#REF!</definedName>
    <definedName name="_Key2" localSheetId="6" hidden="1">#REF!</definedName>
    <definedName name="_Key2" localSheetId="3" hidden="1">#REF!</definedName>
    <definedName name="_Key2" localSheetId="17" hidden="1">#REF!</definedName>
    <definedName name="_Key2" localSheetId="8" hidden="1">#REF!</definedName>
    <definedName name="_Key2" localSheetId="4" hidden="1">#REF!</definedName>
    <definedName name="_Key2" localSheetId="20" hidden="1">#REF!</definedName>
    <definedName name="_Key2" hidden="1">#REF!</definedName>
    <definedName name="_kow120" localSheetId="7">'[10]page 6'!#REF!</definedName>
    <definedName name="_kow120" localSheetId="15">'[10]page 6'!#REF!</definedName>
    <definedName name="_kow120" localSheetId="1">'[10]page 6'!#REF!</definedName>
    <definedName name="_kow120" localSheetId="18">'[10]page 6'!#REF!</definedName>
    <definedName name="_kow120" localSheetId="16">'[10]page 6'!#REF!</definedName>
    <definedName name="_kow120" localSheetId="6">'[10]page 6'!#REF!</definedName>
    <definedName name="_kow120" localSheetId="5">'[10]page 6'!#REF!</definedName>
    <definedName name="_kow120" localSheetId="3">'[10]page 6'!#REF!</definedName>
    <definedName name="_kow120" localSheetId="17">'[10]page 6'!#REF!</definedName>
    <definedName name="_kow120" localSheetId="8">'[10]page 6'!#REF!</definedName>
    <definedName name="_kow120" localSheetId="4">'[10]page 6'!#REF!</definedName>
    <definedName name="_kow120" localSheetId="20">'[10]page 6'!#REF!</definedName>
    <definedName name="_kow120">'[10]page 6'!#REF!</definedName>
    <definedName name="_kow30" localSheetId="7">'[10]page 6'!#REF!</definedName>
    <definedName name="_kow30" localSheetId="15">'[10]page 6'!#REF!</definedName>
    <definedName name="_kow30" localSheetId="1">'[10]page 6'!#REF!</definedName>
    <definedName name="_kow30" localSheetId="18">'[10]page 6'!#REF!</definedName>
    <definedName name="_kow30" localSheetId="16">'[10]page 6'!#REF!</definedName>
    <definedName name="_kow30" localSheetId="6">'[10]page 6'!#REF!</definedName>
    <definedName name="_kow30" localSheetId="5">'[10]page 6'!#REF!</definedName>
    <definedName name="_kow30" localSheetId="3">'[10]page 6'!#REF!</definedName>
    <definedName name="_kow30" localSheetId="17">'[10]page 6'!#REF!</definedName>
    <definedName name="_kow30" localSheetId="8">'[10]page 6'!#REF!</definedName>
    <definedName name="_kow30" localSheetId="4">'[10]page 6'!#REF!</definedName>
    <definedName name="_kow30" localSheetId="20">'[10]page 6'!#REF!</definedName>
    <definedName name="_kow30">'[10]page 6'!#REF!</definedName>
    <definedName name="_kow60" localSheetId="7">'[10]page 6'!#REF!</definedName>
    <definedName name="_kow60" localSheetId="15">'[10]page 6'!#REF!</definedName>
    <definedName name="_kow60" localSheetId="1">'[10]page 6'!#REF!</definedName>
    <definedName name="_kow60" localSheetId="18">'[10]page 6'!#REF!</definedName>
    <definedName name="_kow60" localSheetId="16">'[10]page 6'!#REF!</definedName>
    <definedName name="_kow60" localSheetId="6">'[10]page 6'!#REF!</definedName>
    <definedName name="_kow60" localSheetId="5">'[10]page 6'!#REF!</definedName>
    <definedName name="_kow60" localSheetId="3">'[10]page 6'!#REF!</definedName>
    <definedName name="_kow60" localSheetId="17">'[10]page 6'!#REF!</definedName>
    <definedName name="_kow60" localSheetId="8">'[10]page 6'!#REF!</definedName>
    <definedName name="_kow60" localSheetId="4">'[10]page 6'!#REF!</definedName>
    <definedName name="_kow60" localSheetId="20">'[10]page 6'!#REF!</definedName>
    <definedName name="_kow60">'[10]page 6'!#REF!</definedName>
    <definedName name="_kow90" localSheetId="7">'[10]page 6'!#REF!</definedName>
    <definedName name="_kow90" localSheetId="15">'[10]page 6'!#REF!</definedName>
    <definedName name="_kow90" localSheetId="1">'[10]page 6'!#REF!</definedName>
    <definedName name="_kow90" localSheetId="18">'[10]page 6'!#REF!</definedName>
    <definedName name="_kow90" localSheetId="16">'[10]page 6'!#REF!</definedName>
    <definedName name="_kow90" localSheetId="6">'[10]page 6'!#REF!</definedName>
    <definedName name="_kow90" localSheetId="5">'[10]page 6'!#REF!</definedName>
    <definedName name="_kow90" localSheetId="3">'[10]page 6'!#REF!</definedName>
    <definedName name="_kow90" localSheetId="17">'[10]page 6'!#REF!</definedName>
    <definedName name="_kow90" localSheetId="8">'[10]page 6'!#REF!</definedName>
    <definedName name="_kow90" localSheetId="4">'[10]page 6'!#REF!</definedName>
    <definedName name="_kow90" localSheetId="20">'[10]page 6'!#REF!</definedName>
    <definedName name="_kow90">'[10]page 6'!#REF!</definedName>
    <definedName name="_la11" localSheetId="7">#REF!</definedName>
    <definedName name="_la11" localSheetId="15">#REF!</definedName>
    <definedName name="_la11" localSheetId="1">#REF!</definedName>
    <definedName name="_la11" localSheetId="18">#REF!</definedName>
    <definedName name="_la11" localSheetId="16">#REF!</definedName>
    <definedName name="_la11" localSheetId="6">#REF!</definedName>
    <definedName name="_la11" localSheetId="5">#REF!</definedName>
    <definedName name="_la11" localSheetId="3">#REF!</definedName>
    <definedName name="_la11" localSheetId="17">#REF!</definedName>
    <definedName name="_la11" localSheetId="8">#REF!</definedName>
    <definedName name="_la11" localSheetId="4">#REF!</definedName>
    <definedName name="_la11" localSheetId="20">#REF!</definedName>
    <definedName name="_la11">#REF!</definedName>
    <definedName name="_la21" localSheetId="5">[4]BangLuongMOI!$C$11</definedName>
    <definedName name="_la21" localSheetId="3">[4]BangLuongMOI!$C$11</definedName>
    <definedName name="_la21" localSheetId="17">[4]BangLuongMOI!$C$11</definedName>
    <definedName name="_la21" localSheetId="8">[4]BangLuongMOI!$C$11</definedName>
    <definedName name="_la21">[4]BangLuongMOI!$C$11</definedName>
    <definedName name="_la25" localSheetId="5">[5]BangLuongMOI!$C$15</definedName>
    <definedName name="_la25" localSheetId="3">[5]BangLuongMOI!$C$15</definedName>
    <definedName name="_la25" localSheetId="17">[5]BangLuongMOI!$C$15</definedName>
    <definedName name="_la25" localSheetId="8">[5]BangLuongMOI!$C$15</definedName>
    <definedName name="_la25">[5]BangLuongMOI!$C$15</definedName>
    <definedName name="_la31" localSheetId="5">[5]BangLuongMOI!$C$17</definedName>
    <definedName name="_la31" localSheetId="3">[5]BangLuongMOI!$C$17</definedName>
    <definedName name="_la31" localSheetId="17">[5]BangLuongMOI!$C$17</definedName>
    <definedName name="_la31" localSheetId="8">[5]BangLuongMOI!$C$17</definedName>
    <definedName name="_la31">[5]BangLuongMOI!$C$17</definedName>
    <definedName name="_la35" localSheetId="5">[5]BangLuongMOI!$C$21</definedName>
    <definedName name="_la35" localSheetId="3">[5]BangLuongMOI!$C$21</definedName>
    <definedName name="_la35" localSheetId="17">[5]BangLuongMOI!$C$21</definedName>
    <definedName name="_la35" localSheetId="8">[5]BangLuongMOI!$C$21</definedName>
    <definedName name="_la35">[5]BangLuongMOI!$C$21</definedName>
    <definedName name="_la41" localSheetId="5">[5]BangLuongMOI!$C$23</definedName>
    <definedName name="_la41" localSheetId="3">[5]BangLuongMOI!$C$23</definedName>
    <definedName name="_la41" localSheetId="17">[5]BangLuongMOI!$C$23</definedName>
    <definedName name="_la41" localSheetId="8">[5]BangLuongMOI!$C$23</definedName>
    <definedName name="_la41">[5]BangLuongMOI!$C$23</definedName>
    <definedName name="_la45" localSheetId="5">[5]BangLuongMOI!$C$27</definedName>
    <definedName name="_la45" localSheetId="3">[5]BangLuongMOI!$C$27</definedName>
    <definedName name="_la45" localSheetId="17">[5]BangLuongMOI!$C$27</definedName>
    <definedName name="_la45" localSheetId="8">[5]BangLuongMOI!$C$27</definedName>
    <definedName name="_la45">[5]BangLuongMOI!$C$27</definedName>
    <definedName name="_la51" localSheetId="5">[5]BangLuongMOI!$C$29</definedName>
    <definedName name="_la51" localSheetId="3">[5]BangLuongMOI!$C$29</definedName>
    <definedName name="_la51" localSheetId="17">[5]BangLuongMOI!$C$29</definedName>
    <definedName name="_la51" localSheetId="8">[5]BangLuongMOI!$C$29</definedName>
    <definedName name="_la51">[5]BangLuongMOI!$C$29</definedName>
    <definedName name="_la55" localSheetId="7">#REF!</definedName>
    <definedName name="_la55" localSheetId="15">#REF!</definedName>
    <definedName name="_la55" localSheetId="1">#REF!</definedName>
    <definedName name="_la55" localSheetId="18">#REF!</definedName>
    <definedName name="_la55" localSheetId="16">#REF!</definedName>
    <definedName name="_la55" localSheetId="6">#REF!</definedName>
    <definedName name="_la55" localSheetId="5">#REF!</definedName>
    <definedName name="_la55" localSheetId="3">#REF!</definedName>
    <definedName name="_la55" localSheetId="17">#REF!</definedName>
    <definedName name="_la55" localSheetId="8">#REF!</definedName>
    <definedName name="_la55" localSheetId="4">#REF!</definedName>
    <definedName name="_la55" localSheetId="20">#REF!</definedName>
    <definedName name="_la55">#REF!</definedName>
    <definedName name="_lb11" localSheetId="7">#REF!</definedName>
    <definedName name="_lb11" localSheetId="15">#REF!</definedName>
    <definedName name="_lb11" localSheetId="1">#REF!</definedName>
    <definedName name="_lb11" localSheetId="18">#REF!</definedName>
    <definedName name="_lb11" localSheetId="16">#REF!</definedName>
    <definedName name="_lb11" localSheetId="6">#REF!</definedName>
    <definedName name="_lb11" localSheetId="5">#REF!</definedName>
    <definedName name="_lb11" localSheetId="3">#REF!</definedName>
    <definedName name="_lb11" localSheetId="17">#REF!</definedName>
    <definedName name="_lb11" localSheetId="8">#REF!</definedName>
    <definedName name="_lb11" localSheetId="4">#REF!</definedName>
    <definedName name="_lb11" localSheetId="20">#REF!</definedName>
    <definedName name="_lb11">#REF!</definedName>
    <definedName name="_lb15">[11]BangLuong2008!$D$9</definedName>
    <definedName name="_lb21">[11]BangLuong2008!$D$11</definedName>
    <definedName name="_lb25">[11]BangLuong2008!$D$15</definedName>
    <definedName name="_lb31">[11]BangLuong2008!$D$17</definedName>
    <definedName name="_lb35">[11]BangLuong2008!$D$21</definedName>
    <definedName name="_lb41">[11]BangLuong2008!$D$23</definedName>
    <definedName name="_lb45">[11]BangLuong2008!$D$27</definedName>
    <definedName name="_lb51">[11]BangLuong2008!$D$29</definedName>
    <definedName name="_lb55" localSheetId="7">#REF!</definedName>
    <definedName name="_lb55" localSheetId="15">#REF!</definedName>
    <definedName name="_lb55" localSheetId="1">#REF!</definedName>
    <definedName name="_lb55" localSheetId="18">#REF!</definedName>
    <definedName name="_lb55" localSheetId="16">#REF!</definedName>
    <definedName name="_lb55" localSheetId="6">#REF!</definedName>
    <definedName name="_lb55" localSheetId="5">#REF!</definedName>
    <definedName name="_lb55" localSheetId="3">#REF!</definedName>
    <definedName name="_lb55" localSheetId="17">#REF!</definedName>
    <definedName name="_lb55" localSheetId="8">#REF!</definedName>
    <definedName name="_lb55" localSheetId="4">#REF!</definedName>
    <definedName name="_lb55" localSheetId="20">#REF!</definedName>
    <definedName name="_lb55">#REF!</definedName>
    <definedName name="_lc11" localSheetId="7">#REF!</definedName>
    <definedName name="_lc11" localSheetId="15">#REF!</definedName>
    <definedName name="_lc11" localSheetId="1">#REF!</definedName>
    <definedName name="_lc11" localSheetId="18">#REF!</definedName>
    <definedName name="_lc11" localSheetId="16">#REF!</definedName>
    <definedName name="_lc11" localSheetId="6">#REF!</definedName>
    <definedName name="_lc11" localSheetId="5">#REF!</definedName>
    <definedName name="_lc11" localSheetId="3">#REF!</definedName>
    <definedName name="_lc11" localSheetId="17">#REF!</definedName>
    <definedName name="_lc11" localSheetId="8">#REF!</definedName>
    <definedName name="_lc11" localSheetId="4">#REF!</definedName>
    <definedName name="_lc11" localSheetId="20">#REF!</definedName>
    <definedName name="_lc11">#REF!</definedName>
    <definedName name="_lc21">[11]BangLuong2008!$F$11</definedName>
    <definedName name="_lc25">[11]BangLuong2008!$F$15</definedName>
    <definedName name="_LC31">[11]BangLuong2008!$F$17</definedName>
    <definedName name="_Lc35">[11]BangLuong2008!$F$21</definedName>
    <definedName name="_lc41">[11]BangLuong2008!$F$23</definedName>
    <definedName name="_lc45">[11]BangLuong2008!$F$27</definedName>
    <definedName name="_lc51">[11]BangLuong2008!$F$29</definedName>
    <definedName name="_lc55" localSheetId="7">#REF!</definedName>
    <definedName name="_lc55" localSheetId="15">#REF!</definedName>
    <definedName name="_lc55" localSheetId="1">#REF!</definedName>
    <definedName name="_lc55" localSheetId="18">#REF!</definedName>
    <definedName name="_lc55" localSheetId="16">#REF!</definedName>
    <definedName name="_lc55" localSheetId="6">#REF!</definedName>
    <definedName name="_lc55" localSheetId="5">#REF!</definedName>
    <definedName name="_lc55" localSheetId="3">#REF!</definedName>
    <definedName name="_lc55" localSheetId="17">#REF!</definedName>
    <definedName name="_lc55" localSheetId="8">#REF!</definedName>
    <definedName name="_lc55" localSheetId="4">#REF!</definedName>
    <definedName name="_lc55" localSheetId="20">#REF!</definedName>
    <definedName name="_lc55">#REF!</definedName>
    <definedName name="_LD11" localSheetId="7">#REF!</definedName>
    <definedName name="_LD11" localSheetId="15">#REF!</definedName>
    <definedName name="_LD11" localSheetId="1">#REF!</definedName>
    <definedName name="_LD11" localSheetId="18">#REF!</definedName>
    <definedName name="_LD11" localSheetId="16">#REF!</definedName>
    <definedName name="_LD11" localSheetId="6">#REF!</definedName>
    <definedName name="_LD11" localSheetId="5">#REF!</definedName>
    <definedName name="_LD11" localSheetId="3">#REF!</definedName>
    <definedName name="_LD11" localSheetId="17">#REF!</definedName>
    <definedName name="_LD11" localSheetId="8">#REF!</definedName>
    <definedName name="_LD11" localSheetId="4">#REF!</definedName>
    <definedName name="_LD11" localSheetId="20">#REF!</definedName>
    <definedName name="_LD11">#REF!</definedName>
    <definedName name="_ld13" localSheetId="7">#REF!</definedName>
    <definedName name="_ld13" localSheetId="15">#REF!</definedName>
    <definedName name="_ld13" localSheetId="1">#REF!</definedName>
    <definedName name="_ld13" localSheetId="18">#REF!</definedName>
    <definedName name="_ld13" localSheetId="16">#REF!</definedName>
    <definedName name="_ld13" localSheetId="6">#REF!</definedName>
    <definedName name="_ld13" localSheetId="5">#REF!</definedName>
    <definedName name="_ld13" localSheetId="3">#REF!</definedName>
    <definedName name="_ld13" localSheetId="17">#REF!</definedName>
    <definedName name="_ld13" localSheetId="8">#REF!</definedName>
    <definedName name="_ld13" localSheetId="4">#REF!</definedName>
    <definedName name="_ld13" localSheetId="20">#REF!</definedName>
    <definedName name="_ld13">#REF!</definedName>
    <definedName name="_LD14" localSheetId="7">#REF!</definedName>
    <definedName name="_LD14" localSheetId="15">#REF!</definedName>
    <definedName name="_LD14" localSheetId="1">#REF!</definedName>
    <definedName name="_LD14" localSheetId="18">#REF!</definedName>
    <definedName name="_LD14" localSheetId="16">#REF!</definedName>
    <definedName name="_LD14" localSheetId="6">#REF!</definedName>
    <definedName name="_LD14" localSheetId="5">#REF!</definedName>
    <definedName name="_LD14" localSheetId="3">#REF!</definedName>
    <definedName name="_LD14" localSheetId="17">#REF!</definedName>
    <definedName name="_LD14" localSheetId="8">#REF!</definedName>
    <definedName name="_LD14" localSheetId="4">#REF!</definedName>
    <definedName name="_LD14" localSheetId="20">#REF!</definedName>
    <definedName name="_LD14">#REF!</definedName>
    <definedName name="_LD15">[11]BangLuong2008!$H$9</definedName>
    <definedName name="_LD21" localSheetId="7">#REF!</definedName>
    <definedName name="_LD21" localSheetId="15">#REF!</definedName>
    <definedName name="_LD21" localSheetId="1">#REF!</definedName>
    <definedName name="_LD21" localSheetId="18">#REF!</definedName>
    <definedName name="_LD21" localSheetId="16">#REF!</definedName>
    <definedName name="_LD21" localSheetId="6">#REF!</definedName>
    <definedName name="_LD21" localSheetId="5">#REF!</definedName>
    <definedName name="_LD21" localSheetId="3">#REF!</definedName>
    <definedName name="_LD21" localSheetId="17">#REF!</definedName>
    <definedName name="_LD21" localSheetId="8">#REF!</definedName>
    <definedName name="_LD21" localSheetId="4">#REF!</definedName>
    <definedName name="_LD21" localSheetId="20">#REF!</definedName>
    <definedName name="_LD21">#REF!</definedName>
    <definedName name="_LD22" localSheetId="7">#REF!</definedName>
    <definedName name="_LD22" localSheetId="15">#REF!</definedName>
    <definedName name="_LD22" localSheetId="1">#REF!</definedName>
    <definedName name="_LD22" localSheetId="18">#REF!</definedName>
    <definedName name="_LD22" localSheetId="16">#REF!</definedName>
    <definedName name="_LD22" localSheetId="6">#REF!</definedName>
    <definedName name="_LD22" localSheetId="5">#REF!</definedName>
    <definedName name="_LD22" localSheetId="3">#REF!</definedName>
    <definedName name="_LD22" localSheetId="17">#REF!</definedName>
    <definedName name="_LD22" localSheetId="8">#REF!</definedName>
    <definedName name="_LD22" localSheetId="4">#REF!</definedName>
    <definedName name="_LD22" localSheetId="20">#REF!</definedName>
    <definedName name="_LD22">#REF!</definedName>
    <definedName name="_LD23" localSheetId="7">#REF!</definedName>
    <definedName name="_LD23" localSheetId="15">#REF!</definedName>
    <definedName name="_LD23" localSheetId="1">#REF!</definedName>
    <definedName name="_LD23" localSheetId="18">#REF!</definedName>
    <definedName name="_LD23" localSheetId="16">#REF!</definedName>
    <definedName name="_LD23" localSheetId="6">#REF!</definedName>
    <definedName name="_LD23" localSheetId="5">#REF!</definedName>
    <definedName name="_LD23" localSheetId="3">#REF!</definedName>
    <definedName name="_LD23" localSheetId="17">#REF!</definedName>
    <definedName name="_LD23" localSheetId="8">#REF!</definedName>
    <definedName name="_LD23" localSheetId="4">#REF!</definedName>
    <definedName name="_LD23" localSheetId="20">#REF!</definedName>
    <definedName name="_LD23">#REF!</definedName>
    <definedName name="_LD24" localSheetId="7">#REF!</definedName>
    <definedName name="_LD24" localSheetId="15">#REF!</definedName>
    <definedName name="_LD24" localSheetId="1">#REF!</definedName>
    <definedName name="_LD24" localSheetId="18">#REF!</definedName>
    <definedName name="_LD24" localSheetId="16">#REF!</definedName>
    <definedName name="_LD24" localSheetId="6">#REF!</definedName>
    <definedName name="_LD24" localSheetId="5">#REF!</definedName>
    <definedName name="_LD24" localSheetId="3">#REF!</definedName>
    <definedName name="_LD24" localSheetId="17">#REF!</definedName>
    <definedName name="_LD24" localSheetId="8">#REF!</definedName>
    <definedName name="_LD24" localSheetId="4">#REF!</definedName>
    <definedName name="_LD24" localSheetId="20">#REF!</definedName>
    <definedName name="_LD24">#REF!</definedName>
    <definedName name="_LD25" localSheetId="7">#REF!</definedName>
    <definedName name="_LD25" localSheetId="15">#REF!</definedName>
    <definedName name="_LD25" localSheetId="1">#REF!</definedName>
    <definedName name="_LD25" localSheetId="18">#REF!</definedName>
    <definedName name="_LD25" localSheetId="16">#REF!</definedName>
    <definedName name="_LD25" localSheetId="6">#REF!</definedName>
    <definedName name="_LD25" localSheetId="5">#REF!</definedName>
    <definedName name="_LD25" localSheetId="3">#REF!</definedName>
    <definedName name="_LD25" localSheetId="17">#REF!</definedName>
    <definedName name="_LD25" localSheetId="8">#REF!</definedName>
    <definedName name="_LD25" localSheetId="4">#REF!</definedName>
    <definedName name="_LD25" localSheetId="20">#REF!</definedName>
    <definedName name="_LD25">#REF!</definedName>
    <definedName name="_LD26" localSheetId="7">#REF!</definedName>
    <definedName name="_LD26" localSheetId="15">#REF!</definedName>
    <definedName name="_LD26" localSheetId="1">#REF!</definedName>
    <definedName name="_LD26" localSheetId="18">#REF!</definedName>
    <definedName name="_LD26" localSheetId="16">#REF!</definedName>
    <definedName name="_LD26" localSheetId="6">#REF!</definedName>
    <definedName name="_LD26" localSheetId="5">#REF!</definedName>
    <definedName name="_LD26" localSheetId="3">#REF!</definedName>
    <definedName name="_LD26" localSheetId="17">#REF!</definedName>
    <definedName name="_LD26" localSheetId="8">#REF!</definedName>
    <definedName name="_LD26" localSheetId="4">#REF!</definedName>
    <definedName name="_LD26" localSheetId="20">#REF!</definedName>
    <definedName name="_LD26">#REF!</definedName>
    <definedName name="_LD31" localSheetId="7">#REF!</definedName>
    <definedName name="_LD31" localSheetId="15">#REF!</definedName>
    <definedName name="_LD31" localSheetId="1">#REF!</definedName>
    <definedName name="_LD31" localSheetId="18">#REF!</definedName>
    <definedName name="_LD31" localSheetId="16">#REF!</definedName>
    <definedName name="_LD31" localSheetId="6">#REF!</definedName>
    <definedName name="_LD31" localSheetId="5">#REF!</definedName>
    <definedName name="_LD31" localSheetId="3">#REF!</definedName>
    <definedName name="_LD31" localSheetId="17">#REF!</definedName>
    <definedName name="_LD31" localSheetId="8">#REF!</definedName>
    <definedName name="_LD31" localSheetId="4">#REF!</definedName>
    <definedName name="_LD31" localSheetId="20">#REF!</definedName>
    <definedName name="_LD31">#REF!</definedName>
    <definedName name="_ld32" localSheetId="7">#REF!</definedName>
    <definedName name="_ld32" localSheetId="15">#REF!</definedName>
    <definedName name="_ld32" localSheetId="1">#REF!</definedName>
    <definedName name="_ld32" localSheetId="18">#REF!</definedName>
    <definedName name="_ld32" localSheetId="16">#REF!</definedName>
    <definedName name="_ld32" localSheetId="6">#REF!</definedName>
    <definedName name="_ld32" localSheetId="5">#REF!</definedName>
    <definedName name="_ld32" localSheetId="3">#REF!</definedName>
    <definedName name="_ld32" localSheetId="17">#REF!</definedName>
    <definedName name="_ld32" localSheetId="8">#REF!</definedName>
    <definedName name="_ld32" localSheetId="4">#REF!</definedName>
    <definedName name="_ld32" localSheetId="20">#REF!</definedName>
    <definedName name="_ld32">#REF!</definedName>
    <definedName name="_LD34" localSheetId="7">#REF!</definedName>
    <definedName name="_LD34" localSheetId="15">#REF!</definedName>
    <definedName name="_LD34" localSheetId="1">#REF!</definedName>
    <definedName name="_LD34" localSheetId="18">#REF!</definedName>
    <definedName name="_LD34" localSheetId="16">#REF!</definedName>
    <definedName name="_LD34" localSheetId="6">#REF!</definedName>
    <definedName name="_LD34" localSheetId="5">#REF!</definedName>
    <definedName name="_LD34" localSheetId="3">#REF!</definedName>
    <definedName name="_LD34" localSheetId="17">#REF!</definedName>
    <definedName name="_LD34" localSheetId="8">#REF!</definedName>
    <definedName name="_LD34" localSheetId="4">#REF!</definedName>
    <definedName name="_LD34" localSheetId="20">#REF!</definedName>
    <definedName name="_LD34">#REF!</definedName>
    <definedName name="_LD35" localSheetId="7">#REF!</definedName>
    <definedName name="_LD35" localSheetId="15">#REF!</definedName>
    <definedName name="_LD35" localSheetId="1">#REF!</definedName>
    <definedName name="_LD35" localSheetId="18">#REF!</definedName>
    <definedName name="_LD35" localSheetId="16">#REF!</definedName>
    <definedName name="_LD35" localSheetId="6">#REF!</definedName>
    <definedName name="_LD35" localSheetId="5">#REF!</definedName>
    <definedName name="_LD35" localSheetId="3">#REF!</definedName>
    <definedName name="_LD35" localSheetId="17">#REF!</definedName>
    <definedName name="_LD35" localSheetId="8">#REF!</definedName>
    <definedName name="_LD35" localSheetId="4">#REF!</definedName>
    <definedName name="_LD35" localSheetId="20">#REF!</definedName>
    <definedName name="_LD35">#REF!</definedName>
    <definedName name="_LD36" localSheetId="7">#REF!</definedName>
    <definedName name="_LD36" localSheetId="15">#REF!</definedName>
    <definedName name="_LD36" localSheetId="1">#REF!</definedName>
    <definedName name="_LD36" localSheetId="18">#REF!</definedName>
    <definedName name="_LD36" localSheetId="16">#REF!</definedName>
    <definedName name="_LD36" localSheetId="6">#REF!</definedName>
    <definedName name="_LD36" localSheetId="5">#REF!</definedName>
    <definedName name="_LD36" localSheetId="3">#REF!</definedName>
    <definedName name="_LD36" localSheetId="17">#REF!</definedName>
    <definedName name="_LD36" localSheetId="8">#REF!</definedName>
    <definedName name="_LD36" localSheetId="4">#REF!</definedName>
    <definedName name="_LD36" localSheetId="20">#REF!</definedName>
    <definedName name="_LD36">#REF!</definedName>
    <definedName name="_LD41" localSheetId="7">#REF!</definedName>
    <definedName name="_LD41" localSheetId="15">#REF!</definedName>
    <definedName name="_LD41" localSheetId="1">#REF!</definedName>
    <definedName name="_LD41" localSheetId="18">#REF!</definedName>
    <definedName name="_LD41" localSheetId="16">#REF!</definedName>
    <definedName name="_LD41" localSheetId="6">#REF!</definedName>
    <definedName name="_LD41" localSheetId="5">#REF!</definedName>
    <definedName name="_LD41" localSheetId="3">#REF!</definedName>
    <definedName name="_LD41" localSheetId="17">#REF!</definedName>
    <definedName name="_LD41" localSheetId="8">#REF!</definedName>
    <definedName name="_LD41" localSheetId="4">#REF!</definedName>
    <definedName name="_LD41" localSheetId="20">#REF!</definedName>
    <definedName name="_LD41">#REF!</definedName>
    <definedName name="_LD42" localSheetId="7">#REF!</definedName>
    <definedName name="_LD42" localSheetId="15">#REF!</definedName>
    <definedName name="_LD42" localSheetId="1">#REF!</definedName>
    <definedName name="_LD42" localSheetId="18">#REF!</definedName>
    <definedName name="_LD42" localSheetId="16">#REF!</definedName>
    <definedName name="_LD42" localSheetId="6">#REF!</definedName>
    <definedName name="_LD42" localSheetId="5">#REF!</definedName>
    <definedName name="_LD42" localSheetId="3">#REF!</definedName>
    <definedName name="_LD42" localSheetId="17">#REF!</definedName>
    <definedName name="_LD42" localSheetId="8">#REF!</definedName>
    <definedName name="_LD42" localSheetId="4">#REF!</definedName>
    <definedName name="_LD42" localSheetId="20">#REF!</definedName>
    <definedName name="_LD42">#REF!</definedName>
    <definedName name="_LD43" localSheetId="7">#REF!</definedName>
    <definedName name="_LD43" localSheetId="15">#REF!</definedName>
    <definedName name="_LD43" localSheetId="1">#REF!</definedName>
    <definedName name="_LD43" localSheetId="18">#REF!</definedName>
    <definedName name="_LD43" localSheetId="16">#REF!</definedName>
    <definedName name="_LD43" localSheetId="6">#REF!</definedName>
    <definedName name="_LD43" localSheetId="5">#REF!</definedName>
    <definedName name="_LD43" localSheetId="3">#REF!</definedName>
    <definedName name="_LD43" localSheetId="17">#REF!</definedName>
    <definedName name="_LD43" localSheetId="8">#REF!</definedName>
    <definedName name="_LD43" localSheetId="4">#REF!</definedName>
    <definedName name="_LD43" localSheetId="20">#REF!</definedName>
    <definedName name="_LD43">#REF!</definedName>
    <definedName name="_LD45" localSheetId="7">#REF!</definedName>
    <definedName name="_LD45" localSheetId="15">#REF!</definedName>
    <definedName name="_LD45" localSheetId="1">#REF!</definedName>
    <definedName name="_LD45" localSheetId="18">#REF!</definedName>
    <definedName name="_LD45" localSheetId="16">#REF!</definedName>
    <definedName name="_LD45" localSheetId="6">#REF!</definedName>
    <definedName name="_LD45" localSheetId="5">#REF!</definedName>
    <definedName name="_LD45" localSheetId="3">#REF!</definedName>
    <definedName name="_LD45" localSheetId="17">#REF!</definedName>
    <definedName name="_LD45" localSheetId="8">#REF!</definedName>
    <definedName name="_LD45" localSheetId="4">#REF!</definedName>
    <definedName name="_LD45" localSheetId="20">#REF!</definedName>
    <definedName name="_LD45">#REF!</definedName>
    <definedName name="_LD46" localSheetId="7">#REF!</definedName>
    <definedName name="_LD46" localSheetId="15">#REF!</definedName>
    <definedName name="_LD46" localSheetId="1">#REF!</definedName>
    <definedName name="_LD46" localSheetId="18">#REF!</definedName>
    <definedName name="_LD46" localSheetId="16">#REF!</definedName>
    <definedName name="_LD46" localSheetId="6">#REF!</definedName>
    <definedName name="_LD46" localSheetId="5">#REF!</definedName>
    <definedName name="_LD46" localSheetId="3">#REF!</definedName>
    <definedName name="_LD46" localSheetId="17">#REF!</definedName>
    <definedName name="_LD46" localSheetId="8">#REF!</definedName>
    <definedName name="_LD46" localSheetId="4">#REF!</definedName>
    <definedName name="_LD46" localSheetId="20">#REF!</definedName>
    <definedName name="_LD46">#REF!</definedName>
    <definedName name="_LD51" localSheetId="7">#REF!</definedName>
    <definedName name="_LD51" localSheetId="15">#REF!</definedName>
    <definedName name="_LD51" localSheetId="1">#REF!</definedName>
    <definedName name="_LD51" localSheetId="18">#REF!</definedName>
    <definedName name="_LD51" localSheetId="16">#REF!</definedName>
    <definedName name="_LD51" localSheetId="6">#REF!</definedName>
    <definedName name="_LD51" localSheetId="5">#REF!</definedName>
    <definedName name="_LD51" localSheetId="3">#REF!</definedName>
    <definedName name="_LD51" localSheetId="17">#REF!</definedName>
    <definedName name="_LD51" localSheetId="8">#REF!</definedName>
    <definedName name="_LD51" localSheetId="4">#REF!</definedName>
    <definedName name="_LD51" localSheetId="20">#REF!</definedName>
    <definedName name="_LD51">#REF!</definedName>
    <definedName name="_LD54" localSheetId="7">#REF!</definedName>
    <definedName name="_LD54" localSheetId="15">#REF!</definedName>
    <definedName name="_LD54" localSheetId="1">#REF!</definedName>
    <definedName name="_LD54" localSheetId="18">#REF!</definedName>
    <definedName name="_LD54" localSheetId="16">#REF!</definedName>
    <definedName name="_LD54" localSheetId="6">#REF!</definedName>
    <definedName name="_LD54" localSheetId="5">#REF!</definedName>
    <definedName name="_LD54" localSheetId="3">#REF!</definedName>
    <definedName name="_LD54" localSheetId="17">#REF!</definedName>
    <definedName name="_LD54" localSheetId="8">#REF!</definedName>
    <definedName name="_LD54" localSheetId="4">#REF!</definedName>
    <definedName name="_LD54" localSheetId="20">#REF!</definedName>
    <definedName name="_LD54">#REF!</definedName>
    <definedName name="_LD55" localSheetId="7">#REF!</definedName>
    <definedName name="_LD55" localSheetId="15">#REF!</definedName>
    <definedName name="_LD55" localSheetId="1">#REF!</definedName>
    <definedName name="_LD55" localSheetId="18">#REF!</definedName>
    <definedName name="_LD55" localSheetId="16">#REF!</definedName>
    <definedName name="_LD55" localSheetId="6">#REF!</definedName>
    <definedName name="_LD55" localSheetId="5">#REF!</definedName>
    <definedName name="_LD55" localSheetId="3">#REF!</definedName>
    <definedName name="_LD55" localSheetId="17">#REF!</definedName>
    <definedName name="_LD55" localSheetId="8">#REF!</definedName>
    <definedName name="_LD55" localSheetId="4">#REF!</definedName>
    <definedName name="_LD55" localSheetId="20">#REF!</definedName>
    <definedName name="_LD55">#REF!</definedName>
    <definedName name="_le13" localSheetId="7">#REF!</definedName>
    <definedName name="_le13" localSheetId="15">#REF!</definedName>
    <definedName name="_le13" localSheetId="1">#REF!</definedName>
    <definedName name="_le13" localSheetId="18">#REF!</definedName>
    <definedName name="_le13" localSheetId="16">#REF!</definedName>
    <definedName name="_le13" localSheetId="6">#REF!</definedName>
    <definedName name="_le13" localSheetId="5">#REF!</definedName>
    <definedName name="_le13" localSheetId="3">#REF!</definedName>
    <definedName name="_le13" localSheetId="17">#REF!</definedName>
    <definedName name="_le13" localSheetId="8">#REF!</definedName>
    <definedName name="_le13" localSheetId="4">#REF!</definedName>
    <definedName name="_le13" localSheetId="20">#REF!</definedName>
    <definedName name="_le13">#REF!</definedName>
    <definedName name="_le21">[11]BangLuong2008!$J$11</definedName>
    <definedName name="_le23" localSheetId="7">#REF!</definedName>
    <definedName name="_le23" localSheetId="15">#REF!</definedName>
    <definedName name="_le23" localSheetId="1">#REF!</definedName>
    <definedName name="_le23" localSheetId="18">#REF!</definedName>
    <definedName name="_le23" localSheetId="16">#REF!</definedName>
    <definedName name="_le23" localSheetId="6">#REF!</definedName>
    <definedName name="_le23" localSheetId="5">#REF!</definedName>
    <definedName name="_le23" localSheetId="3">#REF!</definedName>
    <definedName name="_le23" localSheetId="17">#REF!</definedName>
    <definedName name="_le23" localSheetId="8">#REF!</definedName>
    <definedName name="_le23" localSheetId="4">#REF!</definedName>
    <definedName name="_le23" localSheetId="20">#REF!</definedName>
    <definedName name="_le23">#REF!</definedName>
    <definedName name="_le25">[11]BangLuong2008!$J$15</definedName>
    <definedName name="_LE31">[11]BangLuong2008!$J$17</definedName>
    <definedName name="_le32" localSheetId="7">#REF!</definedName>
    <definedName name="_le32" localSheetId="15">#REF!</definedName>
    <definedName name="_le32" localSheetId="1">#REF!</definedName>
    <definedName name="_le32" localSheetId="18">#REF!</definedName>
    <definedName name="_le32" localSheetId="16">#REF!</definedName>
    <definedName name="_le32" localSheetId="6">#REF!</definedName>
    <definedName name="_le32" localSheetId="5">#REF!</definedName>
    <definedName name="_le32" localSheetId="3">#REF!</definedName>
    <definedName name="_le32" localSheetId="17">#REF!</definedName>
    <definedName name="_le32" localSheetId="8">#REF!</definedName>
    <definedName name="_le32" localSheetId="4">#REF!</definedName>
    <definedName name="_le32" localSheetId="20">#REF!</definedName>
    <definedName name="_le32">#REF!</definedName>
    <definedName name="_le33" localSheetId="7">#REF!</definedName>
    <definedName name="_le33" localSheetId="15">#REF!</definedName>
    <definedName name="_le33" localSheetId="1">#REF!</definedName>
    <definedName name="_le33" localSheetId="18">#REF!</definedName>
    <definedName name="_le33" localSheetId="16">#REF!</definedName>
    <definedName name="_le33" localSheetId="6">#REF!</definedName>
    <definedName name="_le33" localSheetId="5">#REF!</definedName>
    <definedName name="_le33" localSheetId="3">#REF!</definedName>
    <definedName name="_le33" localSheetId="17">#REF!</definedName>
    <definedName name="_le33" localSheetId="8">#REF!</definedName>
    <definedName name="_le33" localSheetId="4">#REF!</definedName>
    <definedName name="_le33" localSheetId="20">#REF!</definedName>
    <definedName name="_le33">#REF!</definedName>
    <definedName name="_LE35" localSheetId="7">#REF!</definedName>
    <definedName name="_LE35" localSheetId="15">#REF!</definedName>
    <definedName name="_LE35" localSheetId="1">#REF!</definedName>
    <definedName name="_LE35" localSheetId="18">#REF!</definedName>
    <definedName name="_LE35" localSheetId="16">#REF!</definedName>
    <definedName name="_LE35" localSheetId="6">#REF!</definedName>
    <definedName name="_LE35" localSheetId="5">#REF!</definedName>
    <definedName name="_LE35" localSheetId="3">#REF!</definedName>
    <definedName name="_LE35" localSheetId="17">#REF!</definedName>
    <definedName name="_LE35" localSheetId="8">#REF!</definedName>
    <definedName name="_LE35" localSheetId="4">#REF!</definedName>
    <definedName name="_LE35" localSheetId="20">#REF!</definedName>
    <definedName name="_LE35">#REF!</definedName>
    <definedName name="_LE41" localSheetId="7">#REF!</definedName>
    <definedName name="_LE41" localSheetId="15">#REF!</definedName>
    <definedName name="_LE41" localSheetId="1">#REF!</definedName>
    <definedName name="_LE41" localSheetId="18">#REF!</definedName>
    <definedName name="_LE41" localSheetId="16">#REF!</definedName>
    <definedName name="_LE41" localSheetId="6">#REF!</definedName>
    <definedName name="_LE41" localSheetId="5">#REF!</definedName>
    <definedName name="_LE41" localSheetId="3">#REF!</definedName>
    <definedName name="_LE41" localSheetId="17">#REF!</definedName>
    <definedName name="_LE41" localSheetId="8">#REF!</definedName>
    <definedName name="_LE41" localSheetId="4">#REF!</definedName>
    <definedName name="_LE41" localSheetId="20">#REF!</definedName>
    <definedName name="_LE41">#REF!</definedName>
    <definedName name="_le42" localSheetId="7">#REF!</definedName>
    <definedName name="_le42" localSheetId="15">#REF!</definedName>
    <definedName name="_le42" localSheetId="1">#REF!</definedName>
    <definedName name="_le42" localSheetId="18">#REF!</definedName>
    <definedName name="_le42" localSheetId="16">#REF!</definedName>
    <definedName name="_le42" localSheetId="6">#REF!</definedName>
    <definedName name="_le42" localSheetId="5">#REF!</definedName>
    <definedName name="_le42" localSheetId="3">#REF!</definedName>
    <definedName name="_le42" localSheetId="17">#REF!</definedName>
    <definedName name="_le42" localSheetId="8">#REF!</definedName>
    <definedName name="_le42" localSheetId="4">#REF!</definedName>
    <definedName name="_le42" localSheetId="20">#REF!</definedName>
    <definedName name="_le42">#REF!</definedName>
    <definedName name="_LE45" localSheetId="7">#REF!</definedName>
    <definedName name="_LE45" localSheetId="15">#REF!</definedName>
    <definedName name="_LE45" localSheetId="1">#REF!</definedName>
    <definedName name="_LE45" localSheetId="18">#REF!</definedName>
    <definedName name="_LE45" localSheetId="16">#REF!</definedName>
    <definedName name="_LE45" localSheetId="6">#REF!</definedName>
    <definedName name="_LE45" localSheetId="5">#REF!</definedName>
    <definedName name="_LE45" localSheetId="3">#REF!</definedName>
    <definedName name="_LE45" localSheetId="17">#REF!</definedName>
    <definedName name="_LE45" localSheetId="8">#REF!</definedName>
    <definedName name="_LE45" localSheetId="4">#REF!</definedName>
    <definedName name="_LE45" localSheetId="20">#REF!</definedName>
    <definedName name="_LE45">#REF!</definedName>
    <definedName name="_LE51" localSheetId="7">#REF!</definedName>
    <definedName name="_LE51" localSheetId="15">#REF!</definedName>
    <definedName name="_LE51" localSheetId="1">#REF!</definedName>
    <definedName name="_LE51" localSheetId="18">#REF!</definedName>
    <definedName name="_LE51" localSheetId="16">#REF!</definedName>
    <definedName name="_LE51" localSheetId="6">#REF!</definedName>
    <definedName name="_LE51" localSheetId="5">#REF!</definedName>
    <definedName name="_LE51" localSheetId="3">#REF!</definedName>
    <definedName name="_LE51" localSheetId="17">#REF!</definedName>
    <definedName name="_LE51" localSheetId="8">#REF!</definedName>
    <definedName name="_LE51" localSheetId="4">#REF!</definedName>
    <definedName name="_LE51" localSheetId="20">#REF!</definedName>
    <definedName name="_LE51">#REF!</definedName>
    <definedName name="_le52" localSheetId="7">#REF!</definedName>
    <definedName name="_le52" localSheetId="15">#REF!</definedName>
    <definedName name="_le52" localSheetId="1">#REF!</definedName>
    <definedName name="_le52" localSheetId="18">#REF!</definedName>
    <definedName name="_le52" localSheetId="16">#REF!</definedName>
    <definedName name="_le52" localSheetId="6">#REF!</definedName>
    <definedName name="_le52" localSheetId="5">#REF!</definedName>
    <definedName name="_le52" localSheetId="3">#REF!</definedName>
    <definedName name="_le52" localSheetId="17">#REF!</definedName>
    <definedName name="_le52" localSheetId="8">#REF!</definedName>
    <definedName name="_le52" localSheetId="4">#REF!</definedName>
    <definedName name="_le52" localSheetId="20">#REF!</definedName>
    <definedName name="_le52">#REF!</definedName>
    <definedName name="_LE55" localSheetId="7">#REF!</definedName>
    <definedName name="_LE55" localSheetId="15">#REF!</definedName>
    <definedName name="_LE55" localSheetId="1">#REF!</definedName>
    <definedName name="_LE55" localSheetId="18">#REF!</definedName>
    <definedName name="_LE55" localSheetId="16">#REF!</definedName>
    <definedName name="_LE55" localSheetId="6">#REF!</definedName>
    <definedName name="_LE55" localSheetId="5">#REF!</definedName>
    <definedName name="_LE55" localSheetId="3">#REF!</definedName>
    <definedName name="_LE55" localSheetId="17">#REF!</definedName>
    <definedName name="_LE55" localSheetId="8">#REF!</definedName>
    <definedName name="_LE55" localSheetId="4">#REF!</definedName>
    <definedName name="_LE55" localSheetId="20">#REF!</definedName>
    <definedName name="_LE55">#REF!</definedName>
    <definedName name="_m">"$#REF!.$#REF!$#REF!:$#REF!$#REF!"</definedName>
    <definedName name="_N">"$#REF!.$AA$9"</definedName>
    <definedName name="_NCL100" localSheetId="7">#REF!</definedName>
    <definedName name="_NCL100" localSheetId="15">#REF!</definedName>
    <definedName name="_NCL100" localSheetId="1">#REF!</definedName>
    <definedName name="_NCL100" localSheetId="18">#REF!</definedName>
    <definedName name="_NCL100" localSheetId="16">#REF!</definedName>
    <definedName name="_NCL100" localSheetId="6">#REF!</definedName>
    <definedName name="_NCL100" localSheetId="3">#REF!</definedName>
    <definedName name="_NCL100" localSheetId="17">#REF!</definedName>
    <definedName name="_NCL100" localSheetId="8">#REF!</definedName>
    <definedName name="_NCL100" localSheetId="4">#REF!</definedName>
    <definedName name="_NCL100" localSheetId="20">#REF!</definedName>
    <definedName name="_NCL100">#REF!</definedName>
    <definedName name="_NCL200" localSheetId="7">#REF!</definedName>
    <definedName name="_NCL200" localSheetId="15">#REF!</definedName>
    <definedName name="_NCL200" localSheetId="1">#REF!</definedName>
    <definedName name="_NCL200" localSheetId="18">#REF!</definedName>
    <definedName name="_NCL200" localSheetId="16">#REF!</definedName>
    <definedName name="_NCL200" localSheetId="6">#REF!</definedName>
    <definedName name="_NCL200" localSheetId="3">#REF!</definedName>
    <definedName name="_NCL200" localSheetId="17">#REF!</definedName>
    <definedName name="_NCL200" localSheetId="8">#REF!</definedName>
    <definedName name="_NCL200" localSheetId="4">#REF!</definedName>
    <definedName name="_NCL200" localSheetId="20">#REF!</definedName>
    <definedName name="_NCL200">#REF!</definedName>
    <definedName name="_NCL250" localSheetId="7">#REF!</definedName>
    <definedName name="_NCL250" localSheetId="15">#REF!</definedName>
    <definedName name="_NCL250" localSheetId="1">#REF!</definedName>
    <definedName name="_NCL250" localSheetId="18">#REF!</definedName>
    <definedName name="_NCL250" localSheetId="16">#REF!</definedName>
    <definedName name="_NCL250" localSheetId="6">#REF!</definedName>
    <definedName name="_NCL250" localSheetId="3">#REF!</definedName>
    <definedName name="_NCL250" localSheetId="17">#REF!</definedName>
    <definedName name="_NCL250" localSheetId="8">#REF!</definedName>
    <definedName name="_NCL250" localSheetId="4">#REF!</definedName>
    <definedName name="_NCL250" localSheetId="20">#REF!</definedName>
    <definedName name="_NCL250">#REF!</definedName>
    <definedName name="_NET2" localSheetId="7">#REF!</definedName>
    <definedName name="_NET2" localSheetId="15">#REF!</definedName>
    <definedName name="_NET2" localSheetId="1">#REF!</definedName>
    <definedName name="_NET2" localSheetId="18">#REF!</definedName>
    <definedName name="_NET2" localSheetId="16">#REF!</definedName>
    <definedName name="_NET2" localSheetId="6">#REF!</definedName>
    <definedName name="_NET2" localSheetId="5">#REF!</definedName>
    <definedName name="_NET2" localSheetId="3">#REF!</definedName>
    <definedName name="_NET2" localSheetId="17">#REF!</definedName>
    <definedName name="_NET2" localSheetId="8">#REF!</definedName>
    <definedName name="_NET2" localSheetId="4">#REF!</definedName>
    <definedName name="_NET2" localSheetId="20">#REF!</definedName>
    <definedName name="_NET2">#REF!</definedName>
    <definedName name="_nin190" localSheetId="7">#REF!</definedName>
    <definedName name="_nin190" localSheetId="15">#REF!</definedName>
    <definedName name="_nin190" localSheetId="1">#REF!</definedName>
    <definedName name="_nin190" localSheetId="18">#REF!</definedName>
    <definedName name="_nin190" localSheetId="16">#REF!</definedName>
    <definedName name="_nin190" localSheetId="6">#REF!</definedName>
    <definedName name="_nin190" localSheetId="3">#REF!</definedName>
    <definedName name="_nin190" localSheetId="17">#REF!</definedName>
    <definedName name="_nin190" localSheetId="8">#REF!</definedName>
    <definedName name="_nin190" localSheetId="4">#REF!</definedName>
    <definedName name="_nin190" localSheetId="20">#REF!</definedName>
    <definedName name="_nin190">#REF!</definedName>
    <definedName name="_NO1" localSheetId="7">#REF!</definedName>
    <definedName name="_NO1" localSheetId="15">#REF!</definedName>
    <definedName name="_NO1" localSheetId="1">#REF!</definedName>
    <definedName name="_NO1" localSheetId="18">#REF!</definedName>
    <definedName name="_NO1" localSheetId="16">#REF!</definedName>
    <definedName name="_NO1" localSheetId="6">#REF!</definedName>
    <definedName name="_NO1" localSheetId="3">#REF!</definedName>
    <definedName name="_NO1" localSheetId="17">#REF!</definedName>
    <definedName name="_NO1" localSheetId="8">#REF!</definedName>
    <definedName name="_NO1" localSheetId="4">#REF!</definedName>
    <definedName name="_NO1" localSheetId="20">#REF!</definedName>
    <definedName name="_NO1">#REF!</definedName>
    <definedName name="_NV11" localSheetId="7">#REF!</definedName>
    <definedName name="_NV11" localSheetId="15">#REF!</definedName>
    <definedName name="_NV11" localSheetId="1">#REF!</definedName>
    <definedName name="_NV11" localSheetId="18">#REF!</definedName>
    <definedName name="_NV11" localSheetId="16">#REF!</definedName>
    <definedName name="_NV11" localSheetId="6">#REF!</definedName>
    <definedName name="_NV11" localSheetId="5">#REF!</definedName>
    <definedName name="_NV11" localSheetId="3">#REF!</definedName>
    <definedName name="_NV11" localSheetId="17">#REF!</definedName>
    <definedName name="_NV11" localSheetId="8">#REF!</definedName>
    <definedName name="_NV11" localSheetId="4">#REF!</definedName>
    <definedName name="_NV11" localSheetId="20">#REF!</definedName>
    <definedName name="_NV11">#REF!</definedName>
    <definedName name="_NV16" localSheetId="7">#REF!</definedName>
    <definedName name="_NV16" localSheetId="15">#REF!</definedName>
    <definedName name="_NV16" localSheetId="1">#REF!</definedName>
    <definedName name="_NV16" localSheetId="18">#REF!</definedName>
    <definedName name="_NV16" localSheetId="16">#REF!</definedName>
    <definedName name="_NV16" localSheetId="6">#REF!</definedName>
    <definedName name="_NV16" localSheetId="5">#REF!</definedName>
    <definedName name="_NV16" localSheetId="3">#REF!</definedName>
    <definedName name="_NV16" localSheetId="17">#REF!</definedName>
    <definedName name="_NV16" localSheetId="8">#REF!</definedName>
    <definedName name="_NV16" localSheetId="4">#REF!</definedName>
    <definedName name="_NV16" localSheetId="20">#REF!</definedName>
    <definedName name="_NV16">#REF!</definedName>
    <definedName name="_NV21" localSheetId="7">#REF!</definedName>
    <definedName name="_NV21" localSheetId="15">#REF!</definedName>
    <definedName name="_NV21" localSheetId="1">#REF!</definedName>
    <definedName name="_NV21" localSheetId="18">#REF!</definedName>
    <definedName name="_NV21" localSheetId="16">#REF!</definedName>
    <definedName name="_NV21" localSheetId="6">#REF!</definedName>
    <definedName name="_NV21" localSheetId="5">#REF!</definedName>
    <definedName name="_NV21" localSheetId="3">#REF!</definedName>
    <definedName name="_NV21" localSheetId="17">#REF!</definedName>
    <definedName name="_NV21" localSheetId="8">#REF!</definedName>
    <definedName name="_NV21" localSheetId="4">#REF!</definedName>
    <definedName name="_NV21" localSheetId="20">#REF!</definedName>
    <definedName name="_NV21">#REF!</definedName>
    <definedName name="_NV26" localSheetId="7">#REF!</definedName>
    <definedName name="_NV26" localSheetId="15">#REF!</definedName>
    <definedName name="_NV26" localSheetId="1">#REF!</definedName>
    <definedName name="_NV26" localSheetId="18">#REF!</definedName>
    <definedName name="_NV26" localSheetId="16">#REF!</definedName>
    <definedName name="_NV26" localSheetId="6">#REF!</definedName>
    <definedName name="_NV26" localSheetId="5">#REF!</definedName>
    <definedName name="_NV26" localSheetId="3">#REF!</definedName>
    <definedName name="_NV26" localSheetId="17">#REF!</definedName>
    <definedName name="_NV26" localSheetId="8">#REF!</definedName>
    <definedName name="_NV26" localSheetId="4">#REF!</definedName>
    <definedName name="_NV26" localSheetId="20">#REF!</definedName>
    <definedName name="_NV26">#REF!</definedName>
    <definedName name="_NV31" localSheetId="7">#REF!</definedName>
    <definedName name="_NV31" localSheetId="15">#REF!</definedName>
    <definedName name="_NV31" localSheetId="1">#REF!</definedName>
    <definedName name="_NV31" localSheetId="18">#REF!</definedName>
    <definedName name="_NV31" localSheetId="16">#REF!</definedName>
    <definedName name="_NV31" localSheetId="6">#REF!</definedName>
    <definedName name="_NV31" localSheetId="5">#REF!</definedName>
    <definedName name="_NV31" localSheetId="3">#REF!</definedName>
    <definedName name="_NV31" localSheetId="17">#REF!</definedName>
    <definedName name="_NV31" localSheetId="8">#REF!</definedName>
    <definedName name="_NV31" localSheetId="4">#REF!</definedName>
    <definedName name="_NV31" localSheetId="20">#REF!</definedName>
    <definedName name="_NV31">#REF!</definedName>
    <definedName name="_NV36" localSheetId="7">#REF!</definedName>
    <definedName name="_NV36" localSheetId="15">#REF!</definedName>
    <definedName name="_NV36" localSheetId="1">#REF!</definedName>
    <definedName name="_NV36" localSheetId="18">#REF!</definedName>
    <definedName name="_NV36" localSheetId="16">#REF!</definedName>
    <definedName name="_NV36" localSheetId="6">#REF!</definedName>
    <definedName name="_NV36" localSheetId="5">#REF!</definedName>
    <definedName name="_NV36" localSheetId="3">#REF!</definedName>
    <definedName name="_NV36" localSheetId="17">#REF!</definedName>
    <definedName name="_NV36" localSheetId="8">#REF!</definedName>
    <definedName name="_NV36" localSheetId="4">#REF!</definedName>
    <definedName name="_NV36" localSheetId="20">#REF!</definedName>
    <definedName name="_NV36">#REF!</definedName>
    <definedName name="_NV41" localSheetId="7">#REF!</definedName>
    <definedName name="_NV41" localSheetId="15">#REF!</definedName>
    <definedName name="_NV41" localSheetId="1">#REF!</definedName>
    <definedName name="_NV41" localSheetId="18">#REF!</definedName>
    <definedName name="_NV41" localSheetId="16">#REF!</definedName>
    <definedName name="_NV41" localSheetId="6">#REF!</definedName>
    <definedName name="_NV41" localSheetId="5">#REF!</definedName>
    <definedName name="_NV41" localSheetId="3">#REF!</definedName>
    <definedName name="_NV41" localSheetId="17">#REF!</definedName>
    <definedName name="_NV41" localSheetId="8">#REF!</definedName>
    <definedName name="_NV41" localSheetId="4">#REF!</definedName>
    <definedName name="_NV41" localSheetId="20">#REF!</definedName>
    <definedName name="_NV41">#REF!</definedName>
    <definedName name="_NV46" localSheetId="7">#REF!</definedName>
    <definedName name="_NV46" localSheetId="15">#REF!</definedName>
    <definedName name="_NV46" localSheetId="1">#REF!</definedName>
    <definedName name="_NV46" localSheetId="18">#REF!</definedName>
    <definedName name="_NV46" localSheetId="16">#REF!</definedName>
    <definedName name="_NV46" localSheetId="6">#REF!</definedName>
    <definedName name="_NV46" localSheetId="5">#REF!</definedName>
    <definedName name="_NV46" localSheetId="3">#REF!</definedName>
    <definedName name="_NV46" localSheetId="17">#REF!</definedName>
    <definedName name="_NV46" localSheetId="8">#REF!</definedName>
    <definedName name="_NV46" localSheetId="4">#REF!</definedName>
    <definedName name="_NV46" localSheetId="20">#REF!</definedName>
    <definedName name="_NV46">#REF!</definedName>
    <definedName name="_NV51" localSheetId="7">#REF!</definedName>
    <definedName name="_NV51" localSheetId="15">#REF!</definedName>
    <definedName name="_NV51" localSheetId="1">#REF!</definedName>
    <definedName name="_NV51" localSheetId="18">#REF!</definedName>
    <definedName name="_NV51" localSheetId="16">#REF!</definedName>
    <definedName name="_NV51" localSheetId="6">#REF!</definedName>
    <definedName name="_NV51" localSheetId="5">#REF!</definedName>
    <definedName name="_NV51" localSheetId="3">#REF!</definedName>
    <definedName name="_NV51" localSheetId="17">#REF!</definedName>
    <definedName name="_NV51" localSheetId="8">#REF!</definedName>
    <definedName name="_NV51" localSheetId="4">#REF!</definedName>
    <definedName name="_NV51" localSheetId="20">#REF!</definedName>
    <definedName name="_NV51">#REF!</definedName>
    <definedName name="_NV56" localSheetId="7">#REF!</definedName>
    <definedName name="_NV56" localSheetId="15">#REF!</definedName>
    <definedName name="_NV56" localSheetId="1">#REF!</definedName>
    <definedName name="_NV56" localSheetId="18">#REF!</definedName>
    <definedName name="_NV56" localSheetId="16">#REF!</definedName>
    <definedName name="_NV56" localSheetId="6">#REF!</definedName>
    <definedName name="_NV56" localSheetId="5">#REF!</definedName>
    <definedName name="_NV56" localSheetId="3">#REF!</definedName>
    <definedName name="_NV56" localSheetId="17">#REF!</definedName>
    <definedName name="_NV56" localSheetId="8">#REF!</definedName>
    <definedName name="_NV56" localSheetId="4">#REF!</definedName>
    <definedName name="_NV56" localSheetId="20">#REF!</definedName>
    <definedName name="_NV56">#REF!</definedName>
    <definedName name="_Order1" hidden="1">255</definedName>
    <definedName name="_Order2" hidden="1">255</definedName>
    <definedName name="_oth120" localSheetId="7">'[10]page 6'!#REF!</definedName>
    <definedName name="_oth120" localSheetId="15">'[10]page 6'!#REF!</definedName>
    <definedName name="_oth120" localSheetId="1">'[10]page 6'!#REF!</definedName>
    <definedName name="_oth120" localSheetId="18">'[10]page 6'!#REF!</definedName>
    <definedName name="_oth120" localSheetId="16">'[10]page 6'!#REF!</definedName>
    <definedName name="_oth120" localSheetId="6">'[10]page 6'!#REF!</definedName>
    <definedName name="_oth120" localSheetId="5">'[10]page 6'!#REF!</definedName>
    <definedName name="_oth120" localSheetId="3">'[10]page 6'!#REF!</definedName>
    <definedName name="_oth120" localSheetId="17">'[10]page 6'!#REF!</definedName>
    <definedName name="_oth120" localSheetId="8">'[10]page 6'!#REF!</definedName>
    <definedName name="_oth120" localSheetId="4">'[10]page 6'!#REF!</definedName>
    <definedName name="_oth120" localSheetId="20">'[10]page 6'!#REF!</definedName>
    <definedName name="_oth120">'[10]page 6'!#REF!</definedName>
    <definedName name="_oth30" localSheetId="7">'[10]page 6'!#REF!</definedName>
    <definedName name="_oth30" localSheetId="15">'[10]page 6'!#REF!</definedName>
    <definedName name="_oth30" localSheetId="1">'[10]page 6'!#REF!</definedName>
    <definedName name="_oth30" localSheetId="18">'[10]page 6'!#REF!</definedName>
    <definedName name="_oth30" localSheetId="16">'[10]page 6'!#REF!</definedName>
    <definedName name="_oth30" localSheetId="6">'[10]page 6'!#REF!</definedName>
    <definedName name="_oth30" localSheetId="5">'[10]page 6'!#REF!</definedName>
    <definedName name="_oth30" localSheetId="3">'[10]page 6'!#REF!</definedName>
    <definedName name="_oth30" localSheetId="17">'[10]page 6'!#REF!</definedName>
    <definedName name="_oth30" localSheetId="8">'[10]page 6'!#REF!</definedName>
    <definedName name="_oth30" localSheetId="4">'[10]page 6'!#REF!</definedName>
    <definedName name="_oth30" localSheetId="20">'[10]page 6'!#REF!</definedName>
    <definedName name="_oth30">'[10]page 6'!#REF!</definedName>
    <definedName name="_oth60" localSheetId="7">'[10]page 6'!#REF!</definedName>
    <definedName name="_oth60" localSheetId="15">'[10]page 6'!#REF!</definedName>
    <definedName name="_oth60" localSheetId="1">'[10]page 6'!#REF!</definedName>
    <definedName name="_oth60" localSheetId="18">'[10]page 6'!#REF!</definedName>
    <definedName name="_oth60" localSheetId="16">'[10]page 6'!#REF!</definedName>
    <definedName name="_oth60" localSheetId="6">'[10]page 6'!#REF!</definedName>
    <definedName name="_oth60" localSheetId="5">'[10]page 6'!#REF!</definedName>
    <definedName name="_oth60" localSheetId="3">'[10]page 6'!#REF!</definedName>
    <definedName name="_oth60" localSheetId="17">'[10]page 6'!#REF!</definedName>
    <definedName name="_oth60" localSheetId="8">'[10]page 6'!#REF!</definedName>
    <definedName name="_oth60" localSheetId="4">'[10]page 6'!#REF!</definedName>
    <definedName name="_oth60" localSheetId="20">'[10]page 6'!#REF!</definedName>
    <definedName name="_oth60">'[10]page 6'!#REF!</definedName>
    <definedName name="_oth90" localSheetId="7">'[10]page 6'!#REF!</definedName>
    <definedName name="_oth90" localSheetId="15">'[10]page 6'!#REF!</definedName>
    <definedName name="_oth90" localSheetId="1">'[10]page 6'!#REF!</definedName>
    <definedName name="_oth90" localSheetId="18">'[10]page 6'!#REF!</definedName>
    <definedName name="_oth90" localSheetId="16">'[10]page 6'!#REF!</definedName>
    <definedName name="_oth90" localSheetId="6">'[10]page 6'!#REF!</definedName>
    <definedName name="_oth90" localSheetId="5">'[10]page 6'!#REF!</definedName>
    <definedName name="_oth90" localSheetId="3">'[10]page 6'!#REF!</definedName>
    <definedName name="_oth90" localSheetId="17">'[10]page 6'!#REF!</definedName>
    <definedName name="_oth90" localSheetId="8">'[10]page 6'!#REF!</definedName>
    <definedName name="_oth90" localSheetId="4">'[10]page 6'!#REF!</definedName>
    <definedName name="_oth90" localSheetId="20">'[10]page 6'!#REF!</definedName>
    <definedName name="_oth90">'[10]page 6'!#REF!</definedName>
    <definedName name="_oto10" localSheetId="7">[12]VL!#REF!</definedName>
    <definedName name="_oto10" localSheetId="15">[12]VL!#REF!</definedName>
    <definedName name="_oto10" localSheetId="1">[12]VL!#REF!</definedName>
    <definedName name="_oto10" localSheetId="18">[12]VL!#REF!</definedName>
    <definedName name="_oto10" localSheetId="16">[12]VL!#REF!</definedName>
    <definedName name="_oto10" localSheetId="6">[12]VL!#REF!</definedName>
    <definedName name="_oto10" localSheetId="5">[12]VL!#REF!</definedName>
    <definedName name="_oto10" localSheetId="3">[12]VL!#REF!</definedName>
    <definedName name="_oto10" localSheetId="17">[12]VL!#REF!</definedName>
    <definedName name="_oto10" localSheetId="8">[12]VL!#REF!</definedName>
    <definedName name="_oto10" localSheetId="4">[12]VL!#REF!</definedName>
    <definedName name="_oto10" localSheetId="20">[12]VL!#REF!</definedName>
    <definedName name="_oto10">[12]VL!#REF!</definedName>
    <definedName name="_qa7" localSheetId="7">#REF!</definedName>
    <definedName name="_qa7" localSheetId="15">#REF!</definedName>
    <definedName name="_qa7" localSheetId="1">#REF!</definedName>
    <definedName name="_qa7" localSheetId="18">#REF!</definedName>
    <definedName name="_qa7" localSheetId="16">#REF!</definedName>
    <definedName name="_qa7" localSheetId="6">#REF!</definedName>
    <definedName name="_qa7" localSheetId="5">#REF!</definedName>
    <definedName name="_qa7" localSheetId="3">#REF!</definedName>
    <definedName name="_qa7" localSheetId="17">#REF!</definedName>
    <definedName name="_qa7" localSheetId="8">#REF!</definedName>
    <definedName name="_qa7" localSheetId="4">#REF!</definedName>
    <definedName name="_qa7" localSheetId="20">#REF!</definedName>
    <definedName name="_qa7">#REF!</definedName>
    <definedName name="_QL11" localSheetId="7">#REF!</definedName>
    <definedName name="_QL11" localSheetId="15">#REF!</definedName>
    <definedName name="_QL11" localSheetId="1">#REF!</definedName>
    <definedName name="_QL11" localSheetId="18">#REF!</definedName>
    <definedName name="_QL11" localSheetId="16">#REF!</definedName>
    <definedName name="_QL11" localSheetId="6">#REF!</definedName>
    <definedName name="_QL11" localSheetId="5">#REF!</definedName>
    <definedName name="_QL11" localSheetId="3">#REF!</definedName>
    <definedName name="_QL11" localSheetId="17">#REF!</definedName>
    <definedName name="_QL11" localSheetId="8">#REF!</definedName>
    <definedName name="_QL11" localSheetId="4">#REF!</definedName>
    <definedName name="_QL11" localSheetId="20">#REF!</definedName>
    <definedName name="_QL11">#REF!</definedName>
    <definedName name="_QL16" localSheetId="7">#REF!</definedName>
    <definedName name="_QL16" localSheetId="15">#REF!</definedName>
    <definedName name="_QL16" localSheetId="1">#REF!</definedName>
    <definedName name="_QL16" localSheetId="18">#REF!</definedName>
    <definedName name="_QL16" localSheetId="16">#REF!</definedName>
    <definedName name="_QL16" localSheetId="6">#REF!</definedName>
    <definedName name="_QL16" localSheetId="5">#REF!</definedName>
    <definedName name="_QL16" localSheetId="3">#REF!</definedName>
    <definedName name="_QL16" localSheetId="17">#REF!</definedName>
    <definedName name="_QL16" localSheetId="8">#REF!</definedName>
    <definedName name="_QL16" localSheetId="4">#REF!</definedName>
    <definedName name="_QL16" localSheetId="20">#REF!</definedName>
    <definedName name="_QL16">#REF!</definedName>
    <definedName name="_QL21" localSheetId="7">#REF!</definedName>
    <definedName name="_QL21" localSheetId="15">#REF!</definedName>
    <definedName name="_QL21" localSheetId="1">#REF!</definedName>
    <definedName name="_QL21" localSheetId="18">#REF!</definedName>
    <definedName name="_QL21" localSheetId="16">#REF!</definedName>
    <definedName name="_QL21" localSheetId="6">#REF!</definedName>
    <definedName name="_QL21" localSheetId="5">#REF!</definedName>
    <definedName name="_QL21" localSheetId="3">#REF!</definedName>
    <definedName name="_QL21" localSheetId="17">#REF!</definedName>
    <definedName name="_QL21" localSheetId="8">#REF!</definedName>
    <definedName name="_QL21" localSheetId="4">#REF!</definedName>
    <definedName name="_QL21" localSheetId="20">#REF!</definedName>
    <definedName name="_QL21">#REF!</definedName>
    <definedName name="_QL31" localSheetId="7">#REF!</definedName>
    <definedName name="_QL31" localSheetId="15">#REF!</definedName>
    <definedName name="_QL31" localSheetId="1">#REF!</definedName>
    <definedName name="_QL31" localSheetId="18">#REF!</definedName>
    <definedName name="_QL31" localSheetId="16">#REF!</definedName>
    <definedName name="_QL31" localSheetId="6">#REF!</definedName>
    <definedName name="_QL31" localSheetId="5">#REF!</definedName>
    <definedName name="_QL31" localSheetId="3">#REF!</definedName>
    <definedName name="_QL31" localSheetId="17">#REF!</definedName>
    <definedName name="_QL31" localSheetId="8">#REF!</definedName>
    <definedName name="_QL31" localSheetId="4">#REF!</definedName>
    <definedName name="_QL31" localSheetId="20">#REF!</definedName>
    <definedName name="_QL31">#REF!</definedName>
    <definedName name="_QL36" localSheetId="7">#REF!</definedName>
    <definedName name="_QL36" localSheetId="15">#REF!</definedName>
    <definedName name="_QL36" localSheetId="1">#REF!</definedName>
    <definedName name="_QL36" localSheetId="18">#REF!</definedName>
    <definedName name="_QL36" localSheetId="16">#REF!</definedName>
    <definedName name="_QL36" localSheetId="6">#REF!</definedName>
    <definedName name="_QL36" localSheetId="5">#REF!</definedName>
    <definedName name="_QL36" localSheetId="3">#REF!</definedName>
    <definedName name="_QL36" localSheetId="17">#REF!</definedName>
    <definedName name="_QL36" localSheetId="8">#REF!</definedName>
    <definedName name="_QL36" localSheetId="4">#REF!</definedName>
    <definedName name="_QL36" localSheetId="20">#REF!</definedName>
    <definedName name="_QL36">#REF!</definedName>
    <definedName name="_QL41" localSheetId="7">#REF!</definedName>
    <definedName name="_QL41" localSheetId="15">#REF!</definedName>
    <definedName name="_QL41" localSheetId="1">#REF!</definedName>
    <definedName name="_QL41" localSheetId="18">#REF!</definedName>
    <definedName name="_QL41" localSheetId="16">#REF!</definedName>
    <definedName name="_QL41" localSheetId="6">#REF!</definedName>
    <definedName name="_QL41" localSheetId="5">#REF!</definedName>
    <definedName name="_QL41" localSheetId="3">#REF!</definedName>
    <definedName name="_QL41" localSheetId="17">#REF!</definedName>
    <definedName name="_QL41" localSheetId="8">#REF!</definedName>
    <definedName name="_QL41" localSheetId="4">#REF!</definedName>
    <definedName name="_QL41" localSheetId="20">#REF!</definedName>
    <definedName name="_QL41">#REF!</definedName>
    <definedName name="_QL46" localSheetId="7">#REF!</definedName>
    <definedName name="_QL46" localSheetId="15">#REF!</definedName>
    <definedName name="_QL46" localSheetId="1">#REF!</definedName>
    <definedName name="_QL46" localSheetId="18">#REF!</definedName>
    <definedName name="_QL46" localSheetId="16">#REF!</definedName>
    <definedName name="_QL46" localSheetId="6">#REF!</definedName>
    <definedName name="_QL46" localSheetId="5">#REF!</definedName>
    <definedName name="_QL46" localSheetId="3">#REF!</definedName>
    <definedName name="_QL46" localSheetId="17">#REF!</definedName>
    <definedName name="_QL46" localSheetId="8">#REF!</definedName>
    <definedName name="_QL46" localSheetId="4">#REF!</definedName>
    <definedName name="_QL46" localSheetId="20">#REF!</definedName>
    <definedName name="_QL46">#REF!</definedName>
    <definedName name="_R">"$#REF!.$AA$64"</definedName>
    <definedName name="_res120" localSheetId="7">'[10]page 6'!#REF!</definedName>
    <definedName name="_res120" localSheetId="15">'[10]page 6'!#REF!</definedName>
    <definedName name="_res120" localSheetId="1">'[10]page 6'!#REF!</definedName>
    <definedName name="_res120" localSheetId="18">'[10]page 6'!#REF!</definedName>
    <definedName name="_res120" localSheetId="16">'[10]page 6'!#REF!</definedName>
    <definedName name="_res120" localSheetId="6">'[10]page 6'!#REF!</definedName>
    <definedName name="_res120" localSheetId="5">'[10]page 6'!#REF!</definedName>
    <definedName name="_res120" localSheetId="3">'[10]page 6'!#REF!</definedName>
    <definedName name="_res120" localSheetId="17">'[10]page 6'!#REF!</definedName>
    <definedName name="_res120" localSheetId="8">'[10]page 6'!#REF!</definedName>
    <definedName name="_res120" localSheetId="4">'[10]page 6'!#REF!</definedName>
    <definedName name="_res120" localSheetId="20">'[10]page 6'!#REF!</definedName>
    <definedName name="_res120">'[10]page 6'!#REF!</definedName>
    <definedName name="_res30" localSheetId="7">'[10]page 6'!#REF!</definedName>
    <definedName name="_res30" localSheetId="15">'[10]page 6'!#REF!</definedName>
    <definedName name="_res30" localSheetId="1">'[10]page 6'!#REF!</definedName>
    <definedName name="_res30" localSheetId="18">'[10]page 6'!#REF!</definedName>
    <definedName name="_res30" localSheetId="16">'[10]page 6'!#REF!</definedName>
    <definedName name="_res30" localSheetId="6">'[10]page 6'!#REF!</definedName>
    <definedName name="_res30" localSheetId="5">'[10]page 6'!#REF!</definedName>
    <definedName name="_res30" localSheetId="3">'[10]page 6'!#REF!</definedName>
    <definedName name="_res30" localSheetId="17">'[10]page 6'!#REF!</definedName>
    <definedName name="_res30" localSheetId="8">'[10]page 6'!#REF!</definedName>
    <definedName name="_res30" localSheetId="4">'[10]page 6'!#REF!</definedName>
    <definedName name="_res30" localSheetId="20">'[10]page 6'!#REF!</definedName>
    <definedName name="_res30">'[10]page 6'!#REF!</definedName>
    <definedName name="_res60" localSheetId="7">'[10]page 6'!#REF!</definedName>
    <definedName name="_res60" localSheetId="15">'[10]page 6'!#REF!</definedName>
    <definedName name="_res60" localSheetId="1">'[10]page 6'!#REF!</definedName>
    <definedName name="_res60" localSheetId="18">'[10]page 6'!#REF!</definedName>
    <definedName name="_res60" localSheetId="16">'[10]page 6'!#REF!</definedName>
    <definedName name="_res60" localSheetId="6">'[10]page 6'!#REF!</definedName>
    <definedName name="_res60" localSheetId="5">'[10]page 6'!#REF!</definedName>
    <definedName name="_res60" localSheetId="3">'[10]page 6'!#REF!</definedName>
    <definedName name="_res60" localSheetId="17">'[10]page 6'!#REF!</definedName>
    <definedName name="_res60" localSheetId="8">'[10]page 6'!#REF!</definedName>
    <definedName name="_res60" localSheetId="4">'[10]page 6'!#REF!</definedName>
    <definedName name="_res60" localSheetId="20">'[10]page 6'!#REF!</definedName>
    <definedName name="_res60">'[10]page 6'!#REF!</definedName>
    <definedName name="_res90" localSheetId="7">'[10]page 6'!#REF!</definedName>
    <definedName name="_res90" localSheetId="15">'[10]page 6'!#REF!</definedName>
    <definedName name="_res90" localSheetId="1">'[10]page 6'!#REF!</definedName>
    <definedName name="_res90" localSheetId="18">'[10]page 6'!#REF!</definedName>
    <definedName name="_res90" localSheetId="16">'[10]page 6'!#REF!</definedName>
    <definedName name="_res90" localSheetId="6">'[10]page 6'!#REF!</definedName>
    <definedName name="_res90" localSheetId="5">'[10]page 6'!#REF!</definedName>
    <definedName name="_res90" localSheetId="3">'[10]page 6'!#REF!</definedName>
    <definedName name="_res90" localSheetId="17">'[10]page 6'!#REF!</definedName>
    <definedName name="_res90" localSheetId="8">'[10]page 6'!#REF!</definedName>
    <definedName name="_res90" localSheetId="4">'[10]page 6'!#REF!</definedName>
    <definedName name="_res90" localSheetId="20">'[10]page 6'!#REF!</definedName>
    <definedName name="_res90">'[10]page 6'!#REF!</definedName>
    <definedName name="_ret120" localSheetId="7">'[10]page 6'!#REF!</definedName>
    <definedName name="_ret120" localSheetId="15">'[10]page 6'!#REF!</definedName>
    <definedName name="_ret120" localSheetId="1">'[10]page 6'!#REF!</definedName>
    <definedName name="_ret120" localSheetId="18">'[10]page 6'!#REF!</definedName>
    <definedName name="_ret120" localSheetId="16">'[10]page 6'!#REF!</definedName>
    <definedName name="_ret120" localSheetId="6">'[10]page 6'!#REF!</definedName>
    <definedName name="_ret120" localSheetId="5">'[10]page 6'!#REF!</definedName>
    <definedName name="_ret120" localSheetId="3">'[10]page 6'!#REF!</definedName>
    <definedName name="_ret120" localSheetId="17">'[10]page 6'!#REF!</definedName>
    <definedName name="_ret120" localSheetId="8">'[10]page 6'!#REF!</definedName>
    <definedName name="_ret120" localSheetId="4">'[10]page 6'!#REF!</definedName>
    <definedName name="_ret120" localSheetId="20">'[10]page 6'!#REF!</definedName>
    <definedName name="_ret120">'[10]page 6'!#REF!</definedName>
    <definedName name="_ret30" localSheetId="7">'[10]page 6'!#REF!</definedName>
    <definedName name="_ret30" localSheetId="15">'[10]page 6'!#REF!</definedName>
    <definedName name="_ret30" localSheetId="1">'[10]page 6'!#REF!</definedName>
    <definedName name="_ret30" localSheetId="18">'[10]page 6'!#REF!</definedName>
    <definedName name="_ret30" localSheetId="16">'[10]page 6'!#REF!</definedName>
    <definedName name="_ret30" localSheetId="6">'[10]page 6'!#REF!</definedName>
    <definedName name="_ret30" localSheetId="5">'[10]page 6'!#REF!</definedName>
    <definedName name="_ret30" localSheetId="3">'[10]page 6'!#REF!</definedName>
    <definedName name="_ret30" localSheetId="17">'[10]page 6'!#REF!</definedName>
    <definedName name="_ret30" localSheetId="8">'[10]page 6'!#REF!</definedName>
    <definedName name="_ret30" localSheetId="4">'[10]page 6'!#REF!</definedName>
    <definedName name="_ret30" localSheetId="20">'[10]page 6'!#REF!</definedName>
    <definedName name="_ret30">'[10]page 6'!#REF!</definedName>
    <definedName name="_ret60" localSheetId="7">'[10]page 6'!#REF!</definedName>
    <definedName name="_ret60" localSheetId="15">'[10]page 6'!#REF!</definedName>
    <definedName name="_ret60" localSheetId="1">'[10]page 6'!#REF!</definedName>
    <definedName name="_ret60" localSheetId="18">'[10]page 6'!#REF!</definedName>
    <definedName name="_ret60" localSheetId="16">'[10]page 6'!#REF!</definedName>
    <definedName name="_ret60" localSheetId="6">'[10]page 6'!#REF!</definedName>
    <definedName name="_ret60" localSheetId="5">'[10]page 6'!#REF!</definedName>
    <definedName name="_ret60" localSheetId="3">'[10]page 6'!#REF!</definedName>
    <definedName name="_ret60" localSheetId="17">'[10]page 6'!#REF!</definedName>
    <definedName name="_ret60" localSheetId="8">'[10]page 6'!#REF!</definedName>
    <definedName name="_ret60" localSheetId="4">'[10]page 6'!#REF!</definedName>
    <definedName name="_ret60" localSheetId="20">'[10]page 6'!#REF!</definedName>
    <definedName name="_ret60">'[10]page 6'!#REF!</definedName>
    <definedName name="_ret90" localSheetId="7">'[10]page 6'!#REF!</definedName>
    <definedName name="_ret90" localSheetId="15">'[10]page 6'!#REF!</definedName>
    <definedName name="_ret90" localSheetId="1">'[10]page 6'!#REF!</definedName>
    <definedName name="_ret90" localSheetId="18">'[10]page 6'!#REF!</definedName>
    <definedName name="_ret90" localSheetId="16">'[10]page 6'!#REF!</definedName>
    <definedName name="_ret90" localSheetId="6">'[10]page 6'!#REF!</definedName>
    <definedName name="_ret90" localSheetId="5">'[10]page 6'!#REF!</definedName>
    <definedName name="_ret90" localSheetId="3">'[10]page 6'!#REF!</definedName>
    <definedName name="_ret90" localSheetId="17">'[10]page 6'!#REF!</definedName>
    <definedName name="_ret90" localSheetId="8">'[10]page 6'!#REF!</definedName>
    <definedName name="_ret90" localSheetId="4">'[10]page 6'!#REF!</definedName>
    <definedName name="_ret90" localSheetId="20">'[10]page 6'!#REF!</definedName>
    <definedName name="_ret90">'[10]page 6'!#REF!</definedName>
    <definedName name="_S">"$#REF!.$AA$25"</definedName>
    <definedName name="_SL1" localSheetId="7">#REF!</definedName>
    <definedName name="_SL1" localSheetId="15">#REF!</definedName>
    <definedName name="_SL1" localSheetId="1">#REF!</definedName>
    <definedName name="_SL1" localSheetId="18">#REF!</definedName>
    <definedName name="_SL1" localSheetId="16">#REF!</definedName>
    <definedName name="_SL1" localSheetId="6">#REF!</definedName>
    <definedName name="_SL1" localSheetId="3">#REF!</definedName>
    <definedName name="_SL1" localSheetId="17">#REF!</definedName>
    <definedName name="_SL1" localSheetId="8">#REF!</definedName>
    <definedName name="_SL1" localSheetId="4">#REF!</definedName>
    <definedName name="_SL1" localSheetId="20">#REF!</definedName>
    <definedName name="_SL1">#REF!</definedName>
    <definedName name="_SN3" localSheetId="7">#REF!</definedName>
    <definedName name="_SN3" localSheetId="15">#REF!</definedName>
    <definedName name="_SN3" localSheetId="1">#REF!</definedName>
    <definedName name="_SN3" localSheetId="18">#REF!</definedName>
    <definedName name="_SN3" localSheetId="16">#REF!</definedName>
    <definedName name="_SN3" localSheetId="6">#REF!</definedName>
    <definedName name="_SN3" localSheetId="3">#REF!</definedName>
    <definedName name="_SN3" localSheetId="17">#REF!</definedName>
    <definedName name="_SN3" localSheetId="8">#REF!</definedName>
    <definedName name="_SN3" localSheetId="4">#REF!</definedName>
    <definedName name="_SN3" localSheetId="20">#REF!</definedName>
    <definedName name="_SN3">#REF!</definedName>
    <definedName name="_Sort" localSheetId="7" hidden="1">#REF!</definedName>
    <definedName name="_Sort" localSheetId="15" hidden="1">#REF!</definedName>
    <definedName name="_Sort" localSheetId="1" hidden="1">#REF!</definedName>
    <definedName name="_Sort" localSheetId="18" hidden="1">#REF!</definedName>
    <definedName name="_Sort" localSheetId="16" hidden="1">#REF!</definedName>
    <definedName name="_Sort" localSheetId="6" hidden="1">#REF!</definedName>
    <definedName name="_Sort" localSheetId="5" hidden="1">#REF!</definedName>
    <definedName name="_Sort" localSheetId="3" hidden="1">#REF!</definedName>
    <definedName name="_Sort" localSheetId="17" hidden="1">#REF!</definedName>
    <definedName name="_Sort" localSheetId="8" hidden="1">#REF!</definedName>
    <definedName name="_Sort" localSheetId="4" hidden="1">#REF!</definedName>
    <definedName name="_Sort" localSheetId="20" hidden="1">#REF!</definedName>
    <definedName name="_Sort" hidden="1">#REF!</definedName>
    <definedName name="_T">"$#REF!.$AA$60"</definedName>
    <definedName name="_TAIO" localSheetId="11" hidden="1">#REF!</definedName>
    <definedName name="_TAIO" localSheetId="7" hidden="1">#REF!</definedName>
    <definedName name="_TAIO" localSheetId="15" hidden="1">#REF!</definedName>
    <definedName name="_TAIO" localSheetId="1" hidden="1">#REF!</definedName>
    <definedName name="_TAIO" localSheetId="18" hidden="1">#REF!</definedName>
    <definedName name="_TAIO" localSheetId="16" hidden="1">#REF!</definedName>
    <definedName name="_TAIO" localSheetId="6" hidden="1">#REF!</definedName>
    <definedName name="_TAIO" localSheetId="3" hidden="1">#REF!</definedName>
    <definedName name="_TAIO" localSheetId="17" hidden="1">#REF!</definedName>
    <definedName name="_TAIO" localSheetId="8" hidden="1">#REF!</definedName>
    <definedName name="_TAIO" localSheetId="4" hidden="1">#REF!</definedName>
    <definedName name="_TAIO" localSheetId="20" hidden="1">#REF!</definedName>
    <definedName name="_TAIO" hidden="1">#REF!</definedName>
    <definedName name="_TB1" localSheetId="7">#REF!</definedName>
    <definedName name="_TB1" localSheetId="15">#REF!</definedName>
    <definedName name="_TB1" localSheetId="1">#REF!</definedName>
    <definedName name="_TB1" localSheetId="18">#REF!</definedName>
    <definedName name="_TB1" localSheetId="16">#REF!</definedName>
    <definedName name="_TB1" localSheetId="6">#REF!</definedName>
    <definedName name="_TB1" localSheetId="3">#REF!</definedName>
    <definedName name="_TB1" localSheetId="17">#REF!</definedName>
    <definedName name="_TB1" localSheetId="8">#REF!</definedName>
    <definedName name="_TB1" localSheetId="4">#REF!</definedName>
    <definedName name="_TB1" localSheetId="20">#REF!</definedName>
    <definedName name="_TB1">#REF!</definedName>
    <definedName name="_tct3">[13]gVL!$N$18</definedName>
    <definedName name="_tct5">[13]gVL!$N$19</definedName>
    <definedName name="_TG1" localSheetId="7">#REF!</definedName>
    <definedName name="_TG1" localSheetId="15">#REF!</definedName>
    <definedName name="_TG1" localSheetId="1">#REF!</definedName>
    <definedName name="_TG1" localSheetId="18">#REF!</definedName>
    <definedName name="_TG1" localSheetId="16">#REF!</definedName>
    <definedName name="_TG1" localSheetId="6">#REF!</definedName>
    <definedName name="_TG1" localSheetId="3">#REF!</definedName>
    <definedName name="_TG1" localSheetId="17">#REF!</definedName>
    <definedName name="_TG1" localSheetId="8">#REF!</definedName>
    <definedName name="_TG1" localSheetId="4">#REF!</definedName>
    <definedName name="_TG1" localSheetId="20">#REF!</definedName>
    <definedName name="_TG1">#REF!</definedName>
    <definedName name="_TK632" localSheetId="11">'[2]HD-XUAT'!#REF!</definedName>
    <definedName name="_TK632" localSheetId="7">'[6]HD-XUAT'!#REF!</definedName>
    <definedName name="_TK632" localSheetId="15">'[6]HD-XUAT'!#REF!</definedName>
    <definedName name="_TK632" localSheetId="1">'[6]HD-XUAT'!#REF!</definedName>
    <definedName name="_TK632" localSheetId="18">'[6]HD-XUAT'!#REF!</definedName>
    <definedName name="_TK632" localSheetId="16">'[6]HD-XUAT'!#REF!</definedName>
    <definedName name="_TK632" localSheetId="6">'[6]HD-XUAT'!#REF!</definedName>
    <definedName name="_TK632" localSheetId="10">'[6]HD-XUAT'!#REF!</definedName>
    <definedName name="_TK632" localSheetId="14">'[6]HD-XUAT'!#REF!</definedName>
    <definedName name="_TK632" localSheetId="5">'[7]HD-XUAT'!#REF!</definedName>
    <definedName name="_TK632" localSheetId="3">'[7]HD-XUAT'!#REF!</definedName>
    <definedName name="_TK632" localSheetId="17">'[7]HD-XUAT'!#REF!</definedName>
    <definedName name="_TK632" localSheetId="13">'[8]HD-XUAT'!#REF!</definedName>
    <definedName name="_TK632" localSheetId="8">'[7]HD-XUAT'!#REF!</definedName>
    <definedName name="_TK632" localSheetId="4">'[6]HD-XUAT'!#REF!</definedName>
    <definedName name="_TK632" localSheetId="20">'[6]HD-XUAT'!#REF!</definedName>
    <definedName name="_TK632">'[6]HD-XUAT'!#REF!</definedName>
    <definedName name="_TK641" localSheetId="11">'[2]HD-XUAT'!#REF!</definedName>
    <definedName name="_TK641" localSheetId="7">'[6]HD-XUAT'!#REF!</definedName>
    <definedName name="_TK641" localSheetId="15">'[6]HD-XUAT'!#REF!</definedName>
    <definedName name="_TK641" localSheetId="1">'[6]HD-XUAT'!#REF!</definedName>
    <definedName name="_TK641" localSheetId="18">'[6]HD-XUAT'!#REF!</definedName>
    <definedName name="_TK641" localSheetId="16">'[6]HD-XUAT'!#REF!</definedName>
    <definedName name="_TK641" localSheetId="6">'[6]HD-XUAT'!#REF!</definedName>
    <definedName name="_TK641" localSheetId="10">'[6]HD-XUAT'!#REF!</definedName>
    <definedName name="_TK641" localSheetId="14">'[6]HD-XUAT'!#REF!</definedName>
    <definedName name="_TK641" localSheetId="5">'[7]HD-XUAT'!#REF!</definedName>
    <definedName name="_TK641" localSheetId="3">'[7]HD-XUAT'!#REF!</definedName>
    <definedName name="_TK641" localSheetId="17">'[7]HD-XUAT'!#REF!</definedName>
    <definedName name="_TK641" localSheetId="13">'[8]HD-XUAT'!#REF!</definedName>
    <definedName name="_TK641" localSheetId="8">'[7]HD-XUAT'!#REF!</definedName>
    <definedName name="_TK641" localSheetId="4">'[6]HD-XUAT'!#REF!</definedName>
    <definedName name="_TK641" localSheetId="20">'[6]HD-XUAT'!#REF!</definedName>
    <definedName name="_TK641">'[6]HD-XUAT'!#REF!</definedName>
    <definedName name="_TK642" localSheetId="11">'[2]HD-XUAT'!#REF!</definedName>
    <definedName name="_TK642" localSheetId="7">'[6]HD-XUAT'!#REF!</definedName>
    <definedName name="_TK642" localSheetId="15">'[6]HD-XUAT'!#REF!</definedName>
    <definedName name="_TK642" localSheetId="1">'[6]HD-XUAT'!#REF!</definedName>
    <definedName name="_TK642" localSheetId="18">'[6]HD-XUAT'!#REF!</definedName>
    <definedName name="_TK642" localSheetId="16">'[6]HD-XUAT'!#REF!</definedName>
    <definedName name="_TK642" localSheetId="6">'[6]HD-XUAT'!#REF!</definedName>
    <definedName name="_TK642" localSheetId="10">'[6]HD-XUAT'!#REF!</definedName>
    <definedName name="_TK642" localSheetId="14">'[6]HD-XUAT'!#REF!</definedName>
    <definedName name="_TK642" localSheetId="5">'[7]HD-XUAT'!#REF!</definedName>
    <definedName name="_TK642" localSheetId="3">'[7]HD-XUAT'!#REF!</definedName>
    <definedName name="_TK642" localSheetId="17">'[7]HD-XUAT'!#REF!</definedName>
    <definedName name="_TK642" localSheetId="13">'[8]HD-XUAT'!#REF!</definedName>
    <definedName name="_TK642" localSheetId="8">'[7]HD-XUAT'!#REF!</definedName>
    <definedName name="_TK642" localSheetId="4">'[6]HD-XUAT'!#REF!</definedName>
    <definedName name="_TK642" localSheetId="20">'[6]HD-XUAT'!#REF!</definedName>
    <definedName name="_TK642">'[6]HD-XUAT'!#REF!</definedName>
    <definedName name="_TK911" localSheetId="11">'[2]HD-XUAT'!#REF!</definedName>
    <definedName name="_TK911" localSheetId="7">'[6]HD-XUAT'!#REF!</definedName>
    <definedName name="_TK911" localSheetId="15">'[6]HD-XUAT'!#REF!</definedName>
    <definedName name="_TK911" localSheetId="1">'[6]HD-XUAT'!#REF!</definedName>
    <definedName name="_TK911" localSheetId="18">'[6]HD-XUAT'!#REF!</definedName>
    <definedName name="_TK911" localSheetId="16">'[6]HD-XUAT'!#REF!</definedName>
    <definedName name="_TK911" localSheetId="6">'[6]HD-XUAT'!#REF!</definedName>
    <definedName name="_TK911" localSheetId="10">'[6]HD-XUAT'!#REF!</definedName>
    <definedName name="_TK911" localSheetId="14">'[6]HD-XUAT'!#REF!</definedName>
    <definedName name="_TK911" localSheetId="5">'[7]HD-XUAT'!#REF!</definedName>
    <definedName name="_TK911" localSheetId="3">'[7]HD-XUAT'!#REF!</definedName>
    <definedName name="_TK911" localSheetId="17">'[7]HD-XUAT'!#REF!</definedName>
    <definedName name="_TK911" localSheetId="13">'[8]HD-XUAT'!#REF!</definedName>
    <definedName name="_TK911" localSheetId="8">'[7]HD-XUAT'!#REF!</definedName>
    <definedName name="_TK911" localSheetId="4">'[6]HD-XUAT'!#REF!</definedName>
    <definedName name="_TK911" localSheetId="20">'[6]HD-XUAT'!#REF!</definedName>
    <definedName name="_TK911">'[6]HD-XUAT'!#REF!</definedName>
    <definedName name="_TL3" localSheetId="7">#REF!</definedName>
    <definedName name="_TL3" localSheetId="15">#REF!</definedName>
    <definedName name="_TL3" localSheetId="1">#REF!</definedName>
    <definedName name="_TL3" localSheetId="18">#REF!</definedName>
    <definedName name="_TL3" localSheetId="16">#REF!</definedName>
    <definedName name="_TL3" localSheetId="6">#REF!</definedName>
    <definedName name="_TL3" localSheetId="3">#REF!</definedName>
    <definedName name="_TL3" localSheetId="17">#REF!</definedName>
    <definedName name="_TL3" localSheetId="8">#REF!</definedName>
    <definedName name="_TL3" localSheetId="4">#REF!</definedName>
    <definedName name="_TL3" localSheetId="20">#REF!</definedName>
    <definedName name="_TL3">#REF!</definedName>
    <definedName name="_tsc2" localSheetId="7">#REF!</definedName>
    <definedName name="_tsc2" localSheetId="15">#REF!</definedName>
    <definedName name="_tsc2" localSheetId="1">#REF!</definedName>
    <definedName name="_tsc2" localSheetId="18">#REF!</definedName>
    <definedName name="_tsc2" localSheetId="16">#REF!</definedName>
    <definedName name="_tsc2" localSheetId="6">#REF!</definedName>
    <definedName name="_tsc2" localSheetId="5">#REF!</definedName>
    <definedName name="_tsc2" localSheetId="3">#REF!</definedName>
    <definedName name="_tsc2" localSheetId="17">#REF!</definedName>
    <definedName name="_tsc2" localSheetId="8">#REF!</definedName>
    <definedName name="_tsc2" localSheetId="4">#REF!</definedName>
    <definedName name="_tsc2" localSheetId="20">#REF!</definedName>
    <definedName name="_tsc2">#REF!</definedName>
    <definedName name="_U">"$#REF!.$AA$52"</definedName>
    <definedName name="_val120" localSheetId="7">'[10]page 6'!#REF!</definedName>
    <definedName name="_val120" localSheetId="15">'[10]page 6'!#REF!</definedName>
    <definedName name="_val120" localSheetId="1">'[10]page 6'!#REF!</definedName>
    <definedName name="_val120" localSheetId="18">'[10]page 6'!#REF!</definedName>
    <definedName name="_val120" localSheetId="16">'[10]page 6'!#REF!</definedName>
    <definedName name="_val120" localSheetId="6">'[10]page 6'!#REF!</definedName>
    <definedName name="_val120" localSheetId="5">'[10]page 6'!#REF!</definedName>
    <definedName name="_val120" localSheetId="3">'[10]page 6'!#REF!</definedName>
    <definedName name="_val120" localSheetId="17">'[10]page 6'!#REF!</definedName>
    <definedName name="_val120" localSheetId="8">'[10]page 6'!#REF!</definedName>
    <definedName name="_val120" localSheetId="4">'[10]page 6'!#REF!</definedName>
    <definedName name="_val120" localSheetId="20">'[10]page 6'!#REF!</definedName>
    <definedName name="_val120">'[10]page 6'!#REF!</definedName>
    <definedName name="_val30" localSheetId="7">'[10]page 6'!#REF!</definedName>
    <definedName name="_val30" localSheetId="15">'[10]page 6'!#REF!</definedName>
    <definedName name="_val30" localSheetId="1">'[10]page 6'!#REF!</definedName>
    <definedName name="_val30" localSheetId="18">'[10]page 6'!#REF!</definedName>
    <definedName name="_val30" localSheetId="16">'[10]page 6'!#REF!</definedName>
    <definedName name="_val30" localSheetId="6">'[10]page 6'!#REF!</definedName>
    <definedName name="_val30" localSheetId="5">'[10]page 6'!#REF!</definedName>
    <definedName name="_val30" localSheetId="3">'[10]page 6'!#REF!</definedName>
    <definedName name="_val30" localSheetId="17">'[10]page 6'!#REF!</definedName>
    <definedName name="_val30" localSheetId="8">'[10]page 6'!#REF!</definedName>
    <definedName name="_val30" localSheetId="4">'[10]page 6'!#REF!</definedName>
    <definedName name="_val30" localSheetId="20">'[10]page 6'!#REF!</definedName>
    <definedName name="_val30">'[10]page 6'!#REF!</definedName>
    <definedName name="_val60" localSheetId="7">'[10]page 6'!#REF!</definedName>
    <definedName name="_val60" localSheetId="15">'[10]page 6'!#REF!</definedName>
    <definedName name="_val60" localSheetId="1">'[10]page 6'!#REF!</definedName>
    <definedName name="_val60" localSheetId="18">'[10]page 6'!#REF!</definedName>
    <definedName name="_val60" localSheetId="16">'[10]page 6'!#REF!</definedName>
    <definedName name="_val60" localSheetId="6">'[10]page 6'!#REF!</definedName>
    <definedName name="_val60" localSheetId="5">'[10]page 6'!#REF!</definedName>
    <definedName name="_val60" localSheetId="3">'[10]page 6'!#REF!</definedName>
    <definedName name="_val60" localSheetId="17">'[10]page 6'!#REF!</definedName>
    <definedName name="_val60" localSheetId="8">'[10]page 6'!#REF!</definedName>
    <definedName name="_val60" localSheetId="4">'[10]page 6'!#REF!</definedName>
    <definedName name="_val60" localSheetId="20">'[10]page 6'!#REF!</definedName>
    <definedName name="_val60">'[10]page 6'!#REF!</definedName>
    <definedName name="_val90" localSheetId="7">'[10]page 6'!#REF!</definedName>
    <definedName name="_val90" localSheetId="15">'[10]page 6'!#REF!</definedName>
    <definedName name="_val90" localSheetId="1">'[10]page 6'!#REF!</definedName>
    <definedName name="_val90" localSheetId="18">'[10]page 6'!#REF!</definedName>
    <definedName name="_val90" localSheetId="16">'[10]page 6'!#REF!</definedName>
    <definedName name="_val90" localSheetId="6">'[10]page 6'!#REF!</definedName>
    <definedName name="_val90" localSheetId="5">'[10]page 6'!#REF!</definedName>
    <definedName name="_val90" localSheetId="3">'[10]page 6'!#REF!</definedName>
    <definedName name="_val90" localSheetId="17">'[10]page 6'!#REF!</definedName>
    <definedName name="_val90" localSheetId="8">'[10]page 6'!#REF!</definedName>
    <definedName name="_val90" localSheetId="4">'[10]page 6'!#REF!</definedName>
    <definedName name="_val90" localSheetId="20">'[10]page 6'!#REF!</definedName>
    <definedName name="_val90">'[10]page 6'!#REF!</definedName>
    <definedName name="_VL100" localSheetId="7">#REF!</definedName>
    <definedName name="_VL100" localSheetId="15">#REF!</definedName>
    <definedName name="_VL100" localSheetId="1">#REF!</definedName>
    <definedName name="_VL100" localSheetId="18">#REF!</definedName>
    <definedName name="_VL100" localSheetId="16">#REF!</definedName>
    <definedName name="_VL100" localSheetId="6">#REF!</definedName>
    <definedName name="_VL100" localSheetId="3">#REF!</definedName>
    <definedName name="_VL100" localSheetId="17">#REF!</definedName>
    <definedName name="_VL100" localSheetId="8">#REF!</definedName>
    <definedName name="_VL100" localSheetId="4">#REF!</definedName>
    <definedName name="_VL100" localSheetId="20">#REF!</definedName>
    <definedName name="_VL100">#REF!</definedName>
    <definedName name="_VL200" localSheetId="7">#REF!</definedName>
    <definedName name="_VL200" localSheetId="15">#REF!</definedName>
    <definedName name="_VL200" localSheetId="1">#REF!</definedName>
    <definedName name="_VL200" localSheetId="18">#REF!</definedName>
    <definedName name="_VL200" localSheetId="16">#REF!</definedName>
    <definedName name="_VL200" localSheetId="6">#REF!</definedName>
    <definedName name="_VL200" localSheetId="3">#REF!</definedName>
    <definedName name="_VL200" localSheetId="17">#REF!</definedName>
    <definedName name="_VL200" localSheetId="8">#REF!</definedName>
    <definedName name="_VL200" localSheetId="4">#REF!</definedName>
    <definedName name="_VL200" localSheetId="20">#REF!</definedName>
    <definedName name="_VL200">#REF!</definedName>
    <definedName name="_VL250" localSheetId="7">#REF!</definedName>
    <definedName name="_VL250" localSheetId="15">#REF!</definedName>
    <definedName name="_VL250" localSheetId="1">#REF!</definedName>
    <definedName name="_VL250" localSheetId="18">#REF!</definedName>
    <definedName name="_VL250" localSheetId="16">#REF!</definedName>
    <definedName name="_VL250" localSheetId="6">#REF!</definedName>
    <definedName name="_VL250" localSheetId="3">#REF!</definedName>
    <definedName name="_VL250" localSheetId="17">#REF!</definedName>
    <definedName name="_VL250" localSheetId="8">#REF!</definedName>
    <definedName name="_VL250" localSheetId="4">#REF!</definedName>
    <definedName name="_VL250" localSheetId="20">#REF!</definedName>
    <definedName name="_VL250">#REF!</definedName>
    <definedName name="A" localSheetId="5">"'file:///A:/95BUDGET/95CDWTTL.XLS'#$MOND_TTL.$#REF!$#REF!:$#REF!$#REF!"</definedName>
    <definedName name="A" localSheetId="3">"'file:///A:/95BUDGET/95CDWTTL.XLS'#$MOND_TTL.$#REF!$#REF!:$#REF!$#REF!"</definedName>
    <definedName name="A" localSheetId="17">"'file:///A:/95BUDGET/95CDWTTL.XLS'#$MOND_TTL.$#REF!$#REF!:$#REF!$#REF!"</definedName>
    <definedName name="a" localSheetId="13">#REF!</definedName>
    <definedName name="A" localSheetId="8">"'file:///A:/95BUDGET/95CDWTTL.XLS'#$MOND_TTL.$#REF!$#REF!:$#REF!$#REF!"</definedName>
    <definedName name="A">"'file:///A:/95BUDGET/95CDWTTL.XLS'#$MOND_TTL.$#REF!$#REF!:$#REF!$#REF!"</definedName>
    <definedName name="A_0prindus">"$#REF!.#REF!$#REF!"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277Print_Titles" localSheetId="7">#REF!</definedName>
    <definedName name="a277Print_Titles" localSheetId="15">#REF!</definedName>
    <definedName name="a277Print_Titles" localSheetId="1">#REF!</definedName>
    <definedName name="a277Print_Titles" localSheetId="18">#REF!</definedName>
    <definedName name="a277Print_Titles" localSheetId="16">#REF!</definedName>
    <definedName name="a277Print_Titles" localSheetId="6">#REF!</definedName>
    <definedName name="a277Print_Titles" localSheetId="5">#REF!</definedName>
    <definedName name="a277Print_Titles" localSheetId="3">#REF!</definedName>
    <definedName name="a277Print_Titles" localSheetId="17">#REF!</definedName>
    <definedName name="a277Print_Titles" localSheetId="8">#REF!</definedName>
    <definedName name="a277Print_Titles" localSheetId="4">#REF!</definedName>
    <definedName name="a277Print_Titles" localSheetId="20">#REF!</definedName>
    <definedName name="a277Print_Titles">#REF!</definedName>
    <definedName name="AA" localSheetId="7">#REF!</definedName>
    <definedName name="AA" localSheetId="15">#REF!</definedName>
    <definedName name="AA" localSheetId="1">#REF!</definedName>
    <definedName name="AA" localSheetId="18">#REF!</definedName>
    <definedName name="AA" localSheetId="16">#REF!</definedName>
    <definedName name="AA" localSheetId="6">#REF!</definedName>
    <definedName name="AA" localSheetId="3">#REF!</definedName>
    <definedName name="AA" localSheetId="17">#REF!</definedName>
    <definedName name="AA" localSheetId="8">#REF!</definedName>
    <definedName name="AA" localSheetId="4">#REF!</definedName>
    <definedName name="AA" localSheetId="20">#REF!</definedName>
    <definedName name="AA">#REF!</definedName>
    <definedName name="aaa">"$#REF!.$#REF!$#REF!:$#REF!$#REF!"</definedName>
    <definedName name="aaaa" localSheetId="7">'[14]인원계획-미화'!#REF!</definedName>
    <definedName name="aaaa" localSheetId="15">'[14]인원계획-미화'!#REF!</definedName>
    <definedName name="aaaa" localSheetId="1">'[14]인원계획-미화'!#REF!</definedName>
    <definedName name="aaaa" localSheetId="18">'[14]인원계획-미화'!#REF!</definedName>
    <definedName name="aaaa" localSheetId="16">'[14]인원계획-미화'!#REF!</definedName>
    <definedName name="aaaa" localSheetId="6">'[14]인원계획-미화'!#REF!</definedName>
    <definedName name="aaaa" localSheetId="5">'[14]인원계획-미화'!#REF!</definedName>
    <definedName name="aaaa" localSheetId="3">'[14]인원계획-미화'!#REF!</definedName>
    <definedName name="aaaa" localSheetId="17">'[14]인원계획-미화'!#REF!</definedName>
    <definedName name="aaaa" localSheetId="8">'[14]인원계획-미화'!#REF!</definedName>
    <definedName name="aaaa" localSheetId="4">'[14]인원계획-미화'!#REF!</definedName>
    <definedName name="aaaa" localSheetId="20">'[14]인원계획-미화'!#REF!</definedName>
    <definedName name="aaaa">'[14]인원계획-미화'!#REF!</definedName>
    <definedName name="abc" localSheetId="7">#REF!</definedName>
    <definedName name="abc" localSheetId="15">#REF!</definedName>
    <definedName name="abc" localSheetId="1">#REF!</definedName>
    <definedName name="abc" localSheetId="18">#REF!</definedName>
    <definedName name="abc" localSheetId="16">#REF!</definedName>
    <definedName name="abc" localSheetId="6">#REF!</definedName>
    <definedName name="abc" localSheetId="5">#REF!</definedName>
    <definedName name="abc" localSheetId="3">#REF!</definedName>
    <definedName name="abc" localSheetId="17">#REF!</definedName>
    <definedName name="abc" localSheetId="13">#REF!</definedName>
    <definedName name="abc" localSheetId="8">#REF!</definedName>
    <definedName name="abc" localSheetId="4">#REF!</definedName>
    <definedName name="abc" localSheetId="20">#REF!</definedName>
    <definedName name="abc">#REF!</definedName>
    <definedName name="absegment">"$#REF!.$#REF!$#REF!:$#REF!$#REF!"</definedName>
    <definedName name="Absolute_Cost">"$#REF!.$#REF!$#REF!:$#REF!$#REF!"</definedName>
    <definedName name="ACCBANK" localSheetId="5">[15]LOOKUP!$D$1:$G$51</definedName>
    <definedName name="ACCBANK" localSheetId="3">[15]LOOKUP!$D$1:$G$51</definedName>
    <definedName name="ACCBANK" localSheetId="17">[15]LOOKUP!$D$1:$G$51</definedName>
    <definedName name="ACCBANK" localSheetId="8">[15]LOOKUP!$D$1:$G$51</definedName>
    <definedName name="ACCBANK">[15]LOOKUP!$D$1:$G$51</definedName>
    <definedName name="AcCr" localSheetId="5">'[16]G. Ledger Crescent'!$G$11:$G$1812</definedName>
    <definedName name="AcCr" localSheetId="3">'[16]G. Ledger Crescent'!$G$11:$G$1812</definedName>
    <definedName name="AcCr" localSheetId="17">'[16]G. Ledger Crescent'!$G$11:$G$1812</definedName>
    <definedName name="AcCr" localSheetId="8">'[16]G. Ledger Crescent'!$G$11:$G$1812</definedName>
    <definedName name="AcCr">'[16]G. Ledger Crescent'!$G$11:$G$1812</definedName>
    <definedName name="AcDr" localSheetId="5">'[16]G. Ledger Crescent'!$E$11:$E$1812</definedName>
    <definedName name="AcDr" localSheetId="3">'[16]G. Ledger Crescent'!$E$11:$E$1812</definedName>
    <definedName name="AcDr" localSheetId="17">'[16]G. Ledger Crescent'!$E$11:$E$1812</definedName>
    <definedName name="AcDr" localSheetId="8">'[16]G. Ledger Crescent'!$E$11:$E$1812</definedName>
    <definedName name="AcDr">'[16]G. Ledger Crescent'!$E$11:$E$1812</definedName>
    <definedName name="Acruliab">"$#REF!.$T$71:$AJ$103"</definedName>
    <definedName name="adv" localSheetId="7">'2018-2022'!adv</definedName>
    <definedName name="adv" localSheetId="15">'2018-2022 SF'!adv</definedName>
    <definedName name="adv" localSheetId="16">B!adv</definedName>
    <definedName name="adv" localSheetId="5">[17]!adv</definedName>
    <definedName name="adv" localSheetId="3">[17]!adv</definedName>
    <definedName name="adv" localSheetId="17">[17]!adv</definedName>
    <definedName name="adv" localSheetId="8">[17]!adv</definedName>
    <definedName name="adv" localSheetId="4">Reconciliation!adv</definedName>
    <definedName name="adv" localSheetId="2">'Summary 2018 - MF'!adv</definedName>
    <definedName name="adv">[0]!adv</definedName>
    <definedName name="adv_10" localSheetId="7">'2018-2022'!adv_10</definedName>
    <definedName name="adv_10" localSheetId="15">'2018-2022 SF'!adv_10</definedName>
    <definedName name="adv_10" localSheetId="16">B!adv_10</definedName>
    <definedName name="adv_10" localSheetId="5">[17]!adv_10</definedName>
    <definedName name="adv_10" localSheetId="3">[17]!adv_10</definedName>
    <definedName name="adv_10" localSheetId="17">[17]!adv_10</definedName>
    <definedName name="adv_10" localSheetId="8">[17]!adv_10</definedName>
    <definedName name="adv_10" localSheetId="4">Reconciliation!adv_10</definedName>
    <definedName name="adv_10" localSheetId="2">'Summary 2018 - MF'!adv_10</definedName>
    <definedName name="adv_10">[0]!adv_10</definedName>
    <definedName name="agasdg">"#NAME?"</definedName>
    <definedName name="agasdg_10">"#NAME?"</definedName>
    <definedName name="agfasdga" localSheetId="7">'2018-2022'!agfasdga</definedName>
    <definedName name="agfasdga" localSheetId="15">'2018-2022 SF'!agfasdga</definedName>
    <definedName name="agfasdga" localSheetId="16">B!agfasdga</definedName>
    <definedName name="agfasdga" localSheetId="5">[17]!agfasdga</definedName>
    <definedName name="agfasdga" localSheetId="3">[17]!agfasdga</definedName>
    <definedName name="agfasdga" localSheetId="17">[17]!agfasdga</definedName>
    <definedName name="agfasdga" localSheetId="8">[17]!agfasdga</definedName>
    <definedName name="agfasdga" localSheetId="4">Reconciliation!agfasdga</definedName>
    <definedName name="agfasdga" localSheetId="2">'Summary 2018 - MF'!agfasdga</definedName>
    <definedName name="agfasdga">[0]!agfasdga</definedName>
    <definedName name="agfasdga_10" localSheetId="7">'2018-2022'!agfasdga_10</definedName>
    <definedName name="agfasdga_10" localSheetId="15">'2018-2022 SF'!agfasdga_10</definedName>
    <definedName name="agfasdga_10" localSheetId="16">B!agfasdga_10</definedName>
    <definedName name="agfasdga_10" localSheetId="5">[17]!agfasdga_10</definedName>
    <definedName name="agfasdga_10" localSheetId="3">[17]!agfasdga_10</definedName>
    <definedName name="agfasdga_10" localSheetId="17">[17]!agfasdga_10</definedName>
    <definedName name="agfasdga_10" localSheetId="8">[17]!agfasdga_10</definedName>
    <definedName name="agfasdga_10" localSheetId="4">Reconciliation!agfasdga_10</definedName>
    <definedName name="agfasdga_10" localSheetId="2">'Summary 2018 - MF'!agfasdga_10</definedName>
    <definedName name="agfasdga_10">[0]!agfasdga_10</definedName>
    <definedName name="AGRIC" localSheetId="7">'[18]#REF'!#REF!</definedName>
    <definedName name="AGRIC" localSheetId="15">'[18]#REF'!#REF!</definedName>
    <definedName name="AGRIC" localSheetId="1">'[18]#REF'!#REF!</definedName>
    <definedName name="AGRIC" localSheetId="18">'[18]#REF'!#REF!</definedName>
    <definedName name="AGRIC" localSheetId="16">'[18]#REF'!#REF!</definedName>
    <definedName name="AGRIC" localSheetId="6">'[18]#REF'!#REF!</definedName>
    <definedName name="AGRIC" localSheetId="5">'[18]#REF'!#REF!</definedName>
    <definedName name="AGRIC" localSheetId="3">'[18]#REF'!#REF!</definedName>
    <definedName name="AGRIC" localSheetId="17">'[18]#REF'!#REF!</definedName>
    <definedName name="AGRIC" localSheetId="8">'[18]#REF'!#REF!</definedName>
    <definedName name="AGRIC" localSheetId="4">'[18]#REF'!#REF!</definedName>
    <definedName name="AGRIC" localSheetId="20">'[18]#REF'!#REF!</definedName>
    <definedName name="AGRIC">'[18]#REF'!#REF!</definedName>
    <definedName name="AGRIC2" localSheetId="7">'[18]#REF'!#REF!</definedName>
    <definedName name="AGRIC2" localSheetId="15">'[18]#REF'!#REF!</definedName>
    <definedName name="AGRIC2" localSheetId="1">'[18]#REF'!#REF!</definedName>
    <definedName name="AGRIC2" localSheetId="18">'[18]#REF'!#REF!</definedName>
    <definedName name="AGRIC2" localSheetId="16">'[18]#REF'!#REF!</definedName>
    <definedName name="AGRIC2" localSheetId="6">'[18]#REF'!#REF!</definedName>
    <definedName name="AGRIC2" localSheetId="5">'[18]#REF'!#REF!</definedName>
    <definedName name="AGRIC2" localSheetId="3">'[18]#REF'!#REF!</definedName>
    <definedName name="AGRIC2" localSheetId="17">'[18]#REF'!#REF!</definedName>
    <definedName name="AGRIC2" localSheetId="8">'[18]#REF'!#REF!</definedName>
    <definedName name="AGRIC2" localSheetId="4">'[18]#REF'!#REF!</definedName>
    <definedName name="AGRIC2" localSheetId="20">'[18]#REF'!#REF!</definedName>
    <definedName name="AGRIC2">'[18]#REF'!#REF!</definedName>
    <definedName name="ahgarhr" localSheetId="7">'2018-2022'!ahgarhr</definedName>
    <definedName name="ahgarhr" localSheetId="15">'2018-2022 SF'!ahgarhr</definedName>
    <definedName name="ahgarhr" localSheetId="16">B!ahgarhr</definedName>
    <definedName name="ahgarhr" localSheetId="5">[17]!ahgarhr</definedName>
    <definedName name="ahgarhr" localSheetId="3">[17]!ahgarhr</definedName>
    <definedName name="ahgarhr" localSheetId="17">[17]!ahgarhr</definedName>
    <definedName name="ahgarhr" localSheetId="8">[17]!ahgarhr</definedName>
    <definedName name="ahgarhr" localSheetId="4">Reconciliation!ahgarhr</definedName>
    <definedName name="ahgarhr" localSheetId="2">'Summary 2018 - MF'!ahgarhr</definedName>
    <definedName name="ahgarhr">[0]!ahgarhr</definedName>
    <definedName name="ahgarhr_10" localSheetId="7">'2018-2022'!ahgarhr_10</definedName>
    <definedName name="ahgarhr_10" localSheetId="15">'2018-2022 SF'!ahgarhr_10</definedName>
    <definedName name="ahgarhr_10" localSheetId="16">B!ahgarhr_10</definedName>
    <definedName name="ahgarhr_10" localSheetId="5">[17]!ahgarhr_10</definedName>
    <definedName name="ahgarhr_10" localSheetId="3">[17]!ahgarhr_10</definedName>
    <definedName name="ahgarhr_10" localSheetId="17">[17]!ahgarhr_10</definedName>
    <definedName name="ahgarhr_10" localSheetId="8">[17]!ahgarhr_10</definedName>
    <definedName name="ahgarhr_10" localSheetId="4">Reconciliation!ahgarhr_10</definedName>
    <definedName name="ahgarhr_10" localSheetId="2">'Summary 2018 - MF'!ahgarhr_10</definedName>
    <definedName name="ahgarhr_10">[0]!ahgarhr_10</definedName>
    <definedName name="ahgdfh" localSheetId="7">#REF!</definedName>
    <definedName name="ahgdfh" localSheetId="15">#REF!</definedName>
    <definedName name="ahgdfh" localSheetId="1">#REF!</definedName>
    <definedName name="ahgdfh" localSheetId="18">#REF!</definedName>
    <definedName name="ahgdfh" localSheetId="16">#REF!</definedName>
    <definedName name="ahgdfh" localSheetId="6">#REF!</definedName>
    <definedName name="ahgdfh" localSheetId="5">#REF!</definedName>
    <definedName name="ahgdfh" localSheetId="3">#REF!</definedName>
    <definedName name="ahgdfh" localSheetId="17">#REF!</definedName>
    <definedName name="ahgdfh" localSheetId="13">#REF!</definedName>
    <definedName name="ahgdfh" localSheetId="8">#REF!</definedName>
    <definedName name="ahgdfh" localSheetId="4">#REF!</definedName>
    <definedName name="ahgdfh" localSheetId="20">#REF!</definedName>
    <definedName name="ahgdfh">#REF!</definedName>
    <definedName name="AIRPORT" localSheetId="7">#REF!</definedName>
    <definedName name="AIRPORT" localSheetId="15">#REF!</definedName>
    <definedName name="AIRPORT" localSheetId="1">#REF!</definedName>
    <definedName name="AIRPORT" localSheetId="18">#REF!</definedName>
    <definedName name="AIRPORT" localSheetId="16">#REF!</definedName>
    <definedName name="AIRPORT" localSheetId="6">#REF!</definedName>
    <definedName name="AIRPORT" localSheetId="10">#REF!</definedName>
    <definedName name="AIRPORT" localSheetId="14">#REF!</definedName>
    <definedName name="AIRPORT" localSheetId="5">#REF!</definedName>
    <definedName name="AIRPORT" localSheetId="3">#REF!</definedName>
    <definedName name="AIRPORT" localSheetId="17">#REF!</definedName>
    <definedName name="AIRPORT" localSheetId="8">#REF!</definedName>
    <definedName name="AIRPORT" localSheetId="4">#REF!</definedName>
    <definedName name="AIRPORT" localSheetId="20">#REF!</definedName>
    <definedName name="AIRPORT">#REF!</definedName>
    <definedName name="albcurq3" localSheetId="7">'2018-2022'!albcurq3</definedName>
    <definedName name="albcurq3" localSheetId="15">'2018-2022 SF'!albcurq3</definedName>
    <definedName name="albcurq3" localSheetId="16">B!albcurq3</definedName>
    <definedName name="albcurq3" localSheetId="5">[17]!albcurq3</definedName>
    <definedName name="albcurq3" localSheetId="3">[17]!albcurq3</definedName>
    <definedName name="albcurq3" localSheetId="17">[17]!albcurq3</definedName>
    <definedName name="albcurq3" localSheetId="8">[17]!albcurq3</definedName>
    <definedName name="albcurq3" localSheetId="4">Reconciliation!albcurq3</definedName>
    <definedName name="albcurq3" localSheetId="2">'Summary 2018 - MF'!albcurq3</definedName>
    <definedName name="albcurq3">[0]!albcurq3</definedName>
    <definedName name="albcurq3_10" localSheetId="7">'2018-2022'!albcurq3_10</definedName>
    <definedName name="albcurq3_10" localSheetId="15">'2018-2022 SF'!albcurq3_10</definedName>
    <definedName name="albcurq3_10" localSheetId="16">B!albcurq3_10</definedName>
    <definedName name="albcurq3_10" localSheetId="5">[17]!albcurq3_10</definedName>
    <definedName name="albcurq3_10" localSheetId="3">[17]!albcurq3_10</definedName>
    <definedName name="albcurq3_10" localSheetId="17">[17]!albcurq3_10</definedName>
    <definedName name="albcurq3_10" localSheetId="8">[17]!albcurq3_10</definedName>
    <definedName name="albcurq3_10" localSheetId="4">Reconciliation!albcurq3_10</definedName>
    <definedName name="albcurq3_10" localSheetId="2">'Summary 2018 - MF'!albcurq3_10</definedName>
    <definedName name="albcurq3_10">[0]!albcurq3_10</definedName>
    <definedName name="All_Item" localSheetId="7">#REF!</definedName>
    <definedName name="All_Item" localSheetId="15">#REF!</definedName>
    <definedName name="All_Item" localSheetId="1">#REF!</definedName>
    <definedName name="All_Item" localSheetId="18">#REF!</definedName>
    <definedName name="All_Item" localSheetId="16">#REF!</definedName>
    <definedName name="All_Item" localSheetId="6">#REF!</definedName>
    <definedName name="All_Item" localSheetId="3">#REF!</definedName>
    <definedName name="All_Item" localSheetId="17">#REF!</definedName>
    <definedName name="All_Item" localSheetId="8">#REF!</definedName>
    <definedName name="All_Item" localSheetId="4">#REF!</definedName>
    <definedName name="All_Item" localSheetId="20">#REF!</definedName>
    <definedName name="All_Item">#REF!</definedName>
    <definedName name="ALPIN">#N/A</definedName>
    <definedName name="ALPJYOU">#N/A</definedName>
    <definedName name="ALPTOI">#N/A</definedName>
    <definedName name="Amt" localSheetId="5">'[16]G. Ledger Crescent'!$I$11:$I$1809</definedName>
    <definedName name="Amt" localSheetId="3">'[16]G. Ledger Crescent'!$I$11:$I$1809</definedName>
    <definedName name="Amt" localSheetId="17">'[16]G. Ledger Crescent'!$I$11:$I$1809</definedName>
    <definedName name="Amt" localSheetId="8">'[16]G. Ledger Crescent'!$I$11:$I$1809</definedName>
    <definedName name="Amt">'[16]G. Ledger Crescent'!$I$11:$I$1809</definedName>
    <definedName name="Amt_12" localSheetId="7">#REF!</definedName>
    <definedName name="Amt_12" localSheetId="15">#REF!</definedName>
    <definedName name="Amt_12" localSheetId="1">#REF!</definedName>
    <definedName name="Amt_12" localSheetId="18">#REF!</definedName>
    <definedName name="Amt_12" localSheetId="16">#REF!</definedName>
    <definedName name="Amt_12" localSheetId="6">#REF!</definedName>
    <definedName name="Amt_12" localSheetId="5">#REF!</definedName>
    <definedName name="Amt_12" localSheetId="3">#REF!</definedName>
    <definedName name="Amt_12" localSheetId="17">#REF!</definedName>
    <definedName name="Amt_12" localSheetId="8">#REF!</definedName>
    <definedName name="Amt_12" localSheetId="4">#REF!</definedName>
    <definedName name="Amt_12" localSheetId="20">#REF!</definedName>
    <definedName name="Amt_12">#REF!</definedName>
    <definedName name="Amt_13" localSheetId="7">#REF!</definedName>
    <definedName name="Amt_13" localSheetId="15">#REF!</definedName>
    <definedName name="Amt_13" localSheetId="1">#REF!</definedName>
    <definedName name="Amt_13" localSheetId="18">#REF!</definedName>
    <definedName name="Amt_13" localSheetId="16">#REF!</definedName>
    <definedName name="Amt_13" localSheetId="6">#REF!</definedName>
    <definedName name="Amt_13" localSheetId="5">#REF!</definedName>
    <definedName name="Amt_13" localSheetId="3">#REF!</definedName>
    <definedName name="Amt_13" localSheetId="17">#REF!</definedName>
    <definedName name="Amt_13" localSheetId="8">#REF!</definedName>
    <definedName name="Amt_13" localSheetId="4">#REF!</definedName>
    <definedName name="Amt_13" localSheetId="20">#REF!</definedName>
    <definedName name="Amt_13">#REF!</definedName>
    <definedName name="Amt_6" localSheetId="7">#REF!</definedName>
    <definedName name="Amt_6" localSheetId="15">#REF!</definedName>
    <definedName name="Amt_6" localSheetId="1">#REF!</definedName>
    <definedName name="Amt_6" localSheetId="18">#REF!</definedName>
    <definedName name="Amt_6" localSheetId="16">#REF!</definedName>
    <definedName name="Amt_6" localSheetId="6">#REF!</definedName>
    <definedName name="Amt_6" localSheetId="5">#REF!</definedName>
    <definedName name="Amt_6" localSheetId="3">#REF!</definedName>
    <definedName name="Amt_6" localSheetId="17">#REF!</definedName>
    <definedName name="Amt_6" localSheetId="8">#REF!</definedName>
    <definedName name="Amt_6" localSheetId="4">#REF!</definedName>
    <definedName name="Amt_6" localSheetId="20">#REF!</definedName>
    <definedName name="Amt_6">#REF!</definedName>
    <definedName name="Amt_9">NA()</definedName>
    <definedName name="AnnualRevenue" localSheetId="7">#REF!</definedName>
    <definedName name="AnnualRevenue" localSheetId="15">#REF!</definedName>
    <definedName name="AnnualRevenue" localSheetId="1">#REF!</definedName>
    <definedName name="AnnualRevenue" localSheetId="18">#REF!</definedName>
    <definedName name="AnnualRevenue" localSheetId="16">#REF!</definedName>
    <definedName name="AnnualRevenue" localSheetId="6">#REF!</definedName>
    <definedName name="AnnualRevenue" localSheetId="5">#REF!</definedName>
    <definedName name="AnnualRevenue" localSheetId="3">#REF!</definedName>
    <definedName name="AnnualRevenue" localSheetId="17">#REF!</definedName>
    <definedName name="AnnualRevenue" localSheetId="8">#REF!</definedName>
    <definedName name="AnnualRevenue" localSheetId="4">#REF!</definedName>
    <definedName name="AnnualRevenue" localSheetId="20">#REF!</definedName>
    <definedName name="AnnualRevenue">#REF!</definedName>
    <definedName name="AR" localSheetId="5">[19]TongHop!$K$5:$K$189</definedName>
    <definedName name="AR" localSheetId="3">[19]TongHop!$K$5:$K$189</definedName>
    <definedName name="AR" localSheetId="17">[19]TongHop!$K$5:$K$189</definedName>
    <definedName name="AR" localSheetId="8">[19]TongHop!$K$5:$K$189</definedName>
    <definedName name="AR">[19]TongHop!$K$5:$K$189</definedName>
    <definedName name="ARA_Threshold">[20]Sheet2!$M$2</definedName>
    <definedName name="area" localSheetId="7">'[21]2.Summary-cash'!#REF!</definedName>
    <definedName name="area" localSheetId="15">'[21]2.Summary-cash'!#REF!</definedName>
    <definedName name="area" localSheetId="1">'[21]2.Summary-cash'!#REF!</definedName>
    <definedName name="area" localSheetId="18">'[21]2.Summary-cash'!#REF!</definedName>
    <definedName name="area" localSheetId="16">'[21]2.Summary-cash'!#REF!</definedName>
    <definedName name="area" localSheetId="6">'[21]2.Summary-cash'!#REF!</definedName>
    <definedName name="area" localSheetId="5">'[21]2.Summary-cash'!#REF!</definedName>
    <definedName name="area" localSheetId="3">'[21]2.Summary-cash'!#REF!</definedName>
    <definedName name="area" localSheetId="17">'[21]2.Summary-cash'!#REF!</definedName>
    <definedName name="area" localSheetId="8">'[21]2.Summary-cash'!#REF!</definedName>
    <definedName name="area" localSheetId="4">'[21]2.Summary-cash'!#REF!</definedName>
    <definedName name="area" localSheetId="20">'[21]2.Summary-cash'!#REF!</definedName>
    <definedName name="area">'[21]2.Summary-cash'!#REF!</definedName>
    <definedName name="ARP_Threshold">[20]Sheet2!$L$2</definedName>
    <definedName name="AS2DocOpenMode" hidden="1">"AS2DocumentEdit"</definedName>
    <definedName name="AS2HasNoAutoHeaderFooter">"OFF"</definedName>
    <definedName name="AS2ReportLS" hidden="1">1</definedName>
    <definedName name="AS2SyncStepLS" hidden="1">0</definedName>
    <definedName name="AS2TickmarkLS" localSheetId="7" hidden="1">#REF!</definedName>
    <definedName name="AS2TickmarkLS" localSheetId="15" hidden="1">#REF!</definedName>
    <definedName name="AS2TickmarkLS" localSheetId="1" hidden="1">#REF!</definedName>
    <definedName name="AS2TickmarkLS" localSheetId="18" hidden="1">#REF!</definedName>
    <definedName name="AS2TickmarkLS" localSheetId="16" hidden="1">#REF!</definedName>
    <definedName name="AS2TickmarkLS" localSheetId="6" hidden="1">#REF!</definedName>
    <definedName name="AS2TickmarkLS" localSheetId="5" hidden="1">#REF!</definedName>
    <definedName name="AS2TickmarkLS" localSheetId="3" hidden="1">#REF!</definedName>
    <definedName name="AS2TickmarkLS" localSheetId="17" hidden="1">#REF!</definedName>
    <definedName name="AS2TickmarkLS" localSheetId="8" hidden="1">#REF!</definedName>
    <definedName name="AS2TickmarkLS" localSheetId="4" hidden="1">#REF!</definedName>
    <definedName name="AS2TickmarkLS" localSheetId="20" hidden="1">#REF!</definedName>
    <definedName name="AS2TickmarkLS" hidden="1">#REF!</definedName>
    <definedName name="AS2VersionLS" hidden="1">300</definedName>
    <definedName name="asdd">[17]Sheet1!$A$1519:$L$2100</definedName>
    <definedName name="asdf">[17]Sheet1!$H$2:$H$2100</definedName>
    <definedName name="Assets">"$#REF!.$T$2:$AJ$70"</definedName>
    <definedName name="astrt" localSheetId="7">'2018-2022'!astrt</definedName>
    <definedName name="astrt" localSheetId="15">'2018-2022 SF'!astrt</definedName>
    <definedName name="astrt" localSheetId="16">B!astrt</definedName>
    <definedName name="astrt" localSheetId="5">[17]!astrt</definedName>
    <definedName name="astrt" localSheetId="3">[17]!astrt</definedName>
    <definedName name="astrt" localSheetId="17">[17]!astrt</definedName>
    <definedName name="astrt" localSheetId="8">[17]!astrt</definedName>
    <definedName name="astrt" localSheetId="4">Reconciliation!astrt</definedName>
    <definedName name="astrt" localSheetId="2">'Summary 2018 - MF'!astrt</definedName>
    <definedName name="astrt">[0]!astrt</definedName>
    <definedName name="astrt_10" localSheetId="7">'2018-2022'!astrt_10</definedName>
    <definedName name="astrt_10" localSheetId="15">'2018-2022 SF'!astrt_10</definedName>
    <definedName name="astrt_10" localSheetId="16">B!astrt_10</definedName>
    <definedName name="astrt_10" localSheetId="5">[17]!astrt_10</definedName>
    <definedName name="astrt_10" localSheetId="3">[17]!astrt_10</definedName>
    <definedName name="astrt_10" localSheetId="17">[17]!astrt_10</definedName>
    <definedName name="astrt_10" localSheetId="8">[17]!astrt_10</definedName>
    <definedName name="astrt_10" localSheetId="4">Reconciliation!astrt_10</definedName>
    <definedName name="astrt_10" localSheetId="2">'Summary 2018 - MF'!astrt_10</definedName>
    <definedName name="astrt_10">[0]!astrt_10</definedName>
    <definedName name="_xlnm.Auto_Open" localSheetId="11">#REF!</definedName>
    <definedName name="_xlnm.Auto_Open" localSheetId="7">#REF!</definedName>
    <definedName name="_xlnm.Auto_Open" localSheetId="15">#REF!</definedName>
    <definedName name="_xlnm.Auto_Open" localSheetId="1">#REF!</definedName>
    <definedName name="_xlnm.Auto_Open" localSheetId="18">#REF!</definedName>
    <definedName name="_xlnm.Auto_Open" localSheetId="16">#REF!</definedName>
    <definedName name="_xlnm.Auto_Open" localSheetId="6">#REF!</definedName>
    <definedName name="_xlnm.Auto_Open" localSheetId="3">#REF!</definedName>
    <definedName name="_xlnm.Auto_Open" localSheetId="17">#REF!</definedName>
    <definedName name="_xlnm.Auto_Open" localSheetId="8">#REF!</definedName>
    <definedName name="_xlnm.Auto_Open" localSheetId="4">#REF!</definedName>
    <definedName name="_xlnm.Auto_Open" localSheetId="20">#REF!</definedName>
    <definedName name="_xlnm.Auto_Open">#REF!</definedName>
    <definedName name="B">"'file:///A:/VARIABLE/FLEET.XLS'#$JV_FSL.$#REF!$#REF!:$#REF!$#REF!"</definedName>
    <definedName name="b_240" localSheetId="7">#REF!</definedName>
    <definedName name="b_240" localSheetId="15">#REF!</definedName>
    <definedName name="b_240" localSheetId="1">#REF!</definedName>
    <definedName name="b_240" localSheetId="18">#REF!</definedName>
    <definedName name="b_240" localSheetId="16">#REF!</definedName>
    <definedName name="b_240" localSheetId="6">#REF!</definedName>
    <definedName name="b_240" localSheetId="3">#REF!</definedName>
    <definedName name="b_240" localSheetId="17">#REF!</definedName>
    <definedName name="b_240" localSheetId="8">#REF!</definedName>
    <definedName name="b_240" localSheetId="4">#REF!</definedName>
    <definedName name="b_240" localSheetId="20">#REF!</definedName>
    <definedName name="b_240">#REF!</definedName>
    <definedName name="b_280" localSheetId="7">#REF!</definedName>
    <definedName name="b_280" localSheetId="15">#REF!</definedName>
    <definedName name="b_280" localSheetId="1">#REF!</definedName>
    <definedName name="b_280" localSheetId="18">#REF!</definedName>
    <definedName name="b_280" localSheetId="16">#REF!</definedName>
    <definedName name="b_280" localSheetId="6">#REF!</definedName>
    <definedName name="b_280" localSheetId="3">#REF!</definedName>
    <definedName name="b_280" localSheetId="17">#REF!</definedName>
    <definedName name="b_280" localSheetId="8">#REF!</definedName>
    <definedName name="b_280" localSheetId="4">#REF!</definedName>
    <definedName name="b_280" localSheetId="20">#REF!</definedName>
    <definedName name="b_280">#REF!</definedName>
    <definedName name="b_320" localSheetId="7">#REF!</definedName>
    <definedName name="b_320" localSheetId="15">#REF!</definedName>
    <definedName name="b_320" localSheetId="1">#REF!</definedName>
    <definedName name="b_320" localSheetId="18">#REF!</definedName>
    <definedName name="b_320" localSheetId="16">#REF!</definedName>
    <definedName name="b_320" localSheetId="6">#REF!</definedName>
    <definedName name="b_320" localSheetId="3">#REF!</definedName>
    <definedName name="b_320" localSheetId="17">#REF!</definedName>
    <definedName name="b_320" localSheetId="8">#REF!</definedName>
    <definedName name="b_320" localSheetId="4">#REF!</definedName>
    <definedName name="b_320" localSheetId="20">#REF!</definedName>
    <definedName name="b_320">#REF!</definedName>
    <definedName name="BA">"$#REF!.$F$7:$U$31"</definedName>
    <definedName name="Balance_Sheet" localSheetId="7">#REF!</definedName>
    <definedName name="Balance_Sheet" localSheetId="15">#REF!</definedName>
    <definedName name="Balance_Sheet" localSheetId="1">#REF!</definedName>
    <definedName name="Balance_Sheet" localSheetId="18">#REF!</definedName>
    <definedName name="Balance_Sheet" localSheetId="16">#REF!</definedName>
    <definedName name="Balance_Sheet" localSheetId="6">#REF!</definedName>
    <definedName name="Balance_Sheet" localSheetId="10">#REF!</definedName>
    <definedName name="Balance_Sheet" localSheetId="14">#REF!</definedName>
    <definedName name="Balance_Sheet" localSheetId="5">#REF!</definedName>
    <definedName name="Balance_Sheet" localSheetId="3">#REF!</definedName>
    <definedName name="Balance_Sheet" localSheetId="17">#REF!</definedName>
    <definedName name="Balance_Sheet" localSheetId="8">#REF!</definedName>
    <definedName name="Balance_Sheet" localSheetId="4">#REF!</definedName>
    <definedName name="Balance_Sheet" localSheetId="20">#REF!</definedName>
    <definedName name="Balance_Sheet">#REF!</definedName>
    <definedName name="Balsheet">"$#REF!.$A$1:$R$49"</definedName>
    <definedName name="BangTiGia" localSheetId="11">#REF!</definedName>
    <definedName name="BangTiGia" localSheetId="7">#REF!</definedName>
    <definedName name="BangTiGia" localSheetId="15">#REF!</definedName>
    <definedName name="BangTiGia" localSheetId="1">#REF!</definedName>
    <definedName name="BangTiGia" localSheetId="18">#REF!</definedName>
    <definedName name="BangTiGia" localSheetId="16">#REF!</definedName>
    <definedName name="BangTiGia" localSheetId="6">#REF!</definedName>
    <definedName name="BangTiGia" localSheetId="3">#REF!</definedName>
    <definedName name="BangTiGia" localSheetId="17">#REF!</definedName>
    <definedName name="BangTiGia" localSheetId="8">#REF!</definedName>
    <definedName name="BangTiGia" localSheetId="4">#REF!</definedName>
    <definedName name="BangTiGia" localSheetId="20">#REF!</definedName>
    <definedName name="BangTiGia">#REF!</definedName>
    <definedName name="bc" localSheetId="7">'2018-2022'!bc</definedName>
    <definedName name="bc" localSheetId="15">'2018-2022 SF'!bc</definedName>
    <definedName name="bc" localSheetId="16">B!bc</definedName>
    <definedName name="bc" localSheetId="5">[17]!bc</definedName>
    <definedName name="bc" localSheetId="3">[17]!bc</definedName>
    <definedName name="bc" localSheetId="17">[17]!bc</definedName>
    <definedName name="bc" localSheetId="8">[17]!bc</definedName>
    <definedName name="bc" localSheetId="4">Reconciliation!bc</definedName>
    <definedName name="bc" localSheetId="2">'Summary 2018 - MF'!bc</definedName>
    <definedName name="bc">[0]!bc</definedName>
    <definedName name="bc_10" localSheetId="7">'2018-2022'!bc_10</definedName>
    <definedName name="bc_10" localSheetId="15">'2018-2022 SF'!bc_10</definedName>
    <definedName name="bc_10" localSheetId="16">B!bc_10</definedName>
    <definedName name="bc_10" localSheetId="5">[17]!bc_10</definedName>
    <definedName name="bc_10" localSheetId="3">[17]!bc_10</definedName>
    <definedName name="bc_10" localSheetId="17">[17]!bc_10</definedName>
    <definedName name="bc_10" localSheetId="8">[17]!bc_10</definedName>
    <definedName name="bc_10" localSheetId="4">Reconciliation!bc_10</definedName>
    <definedName name="bc_10" localSheetId="2">'Summary 2018 - MF'!bc_10</definedName>
    <definedName name="bc_10">[0]!bc_10</definedName>
    <definedName name="bd">[13]gVL!$N$12</definedName>
    <definedName name="begin" localSheetId="7">#REF!</definedName>
    <definedName name="begin" localSheetId="15">#REF!</definedName>
    <definedName name="begin" localSheetId="1">#REF!</definedName>
    <definedName name="begin" localSheetId="18">#REF!</definedName>
    <definedName name="begin" localSheetId="16">#REF!</definedName>
    <definedName name="begin" localSheetId="6">#REF!</definedName>
    <definedName name="begin" localSheetId="3">#REF!</definedName>
    <definedName name="begin" localSheetId="17">#REF!</definedName>
    <definedName name="begin" localSheetId="8">#REF!</definedName>
    <definedName name="begin" localSheetId="4">#REF!</definedName>
    <definedName name="begin" localSheetId="20">#REF!</definedName>
    <definedName name="begin">#REF!</definedName>
    <definedName name="benefits" localSheetId="7">#REF!</definedName>
    <definedName name="benefits" localSheetId="15">#REF!</definedName>
    <definedName name="benefits" localSheetId="1">#REF!</definedName>
    <definedName name="benefits" localSheetId="18">#REF!</definedName>
    <definedName name="benefits" localSheetId="16">#REF!</definedName>
    <definedName name="benefits" localSheetId="6">#REF!</definedName>
    <definedName name="benefits" localSheetId="5">#REF!</definedName>
    <definedName name="benefits" localSheetId="3">#REF!</definedName>
    <definedName name="benefits" localSheetId="17">#REF!</definedName>
    <definedName name="benefits" localSheetId="8">#REF!</definedName>
    <definedName name="benefits" localSheetId="4">#REF!</definedName>
    <definedName name="benefits" localSheetId="20">#REF!</definedName>
    <definedName name="benefits">#REF!</definedName>
    <definedName name="BG_Del" hidden="1">15</definedName>
    <definedName name="BG_Ins" hidden="1">4</definedName>
    <definedName name="BG_Mod" hidden="1">6</definedName>
    <definedName name="Bonus_Deverloper" localSheetId="7">#REF!</definedName>
    <definedName name="Bonus_Deverloper" localSheetId="15">#REF!</definedName>
    <definedName name="Bonus_Deverloper" localSheetId="1">#REF!</definedName>
    <definedName name="Bonus_Deverloper" localSheetId="18">#REF!</definedName>
    <definedName name="Bonus_Deverloper" localSheetId="16">#REF!</definedName>
    <definedName name="Bonus_Deverloper" localSheetId="6">#REF!</definedName>
    <definedName name="Bonus_Deverloper" localSheetId="5">#REF!</definedName>
    <definedName name="Bonus_Deverloper" localSheetId="3">#REF!</definedName>
    <definedName name="Bonus_Deverloper" localSheetId="17">#REF!</definedName>
    <definedName name="Bonus_Deverloper" localSheetId="8">#REF!</definedName>
    <definedName name="Bonus_Deverloper" localSheetId="4">#REF!</definedName>
    <definedName name="Bonus_Deverloper" localSheetId="20">#REF!</definedName>
    <definedName name="Bonus_Deverloper">#REF!</definedName>
    <definedName name="BonusRate_CN" localSheetId="7">#REF!</definedName>
    <definedName name="BonusRate_CN" localSheetId="15">#REF!</definedName>
    <definedName name="BonusRate_CN" localSheetId="1">#REF!</definedName>
    <definedName name="BonusRate_CN" localSheetId="18">#REF!</definedName>
    <definedName name="BonusRate_CN" localSheetId="16">#REF!</definedName>
    <definedName name="BonusRate_CN" localSheetId="6">#REF!</definedName>
    <definedName name="BonusRate_CN" localSheetId="5">#REF!</definedName>
    <definedName name="BonusRate_CN" localSheetId="3">#REF!</definedName>
    <definedName name="BonusRate_CN" localSheetId="17">#REF!</definedName>
    <definedName name="BonusRate_CN" localSheetId="8">#REF!</definedName>
    <definedName name="BonusRate_CN" localSheetId="4">#REF!</definedName>
    <definedName name="BonusRate_CN" localSheetId="20">#REF!</definedName>
    <definedName name="BonusRate_CN">#REF!</definedName>
    <definedName name="BonusRate_LD" localSheetId="7">#REF!</definedName>
    <definedName name="BonusRate_LD" localSheetId="15">#REF!</definedName>
    <definedName name="BonusRate_LD" localSheetId="1">#REF!</definedName>
    <definedName name="BonusRate_LD" localSheetId="18">#REF!</definedName>
    <definedName name="BonusRate_LD" localSheetId="16">#REF!</definedName>
    <definedName name="BonusRate_LD" localSheetId="6">#REF!</definedName>
    <definedName name="BonusRate_LD" localSheetId="5">#REF!</definedName>
    <definedName name="BonusRate_LD" localSheetId="3">#REF!</definedName>
    <definedName name="BonusRate_LD" localSheetId="17">#REF!</definedName>
    <definedName name="BonusRate_LD" localSheetId="8">#REF!</definedName>
    <definedName name="BonusRate_LD" localSheetId="4">#REF!</definedName>
    <definedName name="BonusRate_LD" localSheetId="20">#REF!</definedName>
    <definedName name="BonusRate_LD">#REF!</definedName>
    <definedName name="BonusRate_QL" localSheetId="7">#REF!</definedName>
    <definedName name="BonusRate_QL" localSheetId="15">#REF!</definedName>
    <definedName name="BonusRate_QL" localSheetId="1">#REF!</definedName>
    <definedName name="BonusRate_QL" localSheetId="18">#REF!</definedName>
    <definedName name="BonusRate_QL" localSheetId="16">#REF!</definedName>
    <definedName name="BonusRate_QL" localSheetId="6">#REF!</definedName>
    <definedName name="BonusRate_QL" localSheetId="5">#REF!</definedName>
    <definedName name="BonusRate_QL" localSheetId="3">#REF!</definedName>
    <definedName name="BonusRate_QL" localSheetId="17">#REF!</definedName>
    <definedName name="BonusRate_QL" localSheetId="8">#REF!</definedName>
    <definedName name="BonusRate_QL" localSheetId="4">#REF!</definedName>
    <definedName name="BonusRate_QL" localSheetId="20">#REF!</definedName>
    <definedName name="BonusRate_QL">#REF!</definedName>
    <definedName name="BonusRate_Sale" localSheetId="7">#REF!</definedName>
    <definedName name="BonusRate_Sale" localSheetId="15">#REF!</definedName>
    <definedName name="BonusRate_Sale" localSheetId="1">#REF!</definedName>
    <definedName name="BonusRate_Sale" localSheetId="18">#REF!</definedName>
    <definedName name="BonusRate_Sale" localSheetId="16">#REF!</definedName>
    <definedName name="BonusRate_Sale" localSheetId="6">#REF!</definedName>
    <definedName name="BonusRate_Sale" localSheetId="5">#REF!</definedName>
    <definedName name="BonusRate_Sale" localSheetId="3">#REF!</definedName>
    <definedName name="BonusRate_Sale" localSheetId="17">#REF!</definedName>
    <definedName name="BonusRate_Sale" localSheetId="8">#REF!</definedName>
    <definedName name="BonusRate_Sale" localSheetId="4">#REF!</definedName>
    <definedName name="BonusRate_Sale" localSheetId="20">#REF!</definedName>
    <definedName name="BonusRate_Sale">#REF!</definedName>
    <definedName name="BonusRate_Tech" localSheetId="7">#REF!</definedName>
    <definedName name="BonusRate_Tech" localSheetId="15">#REF!</definedName>
    <definedName name="BonusRate_Tech" localSheetId="1">#REF!</definedName>
    <definedName name="BonusRate_Tech" localSheetId="18">#REF!</definedName>
    <definedName name="BonusRate_Tech" localSheetId="16">#REF!</definedName>
    <definedName name="BonusRate_Tech" localSheetId="6">#REF!</definedName>
    <definedName name="BonusRate_Tech" localSheetId="5">#REF!</definedName>
    <definedName name="BonusRate_Tech" localSheetId="3">#REF!</definedName>
    <definedName name="BonusRate_Tech" localSheetId="17">#REF!</definedName>
    <definedName name="BonusRate_Tech" localSheetId="8">#REF!</definedName>
    <definedName name="BonusRate_Tech" localSheetId="4">#REF!</definedName>
    <definedName name="BonusRate_Tech" localSheetId="20">#REF!</definedName>
    <definedName name="BonusRate_Tech">#REF!</definedName>
    <definedName name="BOQ" localSheetId="7">#REF!</definedName>
    <definedName name="BOQ" localSheetId="15">#REF!</definedName>
    <definedName name="BOQ" localSheetId="1">#REF!</definedName>
    <definedName name="BOQ" localSheetId="18">#REF!</definedName>
    <definedName name="BOQ" localSheetId="16">#REF!</definedName>
    <definedName name="BOQ" localSheetId="6">#REF!</definedName>
    <definedName name="BOQ" localSheetId="5">#REF!</definedName>
    <definedName name="BOQ" localSheetId="3">#REF!</definedName>
    <definedName name="BOQ" localSheetId="17">#REF!</definedName>
    <definedName name="BOQ" localSheetId="8">#REF!</definedName>
    <definedName name="BOQ" localSheetId="4">#REF!</definedName>
    <definedName name="BOQ" localSheetId="20">#REF!</definedName>
    <definedName name="BOQ">#REF!</definedName>
    <definedName name="BrealEven">"$#REF!.$O$1:$V$43"</definedName>
    <definedName name="BringUserToAboutSheet" localSheetId="7">[22]!BringUserToAboutSheet</definedName>
    <definedName name="BringUserToAboutSheet" localSheetId="1">[22]!BringUserToAboutSheet</definedName>
    <definedName name="BringUserToAboutSheet" localSheetId="18">[22]!BringUserToAboutSheet</definedName>
    <definedName name="BringUserToAboutSheet" localSheetId="16">[22]!BringUserToAboutSheet</definedName>
    <definedName name="BringUserToAboutSheet" localSheetId="6">[22]!BringUserToAboutSheet</definedName>
    <definedName name="BringUserToAboutSheet" localSheetId="3">[22]!BringUserToAboutSheet</definedName>
    <definedName name="BringUserToAboutSheet" localSheetId="17">[22]!BringUserToAboutSheet</definedName>
    <definedName name="BringUserToAboutSheet" localSheetId="8">[22]!BringUserToAboutSheet</definedName>
    <definedName name="BringUserToAboutSheet" localSheetId="4">[22]!BringUserToAboutSheet</definedName>
    <definedName name="BringUserToAboutSheet" localSheetId="20">[22]!BringUserToAboutSheet</definedName>
    <definedName name="BringUserToAboutSheet">[22]!BringUserToAboutSheet</definedName>
    <definedName name="BringUserToCode" localSheetId="7">[22]!BringUserToCode</definedName>
    <definedName name="BringUserToCode" localSheetId="1">[22]!BringUserToCode</definedName>
    <definedName name="BringUserToCode" localSheetId="18">[22]!BringUserToCode</definedName>
    <definedName name="BringUserToCode" localSheetId="16">[22]!BringUserToCode</definedName>
    <definedName name="BringUserToCode" localSheetId="6">[22]!BringUserToCode</definedName>
    <definedName name="BringUserToCode" localSheetId="3">[22]!BringUserToCode</definedName>
    <definedName name="BringUserToCode" localSheetId="17">[22]!BringUserToCode</definedName>
    <definedName name="BringUserToCode" localSheetId="8">[22]!BringUserToCode</definedName>
    <definedName name="BringUserToCode" localSheetId="4">[22]!BringUserToCode</definedName>
    <definedName name="BringUserToCode" localSheetId="20">[22]!BringUserToCode</definedName>
    <definedName name="BringUserToCode">[22]!BringUserToCode</definedName>
    <definedName name="BSCode" localSheetId="7">'[16]Trial balance'!#REF!</definedName>
    <definedName name="BSCode" localSheetId="15">'[16]Trial balance'!#REF!</definedName>
    <definedName name="BSCode" localSheetId="1">'[16]Trial balance'!#REF!</definedName>
    <definedName name="BSCode" localSheetId="18">'[16]Trial balance'!#REF!</definedName>
    <definedName name="BSCode" localSheetId="16">'[16]Trial balance'!#REF!</definedName>
    <definedName name="BSCode" localSheetId="6">'[16]Trial balance'!#REF!</definedName>
    <definedName name="BSCode" localSheetId="5">'[16]Trial balance'!#REF!</definedName>
    <definedName name="BSCode" localSheetId="3">'[16]Trial balance'!#REF!</definedName>
    <definedName name="BSCode" localSheetId="17">'[16]Trial balance'!#REF!</definedName>
    <definedName name="BSCode" localSheetId="8">'[16]Trial balance'!#REF!</definedName>
    <definedName name="BSCode" localSheetId="4">'[16]Trial balance'!#REF!</definedName>
    <definedName name="BSCode" localSheetId="20">'[16]Trial balance'!#REF!</definedName>
    <definedName name="BSCode">'[16]Trial balance'!#REF!</definedName>
    <definedName name="BSCode_6" localSheetId="7">#REF!</definedName>
    <definedName name="BSCode_6" localSheetId="15">#REF!</definedName>
    <definedName name="BSCode_6" localSheetId="1">#REF!</definedName>
    <definedName name="BSCode_6" localSheetId="18">#REF!</definedName>
    <definedName name="BSCode_6" localSheetId="16">#REF!</definedName>
    <definedName name="BSCode_6" localSheetId="6">#REF!</definedName>
    <definedName name="BSCode_6" localSheetId="5">#REF!</definedName>
    <definedName name="BSCode_6" localSheetId="3">#REF!</definedName>
    <definedName name="BSCode_6" localSheetId="17">#REF!</definedName>
    <definedName name="BSCode_6" localSheetId="8">#REF!</definedName>
    <definedName name="BSCode_6" localSheetId="4">#REF!</definedName>
    <definedName name="BSCode_6" localSheetId="20">#REF!</definedName>
    <definedName name="BSCode_6">#REF!</definedName>
    <definedName name="BSCr" localSheetId="7">'[16]Trial balance'!#REF!</definedName>
    <definedName name="BSCr" localSheetId="15">'[16]Trial balance'!#REF!</definedName>
    <definedName name="BSCr" localSheetId="1">'[16]Trial balance'!#REF!</definedName>
    <definedName name="BSCr" localSheetId="18">'[16]Trial balance'!#REF!</definedName>
    <definedName name="BSCr" localSheetId="16">'[16]Trial balance'!#REF!</definedName>
    <definedName name="BSCr" localSheetId="6">'[16]Trial balance'!#REF!</definedName>
    <definedName name="BSCr" localSheetId="5">'[16]Trial balance'!#REF!</definedName>
    <definedName name="BSCr" localSheetId="3">'[16]Trial balance'!#REF!</definedName>
    <definedName name="BSCr" localSheetId="17">'[16]Trial balance'!#REF!</definedName>
    <definedName name="BSCr" localSheetId="8">'[16]Trial balance'!#REF!</definedName>
    <definedName name="BSCr" localSheetId="4">'[16]Trial balance'!#REF!</definedName>
    <definedName name="BSCr" localSheetId="20">'[16]Trial balance'!#REF!</definedName>
    <definedName name="BSCr">'[16]Trial balance'!#REF!</definedName>
    <definedName name="BSCr_6" localSheetId="7">#REF!</definedName>
    <definedName name="BSCr_6" localSheetId="15">#REF!</definedName>
    <definedName name="BSCr_6" localSheetId="1">#REF!</definedName>
    <definedName name="BSCr_6" localSheetId="18">#REF!</definedName>
    <definedName name="BSCr_6" localSheetId="16">#REF!</definedName>
    <definedName name="BSCr_6" localSheetId="6">#REF!</definedName>
    <definedName name="BSCr_6" localSheetId="5">#REF!</definedName>
    <definedName name="BSCr_6" localSheetId="3">#REF!</definedName>
    <definedName name="BSCr_6" localSheetId="17">#REF!</definedName>
    <definedName name="BSCr_6" localSheetId="8">#REF!</definedName>
    <definedName name="BSCr_6" localSheetId="4">#REF!</definedName>
    <definedName name="BSCr_6" localSheetId="20">#REF!</definedName>
    <definedName name="BSCr_6">#REF!</definedName>
    <definedName name="BSDr" localSheetId="7">#REF!</definedName>
    <definedName name="BSDr" localSheetId="15">#REF!</definedName>
    <definedName name="BSDr" localSheetId="1">#REF!</definedName>
    <definedName name="BSDr" localSheetId="18">#REF!</definedName>
    <definedName name="BSDr" localSheetId="16">#REF!</definedName>
    <definedName name="BSDr" localSheetId="6">#REF!</definedName>
    <definedName name="BSDr" localSheetId="5">#REF!</definedName>
    <definedName name="BSDr" localSheetId="3">#REF!</definedName>
    <definedName name="BSDr" localSheetId="17">#REF!</definedName>
    <definedName name="BSDr" localSheetId="8">#REF!</definedName>
    <definedName name="BSDr" localSheetId="4">#REF!</definedName>
    <definedName name="BSDr" localSheetId="20">#REF!</definedName>
    <definedName name="BSDr">#REF!</definedName>
    <definedName name="BSDr_6" localSheetId="7">#REF!</definedName>
    <definedName name="BSDr_6" localSheetId="15">#REF!</definedName>
    <definedName name="BSDr_6" localSheetId="1">#REF!</definedName>
    <definedName name="BSDr_6" localSheetId="18">#REF!</definedName>
    <definedName name="BSDr_6" localSheetId="16">#REF!</definedName>
    <definedName name="BSDr_6" localSheetId="6">#REF!</definedName>
    <definedName name="BSDr_6" localSheetId="5">#REF!</definedName>
    <definedName name="BSDr_6" localSheetId="3">#REF!</definedName>
    <definedName name="BSDr_6" localSheetId="17">#REF!</definedName>
    <definedName name="BSDr_6" localSheetId="8">#REF!</definedName>
    <definedName name="BSDr_6" localSheetId="4">#REF!</definedName>
    <definedName name="BSDr_6" localSheetId="20">#REF!</definedName>
    <definedName name="BSDr_6">#REF!</definedName>
    <definedName name="BSFC" localSheetId="7">#REF!</definedName>
    <definedName name="BSFC" localSheetId="15">#REF!</definedName>
    <definedName name="BSFC" localSheetId="1">#REF!</definedName>
    <definedName name="BSFC" localSheetId="18">#REF!</definedName>
    <definedName name="BSFC" localSheetId="16">#REF!</definedName>
    <definedName name="BSFC" localSheetId="6">#REF!</definedName>
    <definedName name="BSFC" localSheetId="5">#REF!</definedName>
    <definedName name="BSFC" localSheetId="3">#REF!</definedName>
    <definedName name="BSFC" localSheetId="17">#REF!</definedName>
    <definedName name="BSFC" localSheetId="8">#REF!</definedName>
    <definedName name="BSFC" localSheetId="4">#REF!</definedName>
    <definedName name="BSFC" localSheetId="20">#REF!</definedName>
    <definedName name="BSFC">#REF!</definedName>
    <definedName name="BSST" localSheetId="7">#REF!</definedName>
    <definedName name="BSST" localSheetId="15">#REF!</definedName>
    <definedName name="BSST" localSheetId="1">#REF!</definedName>
    <definedName name="BSST" localSheetId="18">#REF!</definedName>
    <definedName name="BSST" localSheetId="16">#REF!</definedName>
    <definedName name="BSST" localSheetId="6">#REF!</definedName>
    <definedName name="BSST" localSheetId="5">#REF!</definedName>
    <definedName name="BSST" localSheetId="3">#REF!</definedName>
    <definedName name="BSST" localSheetId="17">#REF!</definedName>
    <definedName name="BSST" localSheetId="8">#REF!</definedName>
    <definedName name="BSST" localSheetId="4">#REF!</definedName>
    <definedName name="BSST" localSheetId="20">#REF!</definedName>
    <definedName name="BSST">#REF!</definedName>
    <definedName name="btai">[13]gVL!$N$49</definedName>
    <definedName name="BudgetYear" localSheetId="5">[23]Contract!$G$2</definedName>
    <definedName name="BudgetYear" localSheetId="3">[23]Contract!$G$2</definedName>
    <definedName name="BudgetYear" localSheetId="17">[23]Contract!$G$2</definedName>
    <definedName name="BudgetYear" localSheetId="8">[23]Contract!$G$2</definedName>
    <definedName name="BudgetYear">[23]Contract!$G$2</definedName>
    <definedName name="BudgetYTD" localSheetId="7">#REF!</definedName>
    <definedName name="BudgetYTD" localSheetId="15">#REF!</definedName>
    <definedName name="BudgetYTD" localSheetId="1">#REF!</definedName>
    <definedName name="BudgetYTD" localSheetId="18">#REF!</definedName>
    <definedName name="BudgetYTD" localSheetId="16">#REF!</definedName>
    <definedName name="BudgetYTD" localSheetId="6">#REF!</definedName>
    <definedName name="BudgetYTD" localSheetId="5">#REF!</definedName>
    <definedName name="BudgetYTD" localSheetId="3">#REF!</definedName>
    <definedName name="BudgetYTD" localSheetId="17">#REF!</definedName>
    <definedName name="BudgetYTD" localSheetId="8">#REF!</definedName>
    <definedName name="BudgetYTD" localSheetId="4">#REF!</definedName>
    <definedName name="BudgetYTD" localSheetId="20">#REF!</definedName>
    <definedName name="BudgetYTD">#REF!</definedName>
    <definedName name="bussegment">"$#REF!.$#REF!$#REF!:$#REF!$#REF!"</definedName>
    <definedName name="Bust" localSheetId="11">#REF!</definedName>
    <definedName name="Bust" localSheetId="7">#REF!</definedName>
    <definedName name="Bust" localSheetId="15">#REF!</definedName>
    <definedName name="Bust" localSheetId="1">#REF!</definedName>
    <definedName name="Bust" localSheetId="18">#REF!</definedName>
    <definedName name="Bust" localSheetId="16">#REF!</definedName>
    <definedName name="Bust" localSheetId="6">#REF!</definedName>
    <definedName name="Bust" localSheetId="3">#REF!</definedName>
    <definedName name="Bust" localSheetId="17">#REF!</definedName>
    <definedName name="Bust" localSheetId="8">#REF!</definedName>
    <definedName name="Bust" localSheetId="4">#REF!</definedName>
    <definedName name="Bust" localSheetId="20">#REF!</definedName>
    <definedName name="Bust">#REF!</definedName>
    <definedName name="BV" localSheetId="11">#REF!</definedName>
    <definedName name="BV" localSheetId="7">#REF!</definedName>
    <definedName name="BV" localSheetId="15">#REF!</definedName>
    <definedName name="BV" localSheetId="1">#REF!</definedName>
    <definedName name="BV" localSheetId="18">#REF!</definedName>
    <definedName name="BV" localSheetId="16">#REF!</definedName>
    <definedName name="BV" localSheetId="6">#REF!</definedName>
    <definedName name="BV" localSheetId="10">#REF!</definedName>
    <definedName name="BV" localSheetId="14">#REF!</definedName>
    <definedName name="BV" localSheetId="5">#REF!</definedName>
    <definedName name="BV" localSheetId="3">#REF!</definedName>
    <definedName name="BV" localSheetId="17">#REF!</definedName>
    <definedName name="BV" localSheetId="8">#REF!</definedName>
    <definedName name="BV" localSheetId="4">#REF!</definedName>
    <definedName name="BV" localSheetId="20">#REF!</definedName>
    <definedName name="BV">#REF!</definedName>
    <definedName name="BVCISUMMARY" localSheetId="7">#REF!</definedName>
    <definedName name="BVCISUMMARY" localSheetId="15">#REF!</definedName>
    <definedName name="BVCISUMMARY" localSheetId="1">#REF!</definedName>
    <definedName name="BVCISUMMARY" localSheetId="18">#REF!</definedName>
    <definedName name="BVCISUMMARY" localSheetId="16">#REF!</definedName>
    <definedName name="BVCISUMMARY" localSheetId="6">#REF!</definedName>
    <definedName name="BVCISUMMARY" localSheetId="5">#REF!</definedName>
    <definedName name="BVCISUMMARY" localSheetId="3">#REF!</definedName>
    <definedName name="BVCISUMMARY" localSheetId="17">#REF!</definedName>
    <definedName name="BVCISUMMARY" localSheetId="8">#REF!</definedName>
    <definedName name="BVCISUMMARY" localSheetId="4">#REF!</definedName>
    <definedName name="BVCISUMMARY" localSheetId="20">#REF!</definedName>
    <definedName name="BVCISUMMARY">#REF!</definedName>
    <definedName name="C.B" localSheetId="7">#REF!</definedName>
    <definedName name="C.B" localSheetId="15">#REF!</definedName>
    <definedName name="C.B" localSheetId="1">#REF!</definedName>
    <definedName name="C.B" localSheetId="18">#REF!</definedName>
    <definedName name="C.B" localSheetId="16">#REF!</definedName>
    <definedName name="C.B" localSheetId="6">#REF!</definedName>
    <definedName name="C.B" localSheetId="5">#REF!</definedName>
    <definedName name="C.B" localSheetId="3">#REF!</definedName>
    <definedName name="C.B" localSheetId="17">#REF!</definedName>
    <definedName name="C.B" localSheetId="8">#REF!</definedName>
    <definedName name="C.B" localSheetId="4">#REF!</definedName>
    <definedName name="C.B" localSheetId="20">#REF!</definedName>
    <definedName name="C.B">#REF!</definedName>
    <definedName name="CABLE2">'[24]MTO REV.0'!$A$1:$Q$570</definedName>
    <definedName name="CAPEX" localSheetId="5">[25]Main!$A$8:$Q$600</definedName>
    <definedName name="CAPEX" localSheetId="3">[25]Main!$A$8:$Q$600</definedName>
    <definedName name="CAPEX" localSheetId="17">[25]Main!$A$8:$Q$600</definedName>
    <definedName name="CAPEX" localSheetId="8">[25]Main!$A$8:$Q$600</definedName>
    <definedName name="CAPEX">[25]Main!$A$8:$Q$600</definedName>
    <definedName name="Capital" localSheetId="7">#REF!</definedName>
    <definedName name="Capital" localSheetId="15">#REF!</definedName>
    <definedName name="Capital" localSheetId="1">#REF!</definedName>
    <definedName name="Capital" localSheetId="18">#REF!</definedName>
    <definedName name="Capital" localSheetId="16">#REF!</definedName>
    <definedName name="Capital" localSheetId="6">#REF!</definedName>
    <definedName name="Capital" localSheetId="5">#REF!</definedName>
    <definedName name="Capital" localSheetId="3">#REF!</definedName>
    <definedName name="Capital" localSheetId="17">#REF!</definedName>
    <definedName name="Capital" localSheetId="8">#REF!</definedName>
    <definedName name="Capital" localSheetId="4">#REF!</definedName>
    <definedName name="Capital" localSheetId="20">#REF!</definedName>
    <definedName name="Capital">#REF!</definedName>
    <definedName name="carindustry">"$#REF!.$#REF!$#REF!:$#REF!$#REF!"</definedName>
    <definedName name="CarLineFcast">"$#REF!.#REF!#REF!#REF!$#REF!"</definedName>
    <definedName name="cash">"$#REF!.$#REF!$#REF!"</definedName>
    <definedName name="Cashflow">"$#REF!.$A$50:$R$87"</definedName>
    <definedName name="Cashflows">"$#REF!.$E$4:$O$4"</definedName>
    <definedName name="CashflowStt" localSheetId="7">#REF!</definedName>
    <definedName name="CashflowStt" localSheetId="15">#REF!</definedName>
    <definedName name="CashflowStt" localSheetId="1">#REF!</definedName>
    <definedName name="CashflowStt" localSheetId="18">#REF!</definedName>
    <definedName name="CashflowStt" localSheetId="16">#REF!</definedName>
    <definedName name="CashflowStt" localSheetId="6">#REF!</definedName>
    <definedName name="CashflowStt" localSheetId="5">#REF!</definedName>
    <definedName name="CashflowStt" localSheetId="3">#REF!</definedName>
    <definedName name="CashflowStt" localSheetId="17">#REF!</definedName>
    <definedName name="CashflowStt" localSheetId="8">#REF!</definedName>
    <definedName name="CashflowStt" localSheetId="4">#REF!</definedName>
    <definedName name="CashflowStt" localSheetId="20">#REF!</definedName>
    <definedName name="CashflowStt">#REF!</definedName>
    <definedName name="Category_All" localSheetId="7">#REF!</definedName>
    <definedName name="Category_All" localSheetId="15">#REF!</definedName>
    <definedName name="Category_All" localSheetId="1">#REF!</definedName>
    <definedName name="Category_All" localSheetId="18">#REF!</definedName>
    <definedName name="Category_All" localSheetId="16">#REF!</definedName>
    <definedName name="Category_All" localSheetId="6">#REF!</definedName>
    <definedName name="Category_All" localSheetId="3">#REF!</definedName>
    <definedName name="Category_All" localSheetId="17">#REF!</definedName>
    <definedName name="Category_All" localSheetId="8">#REF!</definedName>
    <definedName name="Category_All" localSheetId="4">#REF!</definedName>
    <definedName name="Category_All" localSheetId="20">#REF!</definedName>
    <definedName name="Category_All">#REF!</definedName>
    <definedName name="CATIN">#N/A</definedName>
    <definedName name="CATJYOU">#N/A</definedName>
    <definedName name="CATREC">#N/A</definedName>
    <definedName name="CATSYU">#N/A</definedName>
    <definedName name="cc">[13]gVL!$N$38</definedName>
    <definedName name="ccabsegment">"$#REF!.$#REF!$#REF!:$#REF!$#REF!"</definedName>
    <definedName name="CCS" localSheetId="7">#REF!</definedName>
    <definedName name="CCS" localSheetId="15">#REF!</definedName>
    <definedName name="CCS" localSheetId="1">#REF!</definedName>
    <definedName name="CCS" localSheetId="18">#REF!</definedName>
    <definedName name="CCS" localSheetId="16">#REF!</definedName>
    <definedName name="CCS" localSheetId="6">#REF!</definedName>
    <definedName name="CCS" localSheetId="3">#REF!</definedName>
    <definedName name="CCS" localSheetId="17">#REF!</definedName>
    <definedName name="CCS" localSheetId="8">#REF!</definedName>
    <definedName name="CCS" localSheetId="4">#REF!</definedName>
    <definedName name="CCS" localSheetId="20">#REF!</definedName>
    <definedName name="CCS">#REF!</definedName>
    <definedName name="cd">[13]gVL!$N$15</definedName>
    <definedName name="CDD" localSheetId="7">#REF!</definedName>
    <definedName name="CDD" localSheetId="15">#REF!</definedName>
    <definedName name="CDD" localSheetId="1">#REF!</definedName>
    <definedName name="CDD" localSheetId="18">#REF!</definedName>
    <definedName name="CDD" localSheetId="16">#REF!</definedName>
    <definedName name="CDD" localSheetId="6">#REF!</definedName>
    <definedName name="CDD" localSheetId="3">#REF!</definedName>
    <definedName name="CDD" localSheetId="17">#REF!</definedName>
    <definedName name="CDD" localSheetId="8">#REF!</definedName>
    <definedName name="CDD" localSheetId="4">#REF!</definedName>
    <definedName name="CDD" localSheetId="20">#REF!</definedName>
    <definedName name="CDD">#REF!</definedName>
    <definedName name="CDDD" localSheetId="7">#REF!</definedName>
    <definedName name="CDDD" localSheetId="15">#REF!</definedName>
    <definedName name="CDDD" localSheetId="1">#REF!</definedName>
    <definedName name="CDDD" localSheetId="18">#REF!</definedName>
    <definedName name="CDDD" localSheetId="16">#REF!</definedName>
    <definedName name="CDDD" localSheetId="6">#REF!</definedName>
    <definedName name="CDDD" localSheetId="3">#REF!</definedName>
    <definedName name="CDDD" localSheetId="17">#REF!</definedName>
    <definedName name="CDDD" localSheetId="8">#REF!</definedName>
    <definedName name="CDDD" localSheetId="4">#REF!</definedName>
    <definedName name="CDDD" localSheetId="20">#REF!</definedName>
    <definedName name="CDDD">#REF!</definedName>
    <definedName name="cdf" localSheetId="7">'2018-2022'!cdf</definedName>
    <definedName name="cdf" localSheetId="15">'2018-2022 SF'!cdf</definedName>
    <definedName name="cdf" localSheetId="16">B!cdf</definedName>
    <definedName name="cdf" localSheetId="5">[17]!cdf</definedName>
    <definedName name="cdf" localSheetId="3">[17]!cdf</definedName>
    <definedName name="cdf" localSheetId="17">[17]!cdf</definedName>
    <definedName name="cdf" localSheetId="8">[17]!cdf</definedName>
    <definedName name="cdf" localSheetId="4">Reconciliation!cdf</definedName>
    <definedName name="cdf" localSheetId="2">'Summary 2018 - MF'!cdf</definedName>
    <definedName name="cdf">[0]!cdf</definedName>
    <definedName name="cdf_10" localSheetId="7">'2018-2022'!cdf_10</definedName>
    <definedName name="cdf_10" localSheetId="15">'2018-2022 SF'!cdf_10</definedName>
    <definedName name="cdf_10" localSheetId="16">B!cdf_10</definedName>
    <definedName name="cdf_10" localSheetId="5">[17]!cdf_10</definedName>
    <definedName name="cdf_10" localSheetId="3">[17]!cdf_10</definedName>
    <definedName name="cdf_10" localSheetId="17">[17]!cdf_10</definedName>
    <definedName name="cdf_10" localSheetId="8">[17]!cdf_10</definedName>
    <definedName name="cdf_10" localSheetId="4">Reconciliation!cdf_10</definedName>
    <definedName name="cdf_10" localSheetId="2">'Summary 2018 - MF'!cdf_10</definedName>
    <definedName name="cdf_10">[0]!cdf_10</definedName>
    <definedName name="CDHT" localSheetId="7">#REF!</definedName>
    <definedName name="CDHT" localSheetId="15">#REF!</definedName>
    <definedName name="CDHT" localSheetId="1">#REF!</definedName>
    <definedName name="CDHT" localSheetId="18">#REF!</definedName>
    <definedName name="CDHT" localSheetId="16">#REF!</definedName>
    <definedName name="CDHT" localSheetId="6">#REF!</definedName>
    <definedName name="CDHT" localSheetId="5">#REF!</definedName>
    <definedName name="CDHT" localSheetId="3">#REF!</definedName>
    <definedName name="CDHT" localSheetId="17">#REF!</definedName>
    <definedName name="CDHT" localSheetId="8">#REF!</definedName>
    <definedName name="CDHT" localSheetId="4">#REF!</definedName>
    <definedName name="CDHT" localSheetId="20">#REF!</definedName>
    <definedName name="CDHT">#REF!</definedName>
    <definedName name="CDHT_ST" localSheetId="7">#REF!</definedName>
    <definedName name="CDHT_ST" localSheetId="15">#REF!</definedName>
    <definedName name="CDHT_ST" localSheetId="1">#REF!</definedName>
    <definedName name="CDHT_ST" localSheetId="18">#REF!</definedName>
    <definedName name="CDHT_ST" localSheetId="16">#REF!</definedName>
    <definedName name="CDHT_ST" localSheetId="6">#REF!</definedName>
    <definedName name="CDHT_ST" localSheetId="5">#REF!</definedName>
    <definedName name="CDHT_ST" localSheetId="3">#REF!</definedName>
    <definedName name="CDHT_ST" localSheetId="17">#REF!</definedName>
    <definedName name="CDHT_ST" localSheetId="8">#REF!</definedName>
    <definedName name="CDHT_ST" localSheetId="4">#REF!</definedName>
    <definedName name="CDHT_ST" localSheetId="20">#REF!</definedName>
    <definedName name="CDHT_ST">#REF!</definedName>
    <definedName name="CDHT_VAT" localSheetId="7">#REF!</definedName>
    <definedName name="CDHT_VAT" localSheetId="15">#REF!</definedName>
    <definedName name="CDHT_VAT" localSheetId="1">#REF!</definedName>
    <definedName name="CDHT_VAT" localSheetId="18">#REF!</definedName>
    <definedName name="CDHT_VAT" localSheetId="16">#REF!</definedName>
    <definedName name="CDHT_VAT" localSheetId="6">#REF!</definedName>
    <definedName name="CDHT_VAT" localSheetId="5">#REF!</definedName>
    <definedName name="CDHT_VAT" localSheetId="3">#REF!</definedName>
    <definedName name="CDHT_VAT" localSheetId="17">#REF!</definedName>
    <definedName name="CDHT_VAT" localSheetId="8">#REF!</definedName>
    <definedName name="CDHT_VAT" localSheetId="4">#REF!</definedName>
    <definedName name="CDHT_VAT" localSheetId="20">#REF!</definedName>
    <definedName name="CDHT_VAT">#REF!</definedName>
    <definedName name="CDKT_KYKT" localSheetId="5">[7]CDKT!$E$1</definedName>
    <definedName name="CDKT_KYKT" localSheetId="3">[7]CDKT!$E$1</definedName>
    <definedName name="CDKT_KYKT" localSheetId="17">[7]CDKT!$E$1</definedName>
    <definedName name="CDKT_KYKT" localSheetId="8">[7]CDKT!$E$1</definedName>
    <definedName name="CDKT_KYKT">[7]CDKT!$E$1</definedName>
    <definedName name="CDPS1" localSheetId="5">[7]CDPS2!$A$10:$P$150</definedName>
    <definedName name="CDPS1" localSheetId="3">[7]CDPS2!$A$10:$P$150</definedName>
    <definedName name="CDPS1" localSheetId="17">[7]CDPS2!$A$10:$P$150</definedName>
    <definedName name="CDPS1" localSheetId="8">[7]CDPS2!$A$10:$P$150</definedName>
    <definedName name="CDPS1">[7]CDPS2!$A$10:$P$150</definedName>
    <definedName name="CDPS2" localSheetId="5">[7]CDPS2!$B$10:$P$150</definedName>
    <definedName name="CDPS2" localSheetId="3">[7]CDPS2!$B$10:$P$150</definedName>
    <definedName name="CDPS2" localSheetId="17">[7]CDPS2!$B$10:$P$150</definedName>
    <definedName name="CDPS2" localSheetId="8">[7]CDPS2!$B$10:$P$150</definedName>
    <definedName name="CDPS2">[7]CDPS2!$B$10:$P$150</definedName>
    <definedName name="CDPS2_CKC" localSheetId="5">[7]CDPS2!$P$11:$P$150</definedName>
    <definedName name="CDPS2_CKC" localSheetId="3">[7]CDPS2!$P$11:$P$150</definedName>
    <definedName name="CDPS2_CKC" localSheetId="17">[7]CDPS2!$P$11:$P$150</definedName>
    <definedName name="CDPS2_CKC" localSheetId="8">[7]CDPS2!$P$11:$P$150</definedName>
    <definedName name="CDPS2_CKC">[7]CDPS2!$P$11:$P$150</definedName>
    <definedName name="CDPS2_CKN" localSheetId="5">[7]CDPS2!$O$11:$O$150</definedName>
    <definedName name="CDPS2_CKN" localSheetId="3">[7]CDPS2!$O$11:$O$150</definedName>
    <definedName name="CDPS2_CKN" localSheetId="17">[7]CDPS2!$O$11:$O$150</definedName>
    <definedName name="CDPS2_CKN" localSheetId="8">[7]CDPS2!$O$11:$O$150</definedName>
    <definedName name="CDPS2_CKN">[7]CDPS2!$O$11:$O$150</definedName>
    <definedName name="CDPS2_KC" localSheetId="5">[7]CDPS2!$N$1</definedName>
    <definedName name="CDPS2_KC" localSheetId="3">[7]CDPS2!$N$1</definedName>
    <definedName name="CDPS2_KC" localSheetId="17">[7]CDPS2!$N$1</definedName>
    <definedName name="CDPS2_KC" localSheetId="8">[7]CDPS2!$N$1</definedName>
    <definedName name="CDPS2_KC">[7]CDPS2!$N$1</definedName>
    <definedName name="CDPS2_KD" localSheetId="5">[7]CDPS2!$L$1</definedName>
    <definedName name="CDPS2_KD" localSheetId="3">[7]CDPS2!$L$1</definedName>
    <definedName name="CDPS2_KD" localSheetId="17">[7]CDPS2!$L$1</definedName>
    <definedName name="CDPS2_KD" localSheetId="8">[7]CDPS2!$L$1</definedName>
    <definedName name="CDPS2_KD">[7]CDPS2!$L$1</definedName>
    <definedName name="CDPS2_TK1" localSheetId="5">[7]CDPS2!$A$11:$A$150</definedName>
    <definedName name="CDPS2_TK1" localSheetId="3">[7]CDPS2!$A$11:$A$150</definedName>
    <definedName name="CDPS2_TK1" localSheetId="17">[7]CDPS2!$A$11:$A$150</definedName>
    <definedName name="CDPS2_TK1" localSheetId="8">[7]CDPS2!$A$11:$A$150</definedName>
    <definedName name="CDPS2_TK1">[7]CDPS2!$A$11:$A$150</definedName>
    <definedName name="cdsegment">"$#REF!.$#REF!$#REF!:$#REF!$#REF!"</definedName>
    <definedName name="CELLNOTE10" localSheetId="7">[26]노무비!#REF!</definedName>
    <definedName name="CELLNOTE10" localSheetId="15">[26]노무비!#REF!</definedName>
    <definedName name="CELLNOTE10" localSheetId="1">[26]노무비!#REF!</definedName>
    <definedName name="CELLNOTE10" localSheetId="18">[26]노무비!#REF!</definedName>
    <definedName name="CELLNOTE10" localSheetId="16">[26]노무비!#REF!</definedName>
    <definedName name="CELLNOTE10" localSheetId="6">[26]노무비!#REF!</definedName>
    <definedName name="CELLNOTE10" localSheetId="5">[26]노무비!#REF!</definedName>
    <definedName name="CELLNOTE10" localSheetId="3">[26]노무비!#REF!</definedName>
    <definedName name="CELLNOTE10" localSheetId="17">[26]노무비!#REF!</definedName>
    <definedName name="CELLNOTE10" localSheetId="8">[26]노무비!#REF!</definedName>
    <definedName name="CELLNOTE10" localSheetId="4">[26]노무비!#REF!</definedName>
    <definedName name="CELLNOTE10" localSheetId="20">[26]노무비!#REF!</definedName>
    <definedName name="CELLNOTE10">[26]노무비!#REF!</definedName>
    <definedName name="CELLNOTE4" localSheetId="7">[27]노무비!#REF!</definedName>
    <definedName name="CELLNOTE4" localSheetId="15">[27]노무비!#REF!</definedName>
    <definedName name="CELLNOTE4" localSheetId="1">[27]노무비!#REF!</definedName>
    <definedName name="CELLNOTE4" localSheetId="18">[27]노무비!#REF!</definedName>
    <definedName name="CELLNOTE4" localSheetId="16">[27]노무비!#REF!</definedName>
    <definedName name="CELLNOTE4" localSheetId="6">[27]노무비!#REF!</definedName>
    <definedName name="CELLNOTE4" localSheetId="5">[27]노무비!#REF!</definedName>
    <definedName name="CELLNOTE4" localSheetId="3">[27]노무비!#REF!</definedName>
    <definedName name="CELLNOTE4" localSheetId="17">[27]노무비!#REF!</definedName>
    <definedName name="CELLNOTE4" localSheetId="8">[27]노무비!#REF!</definedName>
    <definedName name="CELLNOTE4" localSheetId="4">[27]노무비!#REF!</definedName>
    <definedName name="CELLNOTE4" localSheetId="20">[27]노무비!#REF!</definedName>
    <definedName name="CELLNOTE4">[27]노무비!#REF!</definedName>
    <definedName name="CELLNOTE5" localSheetId="7">[28]노무비!#REF!</definedName>
    <definedName name="CELLNOTE5" localSheetId="15">[28]노무비!#REF!</definedName>
    <definedName name="CELLNOTE5" localSheetId="1">[28]노무비!#REF!</definedName>
    <definedName name="CELLNOTE5" localSheetId="18">[28]노무비!#REF!</definedName>
    <definedName name="CELLNOTE5" localSheetId="16">[28]노무비!#REF!</definedName>
    <definedName name="CELLNOTE5" localSheetId="6">[28]노무비!#REF!</definedName>
    <definedName name="CELLNOTE5" localSheetId="5">[28]노무비!#REF!</definedName>
    <definedName name="CELLNOTE5" localSheetId="3">[28]노무비!#REF!</definedName>
    <definedName name="CELLNOTE5" localSheetId="17">[28]노무비!#REF!</definedName>
    <definedName name="CELLNOTE5" localSheetId="8">[28]노무비!#REF!</definedName>
    <definedName name="CELLNOTE5" localSheetId="4">[28]노무비!#REF!</definedName>
    <definedName name="CELLNOTE5" localSheetId="20">[28]노무비!#REF!</definedName>
    <definedName name="CELLNOTE5">[28]노무비!#REF!</definedName>
    <definedName name="CELLNOTE6" localSheetId="7">[27]노무비!#REF!</definedName>
    <definedName name="CELLNOTE6" localSheetId="15">[27]노무비!#REF!</definedName>
    <definedName name="CELLNOTE6" localSheetId="1">[27]노무비!#REF!</definedName>
    <definedName name="CELLNOTE6" localSheetId="18">[27]노무비!#REF!</definedName>
    <definedName name="CELLNOTE6" localSheetId="16">[27]노무비!#REF!</definedName>
    <definedName name="CELLNOTE6" localSheetId="6">[27]노무비!#REF!</definedName>
    <definedName name="CELLNOTE6" localSheetId="5">[27]노무비!#REF!</definedName>
    <definedName name="CELLNOTE6" localSheetId="3">[27]노무비!#REF!</definedName>
    <definedName name="CELLNOTE6" localSheetId="17">[27]노무비!#REF!</definedName>
    <definedName name="CELLNOTE6" localSheetId="8">[27]노무비!#REF!</definedName>
    <definedName name="CELLNOTE6" localSheetId="4">[27]노무비!#REF!</definedName>
    <definedName name="CELLNOTE6" localSheetId="20">[27]노무비!#REF!</definedName>
    <definedName name="CELLNOTE6">[27]노무비!#REF!</definedName>
    <definedName name="CELLNOTE8" localSheetId="7">[29]노무비!#REF!</definedName>
    <definedName name="CELLNOTE8" localSheetId="15">[29]노무비!#REF!</definedName>
    <definedName name="CELLNOTE8" localSheetId="1">[29]노무비!#REF!</definedName>
    <definedName name="CELLNOTE8" localSheetId="18">[29]노무비!#REF!</definedName>
    <definedName name="CELLNOTE8" localSheetId="16">[29]노무비!#REF!</definedName>
    <definedName name="CELLNOTE8" localSheetId="6">[29]노무비!#REF!</definedName>
    <definedName name="CELLNOTE8" localSheetId="5">[29]노무비!#REF!</definedName>
    <definedName name="CELLNOTE8" localSheetId="3">[29]노무비!#REF!</definedName>
    <definedName name="CELLNOTE8" localSheetId="17">[29]노무비!#REF!</definedName>
    <definedName name="CELLNOTE8" localSheetId="8">[29]노무비!#REF!</definedName>
    <definedName name="CELLNOTE8" localSheetId="4">[29]노무비!#REF!</definedName>
    <definedName name="CELLNOTE8" localSheetId="20">[29]노무비!#REF!</definedName>
    <definedName name="CELLNOTE8">[29]노무비!#REF!</definedName>
    <definedName name="CF_AccruedExpenses" localSheetId="7">#REF!</definedName>
    <definedName name="CF_AccruedExpenses" localSheetId="15">#REF!</definedName>
    <definedName name="CF_AccruedExpenses" localSheetId="1">#REF!</definedName>
    <definedName name="CF_AccruedExpenses" localSheetId="18">#REF!</definedName>
    <definedName name="CF_AccruedExpenses" localSheetId="16">#REF!</definedName>
    <definedName name="CF_AccruedExpenses" localSheetId="6">#REF!</definedName>
    <definedName name="CF_AccruedExpenses" localSheetId="5">#REF!</definedName>
    <definedName name="CF_AccruedExpenses" localSheetId="3">#REF!</definedName>
    <definedName name="CF_AccruedExpenses" localSheetId="17">#REF!</definedName>
    <definedName name="CF_AccruedExpenses" localSheetId="8">#REF!</definedName>
    <definedName name="CF_AccruedExpenses" localSheetId="4">#REF!</definedName>
    <definedName name="CF_AccruedExpenses" localSheetId="20">#REF!</definedName>
    <definedName name="CF_AccruedExpenses">#REF!</definedName>
    <definedName name="CF_Cash" localSheetId="7">#REF!</definedName>
    <definedName name="CF_Cash" localSheetId="15">#REF!</definedName>
    <definedName name="CF_Cash" localSheetId="1">#REF!</definedName>
    <definedName name="CF_Cash" localSheetId="18">#REF!</definedName>
    <definedName name="CF_Cash" localSheetId="16">#REF!</definedName>
    <definedName name="CF_Cash" localSheetId="6">#REF!</definedName>
    <definedName name="CF_Cash" localSheetId="5">#REF!</definedName>
    <definedName name="CF_Cash" localSheetId="3">#REF!</definedName>
    <definedName name="CF_Cash" localSheetId="17">#REF!</definedName>
    <definedName name="CF_Cash" localSheetId="8">#REF!</definedName>
    <definedName name="CF_Cash" localSheetId="4">#REF!</definedName>
    <definedName name="CF_Cash" localSheetId="20">#REF!</definedName>
    <definedName name="CF_Cash">#REF!</definedName>
    <definedName name="CF_CurrentLTDebit" localSheetId="7">#REF!</definedName>
    <definedName name="CF_CurrentLTDebit" localSheetId="15">#REF!</definedName>
    <definedName name="CF_CurrentLTDebit" localSheetId="1">#REF!</definedName>
    <definedName name="CF_CurrentLTDebit" localSheetId="18">#REF!</definedName>
    <definedName name="CF_CurrentLTDebit" localSheetId="16">#REF!</definedName>
    <definedName name="CF_CurrentLTDebit" localSheetId="6">#REF!</definedName>
    <definedName name="CF_CurrentLTDebit" localSheetId="5">#REF!</definedName>
    <definedName name="CF_CurrentLTDebit" localSheetId="3">#REF!</definedName>
    <definedName name="CF_CurrentLTDebit" localSheetId="17">#REF!</definedName>
    <definedName name="CF_CurrentLTDebit" localSheetId="8">#REF!</definedName>
    <definedName name="CF_CurrentLTDebit" localSheetId="4">#REF!</definedName>
    <definedName name="CF_CurrentLTDebit" localSheetId="20">#REF!</definedName>
    <definedName name="CF_CurrentLTDebit">#REF!</definedName>
    <definedName name="CF_DeferredTax" localSheetId="7">#REF!</definedName>
    <definedName name="CF_DeferredTax" localSheetId="15">#REF!</definedName>
    <definedName name="CF_DeferredTax" localSheetId="1">#REF!</definedName>
    <definedName name="CF_DeferredTax" localSheetId="18">#REF!</definedName>
    <definedName name="CF_DeferredTax" localSheetId="16">#REF!</definedName>
    <definedName name="CF_DeferredTax" localSheetId="6">#REF!</definedName>
    <definedName name="CF_DeferredTax" localSheetId="5">#REF!</definedName>
    <definedName name="CF_DeferredTax" localSheetId="3">#REF!</definedName>
    <definedName name="CF_DeferredTax" localSheetId="17">#REF!</definedName>
    <definedName name="CF_DeferredTax" localSheetId="8">#REF!</definedName>
    <definedName name="CF_DeferredTax" localSheetId="4">#REF!</definedName>
    <definedName name="CF_DeferredTax" localSheetId="20">#REF!</definedName>
    <definedName name="CF_DeferredTax">#REF!</definedName>
    <definedName name="CF_Dividends" localSheetId="7">#REF!</definedName>
    <definedName name="CF_Dividends" localSheetId="15">#REF!</definedName>
    <definedName name="CF_Dividends" localSheetId="1">#REF!</definedName>
    <definedName name="CF_Dividends" localSheetId="18">#REF!</definedName>
    <definedName name="CF_Dividends" localSheetId="16">#REF!</definedName>
    <definedName name="CF_Dividends" localSheetId="6">#REF!</definedName>
    <definedName name="CF_Dividends" localSheetId="5">#REF!</definedName>
    <definedName name="CF_Dividends" localSheetId="3">#REF!</definedName>
    <definedName name="CF_Dividends" localSheetId="17">#REF!</definedName>
    <definedName name="CF_Dividends" localSheetId="8">#REF!</definedName>
    <definedName name="CF_Dividends" localSheetId="4">#REF!</definedName>
    <definedName name="CF_Dividends" localSheetId="20">#REF!</definedName>
    <definedName name="CF_Dividends">#REF!</definedName>
    <definedName name="CF_Intangibles" localSheetId="7">#REF!</definedName>
    <definedName name="CF_Intangibles" localSheetId="15">#REF!</definedName>
    <definedName name="CF_Intangibles" localSheetId="1">#REF!</definedName>
    <definedName name="CF_Intangibles" localSheetId="18">#REF!</definedName>
    <definedName name="CF_Intangibles" localSheetId="16">#REF!</definedName>
    <definedName name="CF_Intangibles" localSheetId="6">#REF!</definedName>
    <definedName name="CF_Intangibles" localSheetId="5">#REF!</definedName>
    <definedName name="CF_Intangibles" localSheetId="3">#REF!</definedName>
    <definedName name="CF_Intangibles" localSheetId="17">#REF!</definedName>
    <definedName name="CF_Intangibles" localSheetId="8">#REF!</definedName>
    <definedName name="CF_Intangibles" localSheetId="4">#REF!</definedName>
    <definedName name="CF_Intangibles" localSheetId="20">#REF!</definedName>
    <definedName name="CF_Intangibles">#REF!</definedName>
    <definedName name="CF_Inventories" localSheetId="7">#REF!</definedName>
    <definedName name="CF_Inventories" localSheetId="15">#REF!</definedName>
    <definedName name="CF_Inventories" localSheetId="1">#REF!</definedName>
    <definedName name="CF_Inventories" localSheetId="18">#REF!</definedName>
    <definedName name="CF_Inventories" localSheetId="16">#REF!</definedName>
    <definedName name="CF_Inventories" localSheetId="6">#REF!</definedName>
    <definedName name="CF_Inventories" localSheetId="5">#REF!</definedName>
    <definedName name="CF_Inventories" localSheetId="3">#REF!</definedName>
    <definedName name="CF_Inventories" localSheetId="17">#REF!</definedName>
    <definedName name="CF_Inventories" localSheetId="8">#REF!</definedName>
    <definedName name="CF_Inventories" localSheetId="4">#REF!</definedName>
    <definedName name="CF_Inventories" localSheetId="20">#REF!</definedName>
    <definedName name="CF_Inventories">#REF!</definedName>
    <definedName name="CF_Investments" localSheetId="7">#REF!</definedName>
    <definedName name="CF_Investments" localSheetId="15">#REF!</definedName>
    <definedName name="CF_Investments" localSheetId="1">#REF!</definedName>
    <definedName name="CF_Investments" localSheetId="18">#REF!</definedName>
    <definedName name="CF_Investments" localSheetId="16">#REF!</definedName>
    <definedName name="CF_Investments" localSheetId="6">#REF!</definedName>
    <definedName name="CF_Investments" localSheetId="5">#REF!</definedName>
    <definedName name="CF_Investments" localSheetId="3">#REF!</definedName>
    <definedName name="CF_Investments" localSheetId="17">#REF!</definedName>
    <definedName name="CF_Investments" localSheetId="8">#REF!</definedName>
    <definedName name="CF_Investments" localSheetId="4">#REF!</definedName>
    <definedName name="CF_Investments" localSheetId="20">#REF!</definedName>
    <definedName name="CF_Investments">#REF!</definedName>
    <definedName name="CF_LTDebt" localSheetId="7">#REF!</definedName>
    <definedName name="CF_LTDebt" localSheetId="15">#REF!</definedName>
    <definedName name="CF_LTDebt" localSheetId="1">#REF!</definedName>
    <definedName name="CF_LTDebt" localSheetId="18">#REF!</definedName>
    <definedName name="CF_LTDebt" localSheetId="16">#REF!</definedName>
    <definedName name="CF_LTDebt" localSheetId="6">#REF!</definedName>
    <definedName name="CF_LTDebt" localSheetId="5">#REF!</definedName>
    <definedName name="CF_LTDebt" localSheetId="3">#REF!</definedName>
    <definedName name="CF_LTDebt" localSheetId="17">#REF!</definedName>
    <definedName name="CF_LTDebt" localSheetId="8">#REF!</definedName>
    <definedName name="CF_LTDebt" localSheetId="4">#REF!</definedName>
    <definedName name="CF_LTDebt" localSheetId="20">#REF!</definedName>
    <definedName name="CF_LTDebt">#REF!</definedName>
    <definedName name="CF_NetIncome" localSheetId="7">#REF!</definedName>
    <definedName name="CF_NetIncome" localSheetId="15">#REF!</definedName>
    <definedName name="CF_NetIncome" localSheetId="1">#REF!</definedName>
    <definedName name="CF_NetIncome" localSheetId="18">#REF!</definedName>
    <definedName name="CF_NetIncome" localSheetId="16">#REF!</definedName>
    <definedName name="CF_NetIncome" localSheetId="6">#REF!</definedName>
    <definedName name="CF_NetIncome" localSheetId="5">#REF!</definedName>
    <definedName name="CF_NetIncome" localSheetId="3">#REF!</definedName>
    <definedName name="CF_NetIncome" localSheetId="17">#REF!</definedName>
    <definedName name="CF_NetIncome" localSheetId="8">#REF!</definedName>
    <definedName name="CF_NetIncome" localSheetId="4">#REF!</definedName>
    <definedName name="CF_NetIncome" localSheetId="20">#REF!</definedName>
    <definedName name="CF_NetIncome">#REF!</definedName>
    <definedName name="CF_Payables" localSheetId="7">#REF!</definedName>
    <definedName name="CF_Payables" localSheetId="15">#REF!</definedName>
    <definedName name="CF_Payables" localSheetId="1">#REF!</definedName>
    <definedName name="CF_Payables" localSheetId="18">#REF!</definedName>
    <definedName name="CF_Payables" localSheetId="16">#REF!</definedName>
    <definedName name="CF_Payables" localSheetId="6">#REF!</definedName>
    <definedName name="CF_Payables" localSheetId="5">#REF!</definedName>
    <definedName name="CF_Payables" localSheetId="3">#REF!</definedName>
    <definedName name="CF_Payables" localSheetId="17">#REF!</definedName>
    <definedName name="CF_Payables" localSheetId="8">#REF!</definedName>
    <definedName name="CF_Payables" localSheetId="4">#REF!</definedName>
    <definedName name="CF_Payables" localSheetId="20">#REF!</definedName>
    <definedName name="CF_Payables">#REF!</definedName>
    <definedName name="CF_PrepaidExpenses" localSheetId="7">#REF!</definedName>
    <definedName name="CF_PrepaidExpenses" localSheetId="15">#REF!</definedName>
    <definedName name="CF_PrepaidExpenses" localSheetId="1">#REF!</definedName>
    <definedName name="CF_PrepaidExpenses" localSheetId="18">#REF!</definedName>
    <definedName name="CF_PrepaidExpenses" localSheetId="16">#REF!</definedName>
    <definedName name="CF_PrepaidExpenses" localSheetId="6">#REF!</definedName>
    <definedName name="CF_PrepaidExpenses" localSheetId="5">#REF!</definedName>
    <definedName name="CF_PrepaidExpenses" localSheetId="3">#REF!</definedName>
    <definedName name="CF_PrepaidExpenses" localSheetId="17">#REF!</definedName>
    <definedName name="CF_PrepaidExpenses" localSheetId="8">#REF!</definedName>
    <definedName name="CF_PrepaidExpenses" localSheetId="4">#REF!</definedName>
    <definedName name="CF_PrepaidExpenses" localSheetId="20">#REF!</definedName>
    <definedName name="CF_PrepaidExpenses">#REF!</definedName>
    <definedName name="CF_Property" localSheetId="7">#REF!</definedName>
    <definedName name="CF_Property" localSheetId="15">#REF!</definedName>
    <definedName name="CF_Property" localSheetId="1">#REF!</definedName>
    <definedName name="CF_Property" localSheetId="18">#REF!</definedName>
    <definedName name="CF_Property" localSheetId="16">#REF!</definedName>
    <definedName name="CF_Property" localSheetId="6">#REF!</definedName>
    <definedName name="CF_Property" localSheetId="5">#REF!</definedName>
    <definedName name="CF_Property" localSheetId="3">#REF!</definedName>
    <definedName name="CF_Property" localSheetId="17">#REF!</definedName>
    <definedName name="CF_Property" localSheetId="8">#REF!</definedName>
    <definedName name="CF_Property" localSheetId="4">#REF!</definedName>
    <definedName name="CF_Property" localSheetId="20">#REF!</definedName>
    <definedName name="CF_Property">#REF!</definedName>
    <definedName name="CF_Receivables" localSheetId="7">#REF!</definedName>
    <definedName name="CF_Receivables" localSheetId="15">#REF!</definedName>
    <definedName name="CF_Receivables" localSheetId="1">#REF!</definedName>
    <definedName name="CF_Receivables" localSheetId="18">#REF!</definedName>
    <definedName name="CF_Receivables" localSheetId="16">#REF!</definedName>
    <definedName name="CF_Receivables" localSheetId="6">#REF!</definedName>
    <definedName name="CF_Receivables" localSheetId="5">#REF!</definedName>
    <definedName name="CF_Receivables" localSheetId="3">#REF!</definedName>
    <definedName name="CF_Receivables" localSheetId="17">#REF!</definedName>
    <definedName name="CF_Receivables" localSheetId="8">#REF!</definedName>
    <definedName name="CF_Receivables" localSheetId="4">#REF!</definedName>
    <definedName name="CF_Receivables" localSheetId="20">#REF!</definedName>
    <definedName name="CF_Receivables">#REF!</definedName>
    <definedName name="CF_Shares" localSheetId="7">#REF!</definedName>
    <definedName name="CF_Shares" localSheetId="15">#REF!</definedName>
    <definedName name="CF_Shares" localSheetId="1">#REF!</definedName>
    <definedName name="CF_Shares" localSheetId="18">#REF!</definedName>
    <definedName name="CF_Shares" localSheetId="16">#REF!</definedName>
    <definedName name="CF_Shares" localSheetId="6">#REF!</definedName>
    <definedName name="CF_Shares" localSheetId="5">#REF!</definedName>
    <definedName name="CF_Shares" localSheetId="3">#REF!</definedName>
    <definedName name="CF_Shares" localSheetId="17">#REF!</definedName>
    <definedName name="CF_Shares" localSheetId="8">#REF!</definedName>
    <definedName name="CF_Shares" localSheetId="4">#REF!</definedName>
    <definedName name="CF_Shares" localSheetId="20">#REF!</definedName>
    <definedName name="CF_Shares">#REF!</definedName>
    <definedName name="CF_Taxation" localSheetId="7">#REF!</definedName>
    <definedName name="CF_Taxation" localSheetId="15">#REF!</definedName>
    <definedName name="CF_Taxation" localSheetId="1">#REF!</definedName>
    <definedName name="CF_Taxation" localSheetId="18">#REF!</definedName>
    <definedName name="CF_Taxation" localSheetId="16">#REF!</definedName>
    <definedName name="CF_Taxation" localSheetId="6">#REF!</definedName>
    <definedName name="CF_Taxation" localSheetId="5">#REF!</definedName>
    <definedName name="CF_Taxation" localSheetId="3">#REF!</definedName>
    <definedName name="CF_Taxation" localSheetId="17">#REF!</definedName>
    <definedName name="CF_Taxation" localSheetId="8">#REF!</definedName>
    <definedName name="CF_Taxation" localSheetId="4">#REF!</definedName>
    <definedName name="CF_Taxation" localSheetId="20">#REF!</definedName>
    <definedName name="CF_Taxation">#REF!</definedName>
    <definedName name="cfdd" localSheetId="7">[26]노무비!#REF!</definedName>
    <definedName name="cfdd" localSheetId="15">[26]노무비!#REF!</definedName>
    <definedName name="cfdd" localSheetId="1">[26]노무비!#REF!</definedName>
    <definedName name="cfdd" localSheetId="18">[26]노무비!#REF!</definedName>
    <definedName name="cfdd" localSheetId="16">[26]노무비!#REF!</definedName>
    <definedName name="cfdd" localSheetId="6">[26]노무비!#REF!</definedName>
    <definedName name="cfdd" localSheetId="5">[26]노무비!#REF!</definedName>
    <definedName name="cfdd" localSheetId="3">[26]노무비!#REF!</definedName>
    <definedName name="cfdd" localSheetId="17">[26]노무비!#REF!</definedName>
    <definedName name="cfdd" localSheetId="8">[26]노무비!#REF!</definedName>
    <definedName name="cfdd" localSheetId="4">[26]노무비!#REF!</definedName>
    <definedName name="cfdd" localSheetId="20">[26]노무비!#REF!</definedName>
    <definedName name="cfdd">[26]노무비!#REF!</definedName>
    <definedName name="CH" localSheetId="7">[12]TN!#REF!</definedName>
    <definedName name="CH" localSheetId="15">[12]TN!#REF!</definedName>
    <definedName name="CH" localSheetId="1">[12]TN!#REF!</definedName>
    <definedName name="CH" localSheetId="18">[12]TN!#REF!</definedName>
    <definedName name="CH" localSheetId="16">[12]TN!#REF!</definedName>
    <definedName name="CH" localSheetId="6">[12]TN!#REF!</definedName>
    <definedName name="CH" localSheetId="5">[12]TN!#REF!</definedName>
    <definedName name="CH" localSheetId="3">[12]TN!#REF!</definedName>
    <definedName name="CH" localSheetId="17">[12]TN!#REF!</definedName>
    <definedName name="CH" localSheetId="8">[12]TN!#REF!</definedName>
    <definedName name="CH" localSheetId="4">[12]TN!#REF!</definedName>
    <definedName name="CH" localSheetId="20">[12]TN!#REF!</definedName>
    <definedName name="CH">[12]TN!#REF!</definedName>
    <definedName name="chart1" localSheetId="5">[30]ARDEBT!$IL$2:$IV$74</definedName>
    <definedName name="chart1" localSheetId="3">[30]ARDEBT!$IL$2:$IV$74</definedName>
    <definedName name="chart1" localSheetId="17">[30]ARDEBT!$IL$2:$IV$74</definedName>
    <definedName name="chart1" localSheetId="8">[30]ARDEBT!$IL$2:$IV$74</definedName>
    <definedName name="chart1">[30]ARDEBT!$IL$2:$IV$74</definedName>
    <definedName name="ChiPhiMM" localSheetId="7">#REF!</definedName>
    <definedName name="ChiPhiMM" localSheetId="15">#REF!</definedName>
    <definedName name="ChiPhiMM" localSheetId="1">#REF!</definedName>
    <definedName name="ChiPhiMM" localSheetId="18">#REF!</definedName>
    <definedName name="ChiPhiMM" localSheetId="16">#REF!</definedName>
    <definedName name="ChiPhiMM" localSheetId="6">#REF!</definedName>
    <definedName name="ChiPhiMM" localSheetId="5">#REF!</definedName>
    <definedName name="ChiPhiMM" localSheetId="3">#REF!</definedName>
    <definedName name="ChiPhiMM" localSheetId="17">#REF!</definedName>
    <definedName name="ChiPhiMM" localSheetId="8">#REF!</definedName>
    <definedName name="ChiPhiMM" localSheetId="4">#REF!</definedName>
    <definedName name="ChiPhiMM" localSheetId="20">#REF!</definedName>
    <definedName name="ChiPhiMM">#REF!</definedName>
    <definedName name="ChiPhiVanPhong" localSheetId="7">#REF!</definedName>
    <definedName name="ChiPhiVanPhong" localSheetId="15">#REF!</definedName>
    <definedName name="ChiPhiVanPhong" localSheetId="1">#REF!</definedName>
    <definedName name="ChiPhiVanPhong" localSheetId="18">#REF!</definedName>
    <definedName name="ChiPhiVanPhong" localSheetId="16">#REF!</definedName>
    <definedName name="ChiPhiVanPhong" localSheetId="6">#REF!</definedName>
    <definedName name="ChiPhiVanPhong" localSheetId="5">#REF!</definedName>
    <definedName name="ChiPhiVanPhong" localSheetId="3">#REF!</definedName>
    <definedName name="ChiPhiVanPhong" localSheetId="17">#REF!</definedName>
    <definedName name="ChiPhiVanPhong" localSheetId="8">#REF!</definedName>
    <definedName name="ChiPhiVanPhong" localSheetId="4">#REF!</definedName>
    <definedName name="ChiPhiVanPhong" localSheetId="20">#REF!</definedName>
    <definedName name="ChiPhiVanPhong">#REF!</definedName>
    <definedName name="Chu" localSheetId="7">[12]ND!#REF!</definedName>
    <definedName name="Chu" localSheetId="15">[12]ND!#REF!</definedName>
    <definedName name="Chu" localSheetId="1">[12]ND!#REF!</definedName>
    <definedName name="Chu" localSheetId="18">[12]ND!#REF!</definedName>
    <definedName name="Chu" localSheetId="16">[12]ND!#REF!</definedName>
    <definedName name="Chu" localSheetId="6">[12]ND!#REF!</definedName>
    <definedName name="Chu" localSheetId="5">[12]ND!#REF!</definedName>
    <definedName name="Chu" localSheetId="3">[12]ND!#REF!</definedName>
    <definedName name="Chu" localSheetId="17">[12]ND!#REF!</definedName>
    <definedName name="Chu" localSheetId="8">[12]ND!#REF!</definedName>
    <definedName name="Chu" localSheetId="4">[12]ND!#REF!</definedName>
    <definedName name="Chu" localSheetId="20">[12]ND!#REF!</definedName>
    <definedName name="Chu">[12]ND!#REF!</definedName>
    <definedName name="CHUATHUE" localSheetId="7">#REF!</definedName>
    <definedName name="CHUATHUE" localSheetId="15">#REF!</definedName>
    <definedName name="CHUATHUE" localSheetId="1">#REF!</definedName>
    <definedName name="CHUATHUE" localSheetId="18">#REF!</definedName>
    <definedName name="CHUATHUE" localSheetId="16">#REF!</definedName>
    <definedName name="CHUATHUE" localSheetId="6">#REF!</definedName>
    <definedName name="CHUATHUE" localSheetId="3">#REF!</definedName>
    <definedName name="CHUATHUE" localSheetId="17">#REF!</definedName>
    <definedName name="CHUATHUE" localSheetId="8">#REF!</definedName>
    <definedName name="CHUATHUE" localSheetId="4">#REF!</definedName>
    <definedName name="CHUATHUE" localSheetId="20">#REF!</definedName>
    <definedName name="CHUATHUE">#REF!</definedName>
    <definedName name="CLOSER">#N/A</definedName>
    <definedName name="CLVC3">0.1</definedName>
    <definedName name="cmdCancel">"Button 3"</definedName>
    <definedName name="CmdCancel_Click" localSheetId="7">'2018-2022'!CmdCancel_Click</definedName>
    <definedName name="CmdCancel_Click" localSheetId="15">'2018-2022 SF'!CmdCancel_Click</definedName>
    <definedName name="CmdCancel_Click" localSheetId="16">B!CmdCancel_Click</definedName>
    <definedName name="CmdCancel_Click" localSheetId="5">[17]!CmdCancel_Click</definedName>
    <definedName name="CmdCancel_Click" localSheetId="3">[17]!CmdCancel_Click</definedName>
    <definedName name="CmdCancel_Click" localSheetId="17">[17]!CmdCancel_Click</definedName>
    <definedName name="CmdCancel_Click" localSheetId="8">[17]!CmdCancel_Click</definedName>
    <definedName name="CmdCancel_Click" localSheetId="4">Reconciliation!CmdCancel_Click</definedName>
    <definedName name="CmdCancel_Click" localSheetId="2">'Summary 2018 - MF'!CmdCancel_Click</definedName>
    <definedName name="CmdCancel_Click">[0]!CmdCancel_Click</definedName>
    <definedName name="CmdCancel_Click_10" localSheetId="7">'2018-2022'!CmdCancel_Click_10</definedName>
    <definedName name="CmdCancel_Click_10" localSheetId="15">'2018-2022 SF'!CmdCancel_Click_10</definedName>
    <definedName name="CmdCancel_Click_10" localSheetId="16">B!CmdCancel_Click_10</definedName>
    <definedName name="CmdCancel_Click_10" localSheetId="5">[17]!CmdCancel_Click_10</definedName>
    <definedName name="CmdCancel_Click_10" localSheetId="3">[17]!CmdCancel_Click_10</definedName>
    <definedName name="CmdCancel_Click_10" localSheetId="17">[17]!CmdCancel_Click_10</definedName>
    <definedName name="CmdCancel_Click_10" localSheetId="8">[17]!CmdCancel_Click_10</definedName>
    <definedName name="CmdCancel_Click_10" localSheetId="4">Reconciliation!CmdCancel_Click_10</definedName>
    <definedName name="CmdCancel_Click_10" localSheetId="2">'Summary 2018 - MF'!CmdCancel_Click_10</definedName>
    <definedName name="CmdCancel_Click_10">[0]!CmdCancel_Click_10</definedName>
    <definedName name="cmdOK">"Button 2"</definedName>
    <definedName name="CmdOK_Click" localSheetId="7">'2018-2022'!CmdOK_Click</definedName>
    <definedName name="CmdOK_Click" localSheetId="15">'2018-2022 SF'!CmdOK_Click</definedName>
    <definedName name="CmdOK_Click" localSheetId="16">B!CmdOK_Click</definedName>
    <definedName name="CmdOK_Click" localSheetId="5">[17]!CmdOK_Click</definedName>
    <definedName name="CmdOK_Click" localSheetId="3">[17]!CmdOK_Click</definedName>
    <definedName name="CmdOK_Click" localSheetId="17">[17]!CmdOK_Click</definedName>
    <definedName name="CmdOK_Click" localSheetId="8">[17]!CmdOK_Click</definedName>
    <definedName name="CmdOK_Click" localSheetId="4">Reconciliation!CmdOK_Click</definedName>
    <definedName name="CmdOK_Click" localSheetId="2">'Summary 2018 - MF'!CmdOK_Click</definedName>
    <definedName name="CmdOK_Click">[0]!CmdOK_Click</definedName>
    <definedName name="CmdOK_Click_10" localSheetId="7">'2018-2022'!CmdOK_Click_10</definedName>
    <definedName name="CmdOK_Click_10" localSheetId="15">'2018-2022 SF'!CmdOK_Click_10</definedName>
    <definedName name="CmdOK_Click_10" localSheetId="16">B!CmdOK_Click_10</definedName>
    <definedName name="CmdOK_Click_10" localSheetId="5">[17]!CmdOK_Click_10</definedName>
    <definedName name="CmdOK_Click_10" localSheetId="3">[17]!CmdOK_Click_10</definedName>
    <definedName name="CmdOK_Click_10" localSheetId="17">[17]!CmdOK_Click_10</definedName>
    <definedName name="CmdOK_Click_10" localSheetId="8">[17]!CmdOK_Click_10</definedName>
    <definedName name="CmdOK_Click_10" localSheetId="4">Reconciliation!CmdOK_Click_10</definedName>
    <definedName name="CmdOK_Click_10" localSheetId="2">'Summary 2018 - MF'!CmdOK_Click_10</definedName>
    <definedName name="CmdOK_Click_10">[0]!CmdOK_Click_10</definedName>
    <definedName name="Co" localSheetId="7">#REF!</definedName>
    <definedName name="Co" localSheetId="15">#REF!</definedName>
    <definedName name="Co" localSheetId="1">#REF!</definedName>
    <definedName name="Co" localSheetId="18">#REF!</definedName>
    <definedName name="Co" localSheetId="16">#REF!</definedName>
    <definedName name="Co" localSheetId="6">#REF!</definedName>
    <definedName name="Co" localSheetId="5">#REF!</definedName>
    <definedName name="Co" localSheetId="3">#REF!</definedName>
    <definedName name="Co" localSheetId="17">#REF!</definedName>
    <definedName name="Co" localSheetId="8">#REF!</definedName>
    <definedName name="Co" localSheetId="4">#REF!</definedName>
    <definedName name="Co" localSheetId="20">#REF!</definedName>
    <definedName name="Co">#REF!</definedName>
    <definedName name="COA_Name" localSheetId="5">[23]COA!$E$2:$E$65531</definedName>
    <definedName name="COA_Name" localSheetId="3">[23]COA!$E$2:$E$65531</definedName>
    <definedName name="COA_Name" localSheetId="17">[23]COA!$E$2:$E$65531</definedName>
    <definedName name="COA_Name" localSheetId="8">[23]COA!$E$2:$E$65531</definedName>
    <definedName name="COA_Name">[23]COA!$E$2:$E$65531</definedName>
    <definedName name="coc">[13]gVL!$N$25</definedName>
    <definedName name="codeSheet.CmdCancel_Click" localSheetId="7">'2018-2022'!codeSheet.CmdCancel_Click</definedName>
    <definedName name="codeSheet.CmdCancel_Click" localSheetId="15">'2018-2022 SF'!codeSheet.CmdCancel_Click</definedName>
    <definedName name="codeSheet.CmdCancel_Click" localSheetId="16">B!codeSheet.CmdCancel_Click</definedName>
    <definedName name="codeSheet.CmdCancel_Click" localSheetId="5">[17]!codeSheet.CmdCancel_Click</definedName>
    <definedName name="codeSheet.CmdCancel_Click" localSheetId="3">[17]!codeSheet.CmdCancel_Click</definedName>
    <definedName name="codeSheet.CmdCancel_Click" localSheetId="17">[17]!codeSheet.CmdCancel_Click</definedName>
    <definedName name="codeSheet.CmdCancel_Click" localSheetId="8">[17]!codeSheet.CmdCancel_Click</definedName>
    <definedName name="codeSheet.CmdCancel_Click" localSheetId="4">Reconciliation!codeSheet.CmdCancel_Click</definedName>
    <definedName name="codeSheet.CmdCancel_Click" localSheetId="2">'Summary 2018 - MF'!codeSheet.CmdCancel_Click</definedName>
    <definedName name="codeSheet.CmdCancel_Click">[0]!codeSheet.CmdCancel_Click</definedName>
    <definedName name="codeSheet.CmdCancel_Click_10" localSheetId="7">'2018-2022'!codeSheet.CmdCancel_Click_10</definedName>
    <definedName name="codeSheet.CmdCancel_Click_10" localSheetId="15">'2018-2022 SF'!codeSheet.CmdCancel_Click_10</definedName>
    <definedName name="codeSheet.CmdCancel_Click_10" localSheetId="16">B!codeSheet.CmdCancel_Click_10</definedName>
    <definedName name="codeSheet.CmdCancel_Click_10" localSheetId="5">[17]!codeSheet.CmdCancel_Click_10</definedName>
    <definedName name="codeSheet.CmdCancel_Click_10" localSheetId="3">[17]!codeSheet.CmdCancel_Click_10</definedName>
    <definedName name="codeSheet.CmdCancel_Click_10" localSheetId="17">[17]!codeSheet.CmdCancel_Click_10</definedName>
    <definedName name="codeSheet.CmdCancel_Click_10" localSheetId="8">[17]!codeSheet.CmdCancel_Click_10</definedName>
    <definedName name="codeSheet.CmdCancel_Click_10" localSheetId="4">Reconciliation!codeSheet.CmdCancel_Click_10</definedName>
    <definedName name="codeSheet.CmdCancel_Click_10" localSheetId="2">'Summary 2018 - MF'!codeSheet.CmdCancel_Click_10</definedName>
    <definedName name="codeSheet.CmdCancel_Click_10">[0]!codeSheet.CmdCancel_Click_10</definedName>
    <definedName name="codeSheet.Server_Select_Change" localSheetId="7">'2018-2022'!codeSheet.Server_Select_Change</definedName>
    <definedName name="codeSheet.Server_Select_Change" localSheetId="15">'2018-2022 SF'!codeSheet.Server_Select_Change</definedName>
    <definedName name="codeSheet.Server_Select_Change" localSheetId="16">B!codeSheet.Server_Select_Change</definedName>
    <definedName name="codeSheet.Server_Select_Change" localSheetId="5">[17]!codeSheet.Server_Select_Change</definedName>
    <definedName name="codeSheet.Server_Select_Change" localSheetId="3">[17]!codeSheet.Server_Select_Change</definedName>
    <definedName name="codeSheet.Server_Select_Change" localSheetId="17">[17]!codeSheet.Server_Select_Change</definedName>
    <definedName name="codeSheet.Server_Select_Change" localSheetId="8">[17]!codeSheet.Server_Select_Change</definedName>
    <definedName name="codeSheet.Server_Select_Change" localSheetId="4">Reconciliation!codeSheet.Server_Select_Change</definedName>
    <definedName name="codeSheet.Server_Select_Change" localSheetId="2">'Summary 2018 - MF'!codeSheet.Server_Select_Change</definedName>
    <definedName name="codeSheet.Server_Select_Change">[0]!codeSheet.Server_Select_Change</definedName>
    <definedName name="codeSheet.Server_Select_Change_10" localSheetId="7">'2018-2022'!codeSheet.Server_Select_Change_10</definedName>
    <definedName name="codeSheet.Server_Select_Change_10" localSheetId="15">'2018-2022 SF'!codeSheet.Server_Select_Change_10</definedName>
    <definedName name="codeSheet.Server_Select_Change_10" localSheetId="16">B!codeSheet.Server_Select_Change_10</definedName>
    <definedName name="codeSheet.Server_Select_Change_10" localSheetId="5">[17]!codeSheet.Server_Select_Change_10</definedName>
    <definedName name="codeSheet.Server_Select_Change_10" localSheetId="3">[17]!codeSheet.Server_Select_Change_10</definedName>
    <definedName name="codeSheet.Server_Select_Change_10" localSheetId="17">[17]!codeSheet.Server_Select_Change_10</definedName>
    <definedName name="codeSheet.Server_Select_Change_10" localSheetId="8">[17]!codeSheet.Server_Select_Change_10</definedName>
    <definedName name="codeSheet.Server_Select_Change_10" localSheetId="4">Reconciliation!codeSheet.Server_Select_Change_10</definedName>
    <definedName name="codeSheet.Server_Select_Change_10" localSheetId="2">'Summary 2018 - MF'!codeSheet.Server_Select_Change_10</definedName>
    <definedName name="codeSheet.Server_Select_Change_10">[0]!codeSheet.Server_Select_Change_10</definedName>
    <definedName name="Colors">"'smb://Jyang8/ftsl/TREASURY/BP/CF-3-9BP.XLS'#$'Cash Flow'.$#REF!$#REF!"</definedName>
    <definedName name="com" localSheetId="7">'2018-2022'!com</definedName>
    <definedName name="com" localSheetId="15">'2018-2022 SF'!com</definedName>
    <definedName name="com" localSheetId="16">B!com</definedName>
    <definedName name="com" localSheetId="5">[17]!com</definedName>
    <definedName name="com" localSheetId="3">[17]!com</definedName>
    <definedName name="com" localSheetId="17">[17]!com</definedName>
    <definedName name="com" localSheetId="8">[17]!com</definedName>
    <definedName name="com" localSheetId="4">Reconciliation!com</definedName>
    <definedName name="com" localSheetId="2">'Summary 2018 - MF'!com</definedName>
    <definedName name="com">[0]!com</definedName>
    <definedName name="com_10" localSheetId="7">'2018-2022'!com_10</definedName>
    <definedName name="com_10" localSheetId="15">'2018-2022 SF'!com_10</definedName>
    <definedName name="com_10" localSheetId="16">B!com_10</definedName>
    <definedName name="com_10" localSheetId="5">[17]!com_10</definedName>
    <definedName name="com_10" localSheetId="3">[17]!com_10</definedName>
    <definedName name="com_10" localSheetId="17">[17]!com_10</definedName>
    <definedName name="com_10" localSheetId="8">[17]!com_10</definedName>
    <definedName name="com_10" localSheetId="4">Reconciliation!com_10</definedName>
    <definedName name="com_10" localSheetId="2">'Summary 2018 - MF'!com_10</definedName>
    <definedName name="com_10">[0]!com_10</definedName>
    <definedName name="coma" localSheetId="7">'2018-2022'!coma</definedName>
    <definedName name="coma" localSheetId="15">'2018-2022 SF'!coma</definedName>
    <definedName name="coma" localSheetId="16">B!coma</definedName>
    <definedName name="coma" localSheetId="5">[17]!coma</definedName>
    <definedName name="coma" localSheetId="3">[17]!coma</definedName>
    <definedName name="coma" localSheetId="17">[17]!coma</definedName>
    <definedName name="coma" localSheetId="8">[17]!coma</definedName>
    <definedName name="coma" localSheetId="4">Reconciliation!coma</definedName>
    <definedName name="coma" localSheetId="2">'Summary 2018 - MF'!coma</definedName>
    <definedName name="coma">[0]!coma</definedName>
    <definedName name="coma_10" localSheetId="7">'2018-2022'!coma_10</definedName>
    <definedName name="coma_10" localSheetId="15">'2018-2022 SF'!coma_10</definedName>
    <definedName name="coma_10" localSheetId="16">B!coma_10</definedName>
    <definedName name="coma_10" localSheetId="5">[17]!coma_10</definedName>
    <definedName name="coma_10" localSheetId="3">[17]!coma_10</definedName>
    <definedName name="coma_10" localSheetId="17">[17]!coma_10</definedName>
    <definedName name="coma_10" localSheetId="8">[17]!coma_10</definedName>
    <definedName name="coma_10" localSheetId="4">Reconciliation!coma_10</definedName>
    <definedName name="coma_10" localSheetId="2">'Summary 2018 - MF'!coma_10</definedName>
    <definedName name="coma_10">[0]!coma_10</definedName>
    <definedName name="comm120" localSheetId="7">'[10]page 6'!#REF!</definedName>
    <definedName name="comm120" localSheetId="15">'[10]page 6'!#REF!</definedName>
    <definedName name="comm120" localSheetId="1">'[10]page 6'!#REF!</definedName>
    <definedName name="comm120" localSheetId="18">'[10]page 6'!#REF!</definedName>
    <definedName name="comm120" localSheetId="16">'[10]page 6'!#REF!</definedName>
    <definedName name="comm120" localSheetId="6">'[10]page 6'!#REF!</definedName>
    <definedName name="comm120" localSheetId="5">'[10]page 6'!#REF!</definedName>
    <definedName name="comm120" localSheetId="3">'[10]page 6'!#REF!</definedName>
    <definedName name="comm120" localSheetId="17">'[10]page 6'!#REF!</definedName>
    <definedName name="comm120" localSheetId="8">'[10]page 6'!#REF!</definedName>
    <definedName name="comm120" localSheetId="4">'[10]page 6'!#REF!</definedName>
    <definedName name="comm120" localSheetId="20">'[10]page 6'!#REF!</definedName>
    <definedName name="comm120">'[10]page 6'!#REF!</definedName>
    <definedName name="comm30" localSheetId="7">'[10]page 6'!#REF!</definedName>
    <definedName name="comm30" localSheetId="15">'[10]page 6'!#REF!</definedName>
    <definedName name="comm30" localSheetId="1">'[10]page 6'!#REF!</definedName>
    <definedName name="comm30" localSheetId="18">'[10]page 6'!#REF!</definedName>
    <definedName name="comm30" localSheetId="16">'[10]page 6'!#REF!</definedName>
    <definedName name="comm30" localSheetId="6">'[10]page 6'!#REF!</definedName>
    <definedName name="comm30" localSheetId="5">'[10]page 6'!#REF!</definedName>
    <definedName name="comm30" localSheetId="3">'[10]page 6'!#REF!</definedName>
    <definedName name="comm30" localSheetId="17">'[10]page 6'!#REF!</definedName>
    <definedName name="comm30" localSheetId="8">'[10]page 6'!#REF!</definedName>
    <definedName name="comm30" localSheetId="4">'[10]page 6'!#REF!</definedName>
    <definedName name="comm30" localSheetId="20">'[10]page 6'!#REF!</definedName>
    <definedName name="comm30">'[10]page 6'!#REF!</definedName>
    <definedName name="comm60" localSheetId="7">'[10]page 6'!#REF!</definedName>
    <definedName name="comm60" localSheetId="15">'[10]page 6'!#REF!</definedName>
    <definedName name="comm60" localSheetId="1">'[10]page 6'!#REF!</definedName>
    <definedName name="comm60" localSheetId="18">'[10]page 6'!#REF!</definedName>
    <definedName name="comm60" localSheetId="16">'[10]page 6'!#REF!</definedName>
    <definedName name="comm60" localSheetId="6">'[10]page 6'!#REF!</definedName>
    <definedName name="comm60" localSheetId="5">'[10]page 6'!#REF!</definedName>
    <definedName name="comm60" localSheetId="3">'[10]page 6'!#REF!</definedName>
    <definedName name="comm60" localSheetId="17">'[10]page 6'!#REF!</definedName>
    <definedName name="comm60" localSheetId="8">'[10]page 6'!#REF!</definedName>
    <definedName name="comm60" localSheetId="4">'[10]page 6'!#REF!</definedName>
    <definedName name="comm60" localSheetId="20">'[10]page 6'!#REF!</definedName>
    <definedName name="comm60">'[10]page 6'!#REF!</definedName>
    <definedName name="comm90" localSheetId="7">'[10]page 6'!#REF!</definedName>
    <definedName name="comm90" localSheetId="15">'[10]page 6'!#REF!</definedName>
    <definedName name="comm90" localSheetId="1">'[10]page 6'!#REF!</definedName>
    <definedName name="comm90" localSheetId="18">'[10]page 6'!#REF!</definedName>
    <definedName name="comm90" localSheetId="16">'[10]page 6'!#REF!</definedName>
    <definedName name="comm90" localSheetId="6">'[10]page 6'!#REF!</definedName>
    <definedName name="comm90" localSheetId="5">'[10]page 6'!#REF!</definedName>
    <definedName name="comm90" localSheetId="3">'[10]page 6'!#REF!</definedName>
    <definedName name="comm90" localSheetId="17">'[10]page 6'!#REF!</definedName>
    <definedName name="comm90" localSheetId="8">'[10]page 6'!#REF!</definedName>
    <definedName name="comm90" localSheetId="4">'[10]page 6'!#REF!</definedName>
    <definedName name="comm90" localSheetId="20">'[10]page 6'!#REF!</definedName>
    <definedName name="comm90">'[10]page 6'!#REF!</definedName>
    <definedName name="commcurr" localSheetId="7">'[10]page 6'!#REF!</definedName>
    <definedName name="commcurr" localSheetId="15">'[10]page 6'!#REF!</definedName>
    <definedName name="commcurr" localSheetId="1">'[10]page 6'!#REF!</definedName>
    <definedName name="commcurr" localSheetId="18">'[10]page 6'!#REF!</definedName>
    <definedName name="commcurr" localSheetId="16">'[10]page 6'!#REF!</definedName>
    <definedName name="commcurr" localSheetId="6">'[10]page 6'!#REF!</definedName>
    <definedName name="commcurr" localSheetId="5">'[10]page 6'!#REF!</definedName>
    <definedName name="commcurr" localSheetId="3">'[10]page 6'!#REF!</definedName>
    <definedName name="commcurr" localSheetId="17">'[10]page 6'!#REF!</definedName>
    <definedName name="commcurr" localSheetId="8">'[10]page 6'!#REF!</definedName>
    <definedName name="commcurr" localSheetId="4">'[10]page 6'!#REF!</definedName>
    <definedName name="commcurr" localSheetId="20">'[10]page 6'!#REF!</definedName>
    <definedName name="commcurr">'[10]page 6'!#REF!</definedName>
    <definedName name="COMMON" localSheetId="7">#REF!</definedName>
    <definedName name="COMMON" localSheetId="15">#REF!</definedName>
    <definedName name="COMMON" localSheetId="1">#REF!</definedName>
    <definedName name="COMMON" localSheetId="18">#REF!</definedName>
    <definedName name="COMMON" localSheetId="16">#REF!</definedName>
    <definedName name="COMMON" localSheetId="6">#REF!</definedName>
    <definedName name="COMMON" localSheetId="5">#REF!</definedName>
    <definedName name="COMMON" localSheetId="3">#REF!</definedName>
    <definedName name="COMMON" localSheetId="17">#REF!</definedName>
    <definedName name="COMMON" localSheetId="8">#REF!</definedName>
    <definedName name="COMMON" localSheetId="4">#REF!</definedName>
    <definedName name="COMMON" localSheetId="20">#REF!</definedName>
    <definedName name="COMMON">#REF!</definedName>
    <definedName name="comms" localSheetId="7">#REF!</definedName>
    <definedName name="comms" localSheetId="15">#REF!</definedName>
    <definedName name="comms" localSheetId="1">#REF!</definedName>
    <definedName name="comms" localSheetId="18">#REF!</definedName>
    <definedName name="comms" localSheetId="16">#REF!</definedName>
    <definedName name="comms" localSheetId="6">#REF!</definedName>
    <definedName name="comms" localSheetId="5">#REF!</definedName>
    <definedName name="comms" localSheetId="3">#REF!</definedName>
    <definedName name="comms" localSheetId="17">#REF!</definedName>
    <definedName name="comms" localSheetId="8">#REF!</definedName>
    <definedName name="comms" localSheetId="4">#REF!</definedName>
    <definedName name="comms" localSheetId="20">#REF!</definedName>
    <definedName name="comms">#REF!</definedName>
    <definedName name="compactvansegment">"$#REF!.$#REF!$#REF!:$#REF!$#REF!"</definedName>
    <definedName name="comparison" localSheetId="7">'2018-2022'!comparison</definedName>
    <definedName name="comparison" localSheetId="15">'2018-2022 SF'!comparison</definedName>
    <definedName name="comparison" localSheetId="16">B!comparison</definedName>
    <definedName name="comparison" localSheetId="5">[17]!comparison</definedName>
    <definedName name="comparison" localSheetId="3">[17]!comparison</definedName>
    <definedName name="comparison" localSheetId="17">[17]!comparison</definedName>
    <definedName name="comparison" localSheetId="8">[17]!comparison</definedName>
    <definedName name="comparison" localSheetId="4">Reconciliation!comparison</definedName>
    <definedName name="comparison" localSheetId="2">'Summary 2018 - MF'!comparison</definedName>
    <definedName name="comparison">[0]!comparison</definedName>
    <definedName name="comparison_10" localSheetId="7">'2018-2022'!comparison_10</definedName>
    <definedName name="comparison_10" localSheetId="15">'2018-2022 SF'!comparison_10</definedName>
    <definedName name="comparison_10" localSheetId="16">B!comparison_10</definedName>
    <definedName name="comparison_10" localSheetId="5">[17]!comparison_10</definedName>
    <definedName name="comparison_10" localSheetId="3">[17]!comparison_10</definedName>
    <definedName name="comparison_10" localSheetId="17">[17]!comparison_10</definedName>
    <definedName name="comparison_10" localSheetId="8">[17]!comparison_10</definedName>
    <definedName name="comparison_10" localSheetId="4">Reconciliation!comparison_10</definedName>
    <definedName name="comparison_10" localSheetId="2">'Summary 2018 - MF'!comparison_10</definedName>
    <definedName name="comparison_10">[0]!comparison_10</definedName>
    <definedName name="CON_EQP_COS" localSheetId="7">#REF!</definedName>
    <definedName name="CON_EQP_COS" localSheetId="15">#REF!</definedName>
    <definedName name="CON_EQP_COS" localSheetId="1">#REF!</definedName>
    <definedName name="CON_EQP_COS" localSheetId="18">#REF!</definedName>
    <definedName name="CON_EQP_COS" localSheetId="16">#REF!</definedName>
    <definedName name="CON_EQP_COS" localSheetId="6">#REF!</definedName>
    <definedName name="CON_EQP_COS" localSheetId="5">#REF!</definedName>
    <definedName name="CON_EQP_COS" localSheetId="3">#REF!</definedName>
    <definedName name="CON_EQP_COS" localSheetId="17">#REF!</definedName>
    <definedName name="CON_EQP_COS" localSheetId="8">#REF!</definedName>
    <definedName name="CON_EQP_COS" localSheetId="4">#REF!</definedName>
    <definedName name="CON_EQP_COS" localSheetId="20">#REF!</definedName>
    <definedName name="CON_EQP_COS">#REF!</definedName>
    <definedName name="CON_EQP_COST" localSheetId="7">#REF!</definedName>
    <definedName name="CON_EQP_COST" localSheetId="15">#REF!</definedName>
    <definedName name="CON_EQP_COST" localSheetId="1">#REF!</definedName>
    <definedName name="CON_EQP_COST" localSheetId="18">#REF!</definedName>
    <definedName name="CON_EQP_COST" localSheetId="16">#REF!</definedName>
    <definedName name="CON_EQP_COST" localSheetId="6">#REF!</definedName>
    <definedName name="CON_EQP_COST" localSheetId="3">#REF!</definedName>
    <definedName name="CON_EQP_COST" localSheetId="17">#REF!</definedName>
    <definedName name="CON_EQP_COST" localSheetId="8">#REF!</definedName>
    <definedName name="CON_EQP_COST" localSheetId="4">#REF!</definedName>
    <definedName name="CON_EQP_COST" localSheetId="20">#REF!</definedName>
    <definedName name="CON_EQP_COST">#REF!</definedName>
    <definedName name="concurr" localSheetId="7">'[10]page 6'!#REF!</definedName>
    <definedName name="concurr" localSheetId="15">'[10]page 6'!#REF!</definedName>
    <definedName name="concurr" localSheetId="1">'[10]page 6'!#REF!</definedName>
    <definedName name="concurr" localSheetId="18">'[10]page 6'!#REF!</definedName>
    <definedName name="concurr" localSheetId="16">'[10]page 6'!#REF!</definedName>
    <definedName name="concurr" localSheetId="6">'[10]page 6'!#REF!</definedName>
    <definedName name="concurr" localSheetId="5">'[10]page 6'!#REF!</definedName>
    <definedName name="concurr" localSheetId="3">'[10]page 6'!#REF!</definedName>
    <definedName name="concurr" localSheetId="17">'[10]page 6'!#REF!</definedName>
    <definedName name="concurr" localSheetId="8">'[10]page 6'!#REF!</definedName>
    <definedName name="concurr" localSheetId="4">'[10]page 6'!#REF!</definedName>
    <definedName name="concurr" localSheetId="20">'[10]page 6'!#REF!</definedName>
    <definedName name="concurr">'[10]page 6'!#REF!</definedName>
    <definedName name="condo">"'smb://Stsai2/share/WINDOWS/xlsheet.xla'#$STKS.$#REF!$#REF!"</definedName>
    <definedName name="consol">"$#REF!.$#REF!$#REF!:$#REF!$#REF!"</definedName>
    <definedName name="CONST_EQ" localSheetId="7">#REF!</definedName>
    <definedName name="CONST_EQ" localSheetId="15">#REF!</definedName>
    <definedName name="CONST_EQ" localSheetId="1">#REF!</definedName>
    <definedName name="CONST_EQ" localSheetId="18">#REF!</definedName>
    <definedName name="CONST_EQ" localSheetId="16">#REF!</definedName>
    <definedName name="CONST_EQ" localSheetId="6">#REF!</definedName>
    <definedName name="CONST_EQ" localSheetId="3">#REF!</definedName>
    <definedName name="CONST_EQ" localSheetId="17">#REF!</definedName>
    <definedName name="CONST_EQ" localSheetId="8">#REF!</definedName>
    <definedName name="CONST_EQ" localSheetId="4">#REF!</definedName>
    <definedName name="CONST_EQ" localSheetId="20">#REF!</definedName>
    <definedName name="CONST_EQ">#REF!</definedName>
    <definedName name="Continental__Per_Unit">"$#REF!.$B$317:$U$344"</definedName>
    <definedName name="Continue" localSheetId="11">#REF!</definedName>
    <definedName name="Continue" localSheetId="7">#REF!</definedName>
    <definedName name="Continue" localSheetId="15">#REF!</definedName>
    <definedName name="Continue" localSheetId="1">#REF!</definedName>
    <definedName name="Continue" localSheetId="18">#REF!</definedName>
    <definedName name="Continue" localSheetId="16">#REF!</definedName>
    <definedName name="Continue" localSheetId="6">#REF!</definedName>
    <definedName name="Continue" localSheetId="3">#REF!</definedName>
    <definedName name="Continue" localSheetId="17">#REF!</definedName>
    <definedName name="Continue" localSheetId="8">#REF!</definedName>
    <definedName name="Continue" localSheetId="4">#REF!</definedName>
    <definedName name="Continue" localSheetId="20">#REF!</definedName>
    <definedName name="Continue">#REF!</definedName>
    <definedName name="ContractEndCol" localSheetId="7">#REF!</definedName>
    <definedName name="ContractEndCol" localSheetId="15">#REF!</definedName>
    <definedName name="ContractEndCol" localSheetId="1">#REF!</definedName>
    <definedName name="ContractEndCol" localSheetId="18">#REF!</definedName>
    <definedName name="ContractEndCol" localSheetId="16">#REF!</definedName>
    <definedName name="ContractEndCol" localSheetId="6">#REF!</definedName>
    <definedName name="ContractEndCol" localSheetId="5">#REF!</definedName>
    <definedName name="ContractEndCol" localSheetId="3">#REF!</definedName>
    <definedName name="ContractEndCol" localSheetId="17">#REF!</definedName>
    <definedName name="ContractEndCol" localSheetId="8">#REF!</definedName>
    <definedName name="ContractEndCol" localSheetId="4">#REF!</definedName>
    <definedName name="ContractEndCol" localSheetId="20">#REF!</definedName>
    <definedName name="ContractEndCol">#REF!</definedName>
    <definedName name="copy" localSheetId="7">#REF!</definedName>
    <definedName name="copy" localSheetId="15">#REF!</definedName>
    <definedName name="copy" localSheetId="1">#REF!</definedName>
    <definedName name="copy" localSheetId="18">#REF!</definedName>
    <definedName name="copy" localSheetId="16">#REF!</definedName>
    <definedName name="copy" localSheetId="6">#REF!</definedName>
    <definedName name="copy" localSheetId="5">#REF!</definedName>
    <definedName name="copy" localSheetId="3">#REF!</definedName>
    <definedName name="copy" localSheetId="17">#REF!</definedName>
    <definedName name="copy" localSheetId="8">#REF!</definedName>
    <definedName name="copy" localSheetId="4">#REF!</definedName>
    <definedName name="copy" localSheetId="20">#REF!</definedName>
    <definedName name="copy">#REF!</definedName>
    <definedName name="CORP" localSheetId="7">'[18]#REF'!#REF!</definedName>
    <definedName name="CORP" localSheetId="15">'[18]#REF'!#REF!</definedName>
    <definedName name="CORP" localSheetId="1">'[18]#REF'!#REF!</definedName>
    <definedName name="CORP" localSheetId="18">'[18]#REF'!#REF!</definedName>
    <definedName name="CORP" localSheetId="16">'[18]#REF'!#REF!</definedName>
    <definedName name="CORP" localSheetId="6">'[18]#REF'!#REF!</definedName>
    <definedName name="CORP" localSheetId="5">'[18]#REF'!#REF!</definedName>
    <definedName name="CORP" localSheetId="3">'[18]#REF'!#REF!</definedName>
    <definedName name="CORP" localSheetId="17">'[18]#REF'!#REF!</definedName>
    <definedName name="CORP" localSheetId="8">'[18]#REF'!#REF!</definedName>
    <definedName name="CORP" localSheetId="4">'[18]#REF'!#REF!</definedName>
    <definedName name="CORP" localSheetId="20">'[18]#REF'!#REF!</definedName>
    <definedName name="CORP">'[18]#REF'!#REF!</definedName>
    <definedName name="corp_mktg" localSheetId="7">#REF!</definedName>
    <definedName name="corp_mktg" localSheetId="15">#REF!</definedName>
    <definedName name="corp_mktg" localSheetId="1">#REF!</definedName>
    <definedName name="corp_mktg" localSheetId="18">#REF!</definedName>
    <definedName name="corp_mktg" localSheetId="16">#REF!</definedName>
    <definedName name="corp_mktg" localSheetId="6">#REF!</definedName>
    <definedName name="corp_mktg" localSheetId="5">#REF!</definedName>
    <definedName name="corp_mktg" localSheetId="3">#REF!</definedName>
    <definedName name="corp_mktg" localSheetId="17">#REF!</definedName>
    <definedName name="corp_mktg" localSheetId="8">#REF!</definedName>
    <definedName name="corp_mktg" localSheetId="4">#REF!</definedName>
    <definedName name="corp_mktg" localSheetId="20">#REF!</definedName>
    <definedName name="corp_mktg">#REF!</definedName>
    <definedName name="Cost" localSheetId="7">#REF!</definedName>
    <definedName name="Cost" localSheetId="15">#REF!</definedName>
    <definedName name="Cost" localSheetId="1">#REF!</definedName>
    <definedName name="Cost" localSheetId="18">#REF!</definedName>
    <definedName name="Cost" localSheetId="16">#REF!</definedName>
    <definedName name="Cost" localSheetId="6">#REF!</definedName>
    <definedName name="cost" localSheetId="5">[17]!cost</definedName>
    <definedName name="cost" localSheetId="3">[17]!cost</definedName>
    <definedName name="cost" localSheetId="17">[17]!cost</definedName>
    <definedName name="cost" localSheetId="8">[17]!cost</definedName>
    <definedName name="cost" localSheetId="4">Reconciliation!cost</definedName>
    <definedName name="cost" localSheetId="2">'Summary 2018 - MF'!cost</definedName>
    <definedName name="Cost" localSheetId="20">#REF!</definedName>
    <definedName name="Cost">#REF!</definedName>
    <definedName name="cost_10" localSheetId="7">'2018-2022'!cost_10</definedName>
    <definedName name="cost_10" localSheetId="15">'2018-2022 SF'!cost_10</definedName>
    <definedName name="cost_10" localSheetId="16">B!cost_10</definedName>
    <definedName name="cost_10" localSheetId="5">[17]!cost_10</definedName>
    <definedName name="cost_10" localSheetId="3">[17]!cost_10</definedName>
    <definedName name="cost_10" localSheetId="17">[17]!cost_10</definedName>
    <definedName name="cost_10" localSheetId="8">[17]!cost_10</definedName>
    <definedName name="cost_10" localSheetId="4">Reconciliation!cost_10</definedName>
    <definedName name="cost_10" localSheetId="2">'Summary 2018 - MF'!cost_10</definedName>
    <definedName name="cost_10">[0]!cost_10</definedName>
    <definedName name="Cost_table_Query1" localSheetId="7">#REF!</definedName>
    <definedName name="Cost_table_Query1" localSheetId="15">#REF!</definedName>
    <definedName name="Cost_table_Query1" localSheetId="1">#REF!</definedName>
    <definedName name="Cost_table_Query1" localSheetId="18">#REF!</definedName>
    <definedName name="Cost_table_Query1" localSheetId="16">#REF!</definedName>
    <definedName name="Cost_table_Query1" localSheetId="6">#REF!</definedName>
    <definedName name="Cost_table_Query1" localSheetId="10">#REF!</definedName>
    <definedName name="Cost_table_Query1" localSheetId="14">#REF!</definedName>
    <definedName name="Cost_table_Query1" localSheetId="5">#REF!</definedName>
    <definedName name="Cost_table_Query1" localSheetId="3">#REF!</definedName>
    <definedName name="Cost_table_Query1" localSheetId="17">#REF!</definedName>
    <definedName name="Cost_table_Query1" localSheetId="8">#REF!</definedName>
    <definedName name="Cost_table_Query1" localSheetId="4">#REF!</definedName>
    <definedName name="Cost_table_Query1" localSheetId="20">#REF!</definedName>
    <definedName name="Cost_table_Query1">#REF!</definedName>
    <definedName name="CostCentreCodeName" localSheetId="5">[23]Variables!$A$1:$C$35</definedName>
    <definedName name="CostCentreCodeName" localSheetId="3">[23]Variables!$A$1:$C$35</definedName>
    <definedName name="CostCentreCodeName" localSheetId="17">[23]Variables!$A$1:$C$35</definedName>
    <definedName name="CostCentreCodeName" localSheetId="8">[23]Variables!$A$1:$C$35</definedName>
    <definedName name="CostCentreCodeName">[23]Variables!$A$1:$C$35</definedName>
    <definedName name="CostCentreCol" localSheetId="7">#REF!</definedName>
    <definedName name="CostCentreCol" localSheetId="15">#REF!</definedName>
    <definedName name="CostCentreCol" localSheetId="1">#REF!</definedName>
    <definedName name="CostCentreCol" localSheetId="18">#REF!</definedName>
    <definedName name="CostCentreCol" localSheetId="16">#REF!</definedName>
    <definedName name="CostCentreCol" localSheetId="6">#REF!</definedName>
    <definedName name="CostCentreCol" localSheetId="5">#REF!</definedName>
    <definedName name="CostCentreCol" localSheetId="3">#REF!</definedName>
    <definedName name="CostCentreCol" localSheetId="17">#REF!</definedName>
    <definedName name="CostCentreCol" localSheetId="8">#REF!</definedName>
    <definedName name="CostCentreCol" localSheetId="4">#REF!</definedName>
    <definedName name="CostCentreCol" localSheetId="20">#REF!</definedName>
    <definedName name="CostCentreCol">#REF!</definedName>
    <definedName name="CostCentreIndex" localSheetId="7">#REF!</definedName>
    <definedName name="CostCentreIndex" localSheetId="15">#REF!</definedName>
    <definedName name="CostCentreIndex" localSheetId="1">#REF!</definedName>
    <definedName name="CostCentreIndex" localSheetId="18">#REF!</definedName>
    <definedName name="CostCentreIndex" localSheetId="16">#REF!</definedName>
    <definedName name="CostCentreIndex" localSheetId="6">#REF!</definedName>
    <definedName name="CostCentreIndex" localSheetId="5">#REF!</definedName>
    <definedName name="CostCentreIndex" localSheetId="3">#REF!</definedName>
    <definedName name="CostCentreIndex" localSheetId="17">#REF!</definedName>
    <definedName name="CostCentreIndex" localSheetId="8">#REF!</definedName>
    <definedName name="CostCentreIndex" localSheetId="4">#REF!</definedName>
    <definedName name="CostCentreIndex" localSheetId="20">#REF!</definedName>
    <definedName name="CostCentreIndex">#REF!</definedName>
    <definedName name="CostomerService" localSheetId="7">'[31]OFFICE EQUIPMENT'!#REF!</definedName>
    <definedName name="CostomerService" localSheetId="15">'[31]OFFICE EQUIPMENT'!#REF!</definedName>
    <definedName name="CostomerService" localSheetId="1">'[31]OFFICE EQUIPMENT'!#REF!</definedName>
    <definedName name="CostomerService" localSheetId="18">'[31]OFFICE EQUIPMENT'!#REF!</definedName>
    <definedName name="CostomerService" localSheetId="16">'[31]OFFICE EQUIPMENT'!#REF!</definedName>
    <definedName name="CostomerService" localSheetId="6">'[31]OFFICE EQUIPMENT'!#REF!</definedName>
    <definedName name="CostomerService" localSheetId="5">'[31]OFFICE EQUIPMENT'!#REF!</definedName>
    <definedName name="CostomerService" localSheetId="3">'[31]OFFICE EQUIPMENT'!#REF!</definedName>
    <definedName name="CostomerService" localSheetId="17">'[31]OFFICE EQUIPMENT'!#REF!</definedName>
    <definedName name="CostomerService" localSheetId="8">'[31]OFFICE EQUIPMENT'!#REF!</definedName>
    <definedName name="CostomerService" localSheetId="4">'[31]OFFICE EQUIPMENT'!#REF!</definedName>
    <definedName name="CostomerService" localSheetId="20">'[31]OFFICE EQUIPMENT'!#REF!</definedName>
    <definedName name="CostomerService">'[31]OFFICE EQUIPMENT'!#REF!</definedName>
    <definedName name="COVER" localSheetId="7">#REF!</definedName>
    <definedName name="COVER" localSheetId="15">#REF!</definedName>
    <definedName name="COVER" localSheetId="1">#REF!</definedName>
    <definedName name="COVER" localSheetId="18">#REF!</definedName>
    <definedName name="COVER" localSheetId="16">#REF!</definedName>
    <definedName name="COVER" localSheetId="6">#REF!</definedName>
    <definedName name="COVER" localSheetId="5">#REF!</definedName>
    <definedName name="COVER" localSheetId="3">#REF!</definedName>
    <definedName name="COVER" localSheetId="17">#REF!</definedName>
    <definedName name="COVER" localSheetId="8">#REF!</definedName>
    <definedName name="COVER" localSheetId="4">#REF!</definedName>
    <definedName name="COVER" localSheetId="20">#REF!</definedName>
    <definedName name="COVER">#REF!</definedName>
    <definedName name="cpd">[32]gvl!$Q$20</definedName>
    <definedName name="cpdd">[13]gVL!$N$17</definedName>
    <definedName name="CPVC100" localSheetId="7">#REF!</definedName>
    <definedName name="CPVC100" localSheetId="15">#REF!</definedName>
    <definedName name="CPVC100" localSheetId="1">#REF!</definedName>
    <definedName name="CPVC100" localSheetId="18">#REF!</definedName>
    <definedName name="CPVC100" localSheetId="16">#REF!</definedName>
    <definedName name="CPVC100" localSheetId="6">#REF!</definedName>
    <definedName name="CPVC100" localSheetId="3">#REF!</definedName>
    <definedName name="CPVC100" localSheetId="17">#REF!</definedName>
    <definedName name="CPVC100" localSheetId="8">#REF!</definedName>
    <definedName name="CPVC100" localSheetId="4">#REF!</definedName>
    <definedName name="CPVC100" localSheetId="20">#REF!</definedName>
    <definedName name="CPVC100">#REF!</definedName>
    <definedName name="CPVCDN" localSheetId="7">#REF!</definedName>
    <definedName name="CPVCDN" localSheetId="15">#REF!</definedName>
    <definedName name="CPVCDN" localSheetId="1">#REF!</definedName>
    <definedName name="CPVCDN" localSheetId="18">#REF!</definedName>
    <definedName name="CPVCDN" localSheetId="16">#REF!</definedName>
    <definedName name="CPVCDN" localSheetId="6">#REF!</definedName>
    <definedName name="CPVCDN" localSheetId="3">#REF!</definedName>
    <definedName name="CPVCDN" localSheetId="17">#REF!</definedName>
    <definedName name="CPVCDN" localSheetId="8">#REF!</definedName>
    <definedName name="CPVCDN" localSheetId="4">#REF!</definedName>
    <definedName name="CPVCDN" localSheetId="20">#REF!</definedName>
    <definedName name="CPVCDN">#REF!</definedName>
    <definedName name="CR" localSheetId="7">#REF!</definedName>
    <definedName name="CR" localSheetId="15">#REF!</definedName>
    <definedName name="CR" localSheetId="1">#REF!</definedName>
    <definedName name="CR" localSheetId="18">#REF!</definedName>
    <definedName name="CR" localSheetId="16">#REF!</definedName>
    <definedName name="CR" localSheetId="6">#REF!</definedName>
    <definedName name="CR" localSheetId="5">#REF!</definedName>
    <definedName name="CR" localSheetId="3">#REF!</definedName>
    <definedName name="CR" localSheetId="17">#REF!</definedName>
    <definedName name="CR" localSheetId="8">#REF!</definedName>
    <definedName name="CR" localSheetId="4">#REF!</definedName>
    <definedName name="CR" localSheetId="20">#REF!</definedName>
    <definedName name="CR">#REF!</definedName>
    <definedName name="CRa" localSheetId="7">#REF!</definedName>
    <definedName name="CRa" localSheetId="15">#REF!</definedName>
    <definedName name="CRa" localSheetId="1">#REF!</definedName>
    <definedName name="CRa" localSheetId="18">#REF!</definedName>
    <definedName name="CRa" localSheetId="16">#REF!</definedName>
    <definedName name="CRa" localSheetId="6">#REF!</definedName>
    <definedName name="CRa" localSheetId="5">#REF!</definedName>
    <definedName name="CRa" localSheetId="3">#REF!</definedName>
    <definedName name="CRa" localSheetId="17">#REF!</definedName>
    <definedName name="CRa" localSheetId="8">#REF!</definedName>
    <definedName name="CRa" localSheetId="4">#REF!</definedName>
    <definedName name="CRa" localSheetId="20">#REF!</definedName>
    <definedName name="CRa">#REF!</definedName>
    <definedName name="CrAc" localSheetId="7">#REF!</definedName>
    <definedName name="CrAc" localSheetId="15">#REF!</definedName>
    <definedName name="CrAc" localSheetId="1">#REF!</definedName>
    <definedName name="CrAc" localSheetId="18">#REF!</definedName>
    <definedName name="CrAc" localSheetId="16">#REF!</definedName>
    <definedName name="CrAc" localSheetId="6">#REF!</definedName>
    <definedName name="CrAc" localSheetId="5">#REF!</definedName>
    <definedName name="CrAc" localSheetId="3">#REF!</definedName>
    <definedName name="CrAc" localSheetId="17">#REF!</definedName>
    <definedName name="CrAc" localSheetId="8">#REF!</definedName>
    <definedName name="CrAc" localSheetId="4">#REF!</definedName>
    <definedName name="CrAc" localSheetId="20">#REF!</definedName>
    <definedName name="CrAc">#REF!</definedName>
    <definedName name="CrAc_12" localSheetId="7">#REF!</definedName>
    <definedName name="CrAc_12" localSheetId="15">#REF!</definedName>
    <definedName name="CrAc_12" localSheetId="1">#REF!</definedName>
    <definedName name="CrAc_12" localSheetId="18">#REF!</definedName>
    <definedName name="CrAc_12" localSheetId="16">#REF!</definedName>
    <definedName name="CrAc_12" localSheetId="6">#REF!</definedName>
    <definedName name="CrAc_12" localSheetId="5">#REF!</definedName>
    <definedName name="CrAc_12" localSheetId="3">#REF!</definedName>
    <definedName name="CrAc_12" localSheetId="17">#REF!</definedName>
    <definedName name="CrAc_12" localSheetId="8">#REF!</definedName>
    <definedName name="CrAc_12" localSheetId="4">#REF!</definedName>
    <definedName name="CrAc_12" localSheetId="20">#REF!</definedName>
    <definedName name="CrAc_12">#REF!</definedName>
    <definedName name="CrAc_13" localSheetId="7">#REF!</definedName>
    <definedName name="CrAc_13" localSheetId="15">#REF!</definedName>
    <definedName name="CrAc_13" localSheetId="1">#REF!</definedName>
    <definedName name="CrAc_13" localSheetId="18">#REF!</definedName>
    <definedName name="CrAc_13" localSheetId="16">#REF!</definedName>
    <definedName name="CrAc_13" localSheetId="6">#REF!</definedName>
    <definedName name="CrAc_13" localSheetId="5">#REF!</definedName>
    <definedName name="CrAc_13" localSheetId="3">#REF!</definedName>
    <definedName name="CrAc_13" localSheetId="17">#REF!</definedName>
    <definedName name="CrAc_13" localSheetId="8">#REF!</definedName>
    <definedName name="CrAc_13" localSheetId="4">#REF!</definedName>
    <definedName name="CrAc_13" localSheetId="20">#REF!</definedName>
    <definedName name="CrAc_13">#REF!</definedName>
    <definedName name="CrAc_6" localSheetId="7">#REF!</definedName>
    <definedName name="CrAc_6" localSheetId="15">#REF!</definedName>
    <definedName name="CrAc_6" localSheetId="1">#REF!</definedName>
    <definedName name="CrAc_6" localSheetId="18">#REF!</definedName>
    <definedName name="CrAc_6" localSheetId="16">#REF!</definedName>
    <definedName name="CrAc_6" localSheetId="6">#REF!</definedName>
    <definedName name="CrAc_6" localSheetId="5">#REF!</definedName>
    <definedName name="CrAc_6" localSheetId="3">#REF!</definedName>
    <definedName name="CrAc_6" localSheetId="17">#REF!</definedName>
    <definedName name="CrAc_6" localSheetId="8">#REF!</definedName>
    <definedName name="CrAc_6" localSheetId="4">#REF!</definedName>
    <definedName name="CrAc_6" localSheetId="20">#REF!</definedName>
    <definedName name="CrAc_6">#REF!</definedName>
    <definedName name="CrAc1" localSheetId="7">#REF!</definedName>
    <definedName name="CrAc1" localSheetId="15">#REF!</definedName>
    <definedName name="CrAc1" localSheetId="1">#REF!</definedName>
    <definedName name="CrAc1" localSheetId="18">#REF!</definedName>
    <definedName name="CrAc1" localSheetId="16">#REF!</definedName>
    <definedName name="CrAc1" localSheetId="6">#REF!</definedName>
    <definedName name="CrAc1" localSheetId="5">#REF!</definedName>
    <definedName name="CrAc1" localSheetId="3">#REF!</definedName>
    <definedName name="CrAc1" localSheetId="17">#REF!</definedName>
    <definedName name="CrAc1" localSheetId="8">#REF!</definedName>
    <definedName name="CrAc1" localSheetId="4">#REF!</definedName>
    <definedName name="CrAc1" localSheetId="20">#REF!</definedName>
    <definedName name="CrAc1">#REF!</definedName>
    <definedName name="CRb" localSheetId="7">#REF!</definedName>
    <definedName name="CRb" localSheetId="15">#REF!</definedName>
    <definedName name="CRb" localSheetId="1">#REF!</definedName>
    <definedName name="CRb" localSheetId="18">#REF!</definedName>
    <definedName name="CRb" localSheetId="16">#REF!</definedName>
    <definedName name="CRb" localSheetId="6">#REF!</definedName>
    <definedName name="CRb" localSheetId="5">#REF!</definedName>
    <definedName name="CRb" localSheetId="3">#REF!</definedName>
    <definedName name="CRb" localSheetId="17">#REF!</definedName>
    <definedName name="CRb" localSheetId="8">#REF!</definedName>
    <definedName name="CRb" localSheetId="4">#REF!</definedName>
    <definedName name="CRb" localSheetId="20">#REF!</definedName>
    <definedName name="CRb">#REF!</definedName>
    <definedName name="_xlnm.Criteria" localSheetId="7">#REF!</definedName>
    <definedName name="_xlnm.Criteria" localSheetId="15">#REF!</definedName>
    <definedName name="_xlnm.Criteria" localSheetId="1">#REF!</definedName>
    <definedName name="_xlnm.Criteria" localSheetId="18">#REF!</definedName>
    <definedName name="_xlnm.Criteria" localSheetId="16">#REF!</definedName>
    <definedName name="_xlnm.Criteria" localSheetId="6">#REF!</definedName>
    <definedName name="_xlnm.Criteria" localSheetId="5">#REF!</definedName>
    <definedName name="_xlnm.Criteria" localSheetId="3">#REF!</definedName>
    <definedName name="_xlnm.Criteria" localSheetId="17">#REF!</definedName>
    <definedName name="_xlnm.Criteria" localSheetId="8">#REF!</definedName>
    <definedName name="_xlnm.Criteria" localSheetId="4">#REF!</definedName>
    <definedName name="_xlnm.Criteria" localSheetId="20">#REF!</definedName>
    <definedName name="_xlnm.Criteria">#REF!</definedName>
    <definedName name="CRITINST" localSheetId="7">#REF!</definedName>
    <definedName name="CRITINST" localSheetId="15">#REF!</definedName>
    <definedName name="CRITINST" localSheetId="1">#REF!</definedName>
    <definedName name="CRITINST" localSheetId="18">#REF!</definedName>
    <definedName name="CRITINST" localSheetId="16">#REF!</definedName>
    <definedName name="CRITINST" localSheetId="6">#REF!</definedName>
    <definedName name="CRITINST" localSheetId="5">#REF!</definedName>
    <definedName name="CRITINST" localSheetId="3">#REF!</definedName>
    <definedName name="CRITINST" localSheetId="17">#REF!</definedName>
    <definedName name="CRITINST" localSheetId="8">#REF!</definedName>
    <definedName name="CRITINST" localSheetId="4">#REF!</definedName>
    <definedName name="CRITINST" localSheetId="20">#REF!</definedName>
    <definedName name="CRITINST">#REF!</definedName>
    <definedName name="CRITPURC" localSheetId="7">#REF!</definedName>
    <definedName name="CRITPURC" localSheetId="15">#REF!</definedName>
    <definedName name="CRITPURC" localSheetId="1">#REF!</definedName>
    <definedName name="CRITPURC" localSheetId="18">#REF!</definedName>
    <definedName name="CRITPURC" localSheetId="16">#REF!</definedName>
    <definedName name="CRITPURC" localSheetId="6">#REF!</definedName>
    <definedName name="CRITPURC" localSheetId="5">#REF!</definedName>
    <definedName name="CRITPURC" localSheetId="3">#REF!</definedName>
    <definedName name="CRITPURC" localSheetId="17">#REF!</definedName>
    <definedName name="CRITPURC" localSheetId="8">#REF!</definedName>
    <definedName name="CRITPURC" localSheetId="4">#REF!</definedName>
    <definedName name="CRITPURC" localSheetId="20">#REF!</definedName>
    <definedName name="CRITPURC">#REF!</definedName>
    <definedName name="CS" localSheetId="7">#REF!</definedName>
    <definedName name="CS" localSheetId="15">#REF!</definedName>
    <definedName name="CS" localSheetId="1">#REF!</definedName>
    <definedName name="CS" localSheetId="18">#REF!</definedName>
    <definedName name="CS" localSheetId="16">#REF!</definedName>
    <definedName name="CS" localSheetId="6">#REF!</definedName>
    <definedName name="CS" localSheetId="3">#REF!</definedName>
    <definedName name="CS" localSheetId="17">#REF!</definedName>
    <definedName name="CS" localSheetId="8">#REF!</definedName>
    <definedName name="CS" localSheetId="4">#REF!</definedName>
    <definedName name="CS" localSheetId="20">#REF!</definedName>
    <definedName name="CS">#REF!</definedName>
    <definedName name="CS_10" localSheetId="7">#REF!</definedName>
    <definedName name="CS_10" localSheetId="15">#REF!</definedName>
    <definedName name="CS_10" localSheetId="1">#REF!</definedName>
    <definedName name="CS_10" localSheetId="18">#REF!</definedName>
    <definedName name="CS_10" localSheetId="16">#REF!</definedName>
    <definedName name="CS_10" localSheetId="6">#REF!</definedName>
    <definedName name="CS_10" localSheetId="5">#REF!</definedName>
    <definedName name="CS_10" localSheetId="3">#REF!</definedName>
    <definedName name="CS_10" localSheetId="17">#REF!</definedName>
    <definedName name="CS_10" localSheetId="8">#REF!</definedName>
    <definedName name="CS_10" localSheetId="4">#REF!</definedName>
    <definedName name="CS_10" localSheetId="20">#REF!</definedName>
    <definedName name="CS_10">#REF!</definedName>
    <definedName name="CS_100" localSheetId="7">#REF!</definedName>
    <definedName name="CS_100" localSheetId="15">#REF!</definedName>
    <definedName name="CS_100" localSheetId="1">#REF!</definedName>
    <definedName name="CS_100" localSheetId="18">#REF!</definedName>
    <definedName name="CS_100" localSheetId="16">#REF!</definedName>
    <definedName name="CS_100" localSheetId="6">#REF!</definedName>
    <definedName name="CS_100" localSheetId="5">#REF!</definedName>
    <definedName name="CS_100" localSheetId="3">#REF!</definedName>
    <definedName name="CS_100" localSheetId="17">#REF!</definedName>
    <definedName name="CS_100" localSheetId="8">#REF!</definedName>
    <definedName name="CS_100" localSheetId="4">#REF!</definedName>
    <definedName name="CS_100" localSheetId="20">#REF!</definedName>
    <definedName name="CS_100">#REF!</definedName>
    <definedName name="CS_10S" localSheetId="7">#REF!</definedName>
    <definedName name="CS_10S" localSheetId="15">#REF!</definedName>
    <definedName name="CS_10S" localSheetId="1">#REF!</definedName>
    <definedName name="CS_10S" localSheetId="18">#REF!</definedName>
    <definedName name="CS_10S" localSheetId="16">#REF!</definedName>
    <definedName name="CS_10S" localSheetId="6">#REF!</definedName>
    <definedName name="CS_10S" localSheetId="5">#REF!</definedName>
    <definedName name="CS_10S" localSheetId="3">#REF!</definedName>
    <definedName name="CS_10S" localSheetId="17">#REF!</definedName>
    <definedName name="CS_10S" localSheetId="8">#REF!</definedName>
    <definedName name="CS_10S" localSheetId="4">#REF!</definedName>
    <definedName name="CS_10S" localSheetId="20">#REF!</definedName>
    <definedName name="CS_10S">#REF!</definedName>
    <definedName name="CS_120" localSheetId="7">#REF!</definedName>
    <definedName name="CS_120" localSheetId="15">#REF!</definedName>
    <definedName name="CS_120" localSheetId="1">#REF!</definedName>
    <definedName name="CS_120" localSheetId="18">#REF!</definedName>
    <definedName name="CS_120" localSheetId="16">#REF!</definedName>
    <definedName name="CS_120" localSheetId="6">#REF!</definedName>
    <definedName name="CS_120" localSheetId="5">#REF!</definedName>
    <definedName name="CS_120" localSheetId="3">#REF!</definedName>
    <definedName name="CS_120" localSheetId="17">#REF!</definedName>
    <definedName name="CS_120" localSheetId="8">#REF!</definedName>
    <definedName name="CS_120" localSheetId="4">#REF!</definedName>
    <definedName name="CS_120" localSheetId="20">#REF!</definedName>
    <definedName name="CS_120">#REF!</definedName>
    <definedName name="CS_140" localSheetId="7">#REF!</definedName>
    <definedName name="CS_140" localSheetId="15">#REF!</definedName>
    <definedName name="CS_140" localSheetId="1">#REF!</definedName>
    <definedName name="CS_140" localSheetId="18">#REF!</definedName>
    <definedName name="CS_140" localSheetId="16">#REF!</definedName>
    <definedName name="CS_140" localSheetId="6">#REF!</definedName>
    <definedName name="CS_140" localSheetId="5">#REF!</definedName>
    <definedName name="CS_140" localSheetId="3">#REF!</definedName>
    <definedName name="CS_140" localSheetId="17">#REF!</definedName>
    <definedName name="CS_140" localSheetId="8">#REF!</definedName>
    <definedName name="CS_140" localSheetId="4">#REF!</definedName>
    <definedName name="CS_140" localSheetId="20">#REF!</definedName>
    <definedName name="CS_140">#REF!</definedName>
    <definedName name="CS_160" localSheetId="7">#REF!</definedName>
    <definedName name="CS_160" localSheetId="15">#REF!</definedName>
    <definedName name="CS_160" localSheetId="1">#REF!</definedName>
    <definedName name="CS_160" localSheetId="18">#REF!</definedName>
    <definedName name="CS_160" localSheetId="16">#REF!</definedName>
    <definedName name="CS_160" localSheetId="6">#REF!</definedName>
    <definedName name="CS_160" localSheetId="5">#REF!</definedName>
    <definedName name="CS_160" localSheetId="3">#REF!</definedName>
    <definedName name="CS_160" localSheetId="17">#REF!</definedName>
    <definedName name="CS_160" localSheetId="8">#REF!</definedName>
    <definedName name="CS_160" localSheetId="4">#REF!</definedName>
    <definedName name="CS_160" localSheetId="20">#REF!</definedName>
    <definedName name="CS_160">#REF!</definedName>
    <definedName name="CS_20" localSheetId="7">#REF!</definedName>
    <definedName name="CS_20" localSheetId="15">#REF!</definedName>
    <definedName name="CS_20" localSheetId="1">#REF!</definedName>
    <definedName name="CS_20" localSheetId="18">#REF!</definedName>
    <definedName name="CS_20" localSheetId="16">#REF!</definedName>
    <definedName name="CS_20" localSheetId="6">#REF!</definedName>
    <definedName name="CS_20" localSheetId="5">#REF!</definedName>
    <definedName name="CS_20" localSheetId="3">#REF!</definedName>
    <definedName name="CS_20" localSheetId="17">#REF!</definedName>
    <definedName name="CS_20" localSheetId="8">#REF!</definedName>
    <definedName name="CS_20" localSheetId="4">#REF!</definedName>
    <definedName name="CS_20" localSheetId="20">#REF!</definedName>
    <definedName name="CS_20">#REF!</definedName>
    <definedName name="CS_30" localSheetId="7">#REF!</definedName>
    <definedName name="CS_30" localSheetId="15">#REF!</definedName>
    <definedName name="CS_30" localSheetId="1">#REF!</definedName>
    <definedName name="CS_30" localSheetId="18">#REF!</definedName>
    <definedName name="CS_30" localSheetId="16">#REF!</definedName>
    <definedName name="CS_30" localSheetId="6">#REF!</definedName>
    <definedName name="CS_30" localSheetId="5">#REF!</definedName>
    <definedName name="CS_30" localSheetId="3">#REF!</definedName>
    <definedName name="CS_30" localSheetId="17">#REF!</definedName>
    <definedName name="CS_30" localSheetId="8">#REF!</definedName>
    <definedName name="CS_30" localSheetId="4">#REF!</definedName>
    <definedName name="CS_30" localSheetId="20">#REF!</definedName>
    <definedName name="CS_30">#REF!</definedName>
    <definedName name="CS_40" localSheetId="7">#REF!</definedName>
    <definedName name="CS_40" localSheetId="15">#REF!</definedName>
    <definedName name="CS_40" localSheetId="1">#REF!</definedName>
    <definedName name="CS_40" localSheetId="18">#REF!</definedName>
    <definedName name="CS_40" localSheetId="16">#REF!</definedName>
    <definedName name="CS_40" localSheetId="6">#REF!</definedName>
    <definedName name="CS_40" localSheetId="5">#REF!</definedName>
    <definedName name="CS_40" localSheetId="3">#REF!</definedName>
    <definedName name="CS_40" localSheetId="17">#REF!</definedName>
    <definedName name="CS_40" localSheetId="8">#REF!</definedName>
    <definedName name="CS_40" localSheetId="4">#REF!</definedName>
    <definedName name="CS_40" localSheetId="20">#REF!</definedName>
    <definedName name="CS_40">#REF!</definedName>
    <definedName name="CS_40S" localSheetId="7">#REF!</definedName>
    <definedName name="CS_40S" localSheetId="15">#REF!</definedName>
    <definedName name="CS_40S" localSheetId="1">#REF!</definedName>
    <definedName name="CS_40S" localSheetId="18">#REF!</definedName>
    <definedName name="CS_40S" localSheetId="16">#REF!</definedName>
    <definedName name="CS_40S" localSheetId="6">#REF!</definedName>
    <definedName name="CS_40S" localSheetId="5">#REF!</definedName>
    <definedName name="CS_40S" localSheetId="3">#REF!</definedName>
    <definedName name="CS_40S" localSheetId="17">#REF!</definedName>
    <definedName name="CS_40S" localSheetId="8">#REF!</definedName>
    <definedName name="CS_40S" localSheetId="4">#REF!</definedName>
    <definedName name="CS_40S" localSheetId="20">#REF!</definedName>
    <definedName name="CS_40S">#REF!</definedName>
    <definedName name="CS_5S" localSheetId="7">#REF!</definedName>
    <definedName name="CS_5S" localSheetId="15">#REF!</definedName>
    <definedName name="CS_5S" localSheetId="1">#REF!</definedName>
    <definedName name="CS_5S" localSheetId="18">#REF!</definedName>
    <definedName name="CS_5S" localSheetId="16">#REF!</definedName>
    <definedName name="CS_5S" localSheetId="6">#REF!</definedName>
    <definedName name="CS_5S" localSheetId="5">#REF!</definedName>
    <definedName name="CS_5S" localSheetId="3">#REF!</definedName>
    <definedName name="CS_5S" localSheetId="17">#REF!</definedName>
    <definedName name="CS_5S" localSheetId="8">#REF!</definedName>
    <definedName name="CS_5S" localSheetId="4">#REF!</definedName>
    <definedName name="CS_5S" localSheetId="20">#REF!</definedName>
    <definedName name="CS_5S">#REF!</definedName>
    <definedName name="CS_60" localSheetId="7">#REF!</definedName>
    <definedName name="CS_60" localSheetId="15">#REF!</definedName>
    <definedName name="CS_60" localSheetId="1">#REF!</definedName>
    <definedName name="CS_60" localSheetId="18">#REF!</definedName>
    <definedName name="CS_60" localSheetId="16">#REF!</definedName>
    <definedName name="CS_60" localSheetId="6">#REF!</definedName>
    <definedName name="CS_60" localSheetId="5">#REF!</definedName>
    <definedName name="CS_60" localSheetId="3">#REF!</definedName>
    <definedName name="CS_60" localSheetId="17">#REF!</definedName>
    <definedName name="CS_60" localSheetId="8">#REF!</definedName>
    <definedName name="CS_60" localSheetId="4">#REF!</definedName>
    <definedName name="CS_60" localSheetId="20">#REF!</definedName>
    <definedName name="CS_60">#REF!</definedName>
    <definedName name="CS_80" localSheetId="7">#REF!</definedName>
    <definedName name="CS_80" localSheetId="15">#REF!</definedName>
    <definedName name="CS_80" localSheetId="1">#REF!</definedName>
    <definedName name="CS_80" localSheetId="18">#REF!</definedName>
    <definedName name="CS_80" localSheetId="16">#REF!</definedName>
    <definedName name="CS_80" localSheetId="6">#REF!</definedName>
    <definedName name="CS_80" localSheetId="5">#REF!</definedName>
    <definedName name="CS_80" localSheetId="3">#REF!</definedName>
    <definedName name="CS_80" localSheetId="17">#REF!</definedName>
    <definedName name="CS_80" localSheetId="8">#REF!</definedName>
    <definedName name="CS_80" localSheetId="4">#REF!</definedName>
    <definedName name="CS_80" localSheetId="20">#REF!</definedName>
    <definedName name="CS_80">#REF!</definedName>
    <definedName name="CS_80S" localSheetId="7">#REF!</definedName>
    <definedName name="CS_80S" localSheetId="15">#REF!</definedName>
    <definedName name="CS_80S" localSheetId="1">#REF!</definedName>
    <definedName name="CS_80S" localSheetId="18">#REF!</definedName>
    <definedName name="CS_80S" localSheetId="16">#REF!</definedName>
    <definedName name="CS_80S" localSheetId="6">#REF!</definedName>
    <definedName name="CS_80S" localSheetId="5">#REF!</definedName>
    <definedName name="CS_80S" localSheetId="3">#REF!</definedName>
    <definedName name="CS_80S" localSheetId="17">#REF!</definedName>
    <definedName name="CS_80S" localSheetId="8">#REF!</definedName>
    <definedName name="CS_80S" localSheetId="4">#REF!</definedName>
    <definedName name="CS_80S" localSheetId="20">#REF!</definedName>
    <definedName name="CS_80S">#REF!</definedName>
    <definedName name="CS_STD" localSheetId="7">#REF!</definedName>
    <definedName name="CS_STD" localSheetId="15">#REF!</definedName>
    <definedName name="CS_STD" localSheetId="1">#REF!</definedName>
    <definedName name="CS_STD" localSheetId="18">#REF!</definedName>
    <definedName name="CS_STD" localSheetId="16">#REF!</definedName>
    <definedName name="CS_STD" localSheetId="6">#REF!</definedName>
    <definedName name="CS_STD" localSheetId="5">#REF!</definedName>
    <definedName name="CS_STD" localSheetId="3">#REF!</definedName>
    <definedName name="CS_STD" localSheetId="17">#REF!</definedName>
    <definedName name="CS_STD" localSheetId="8">#REF!</definedName>
    <definedName name="CS_STD" localSheetId="4">#REF!</definedName>
    <definedName name="CS_STD" localSheetId="20">#REF!</definedName>
    <definedName name="CS_STD">#REF!</definedName>
    <definedName name="CS_XS" localSheetId="7">#REF!</definedName>
    <definedName name="CS_XS" localSheetId="15">#REF!</definedName>
    <definedName name="CS_XS" localSheetId="1">#REF!</definedName>
    <definedName name="CS_XS" localSheetId="18">#REF!</definedName>
    <definedName name="CS_XS" localSheetId="16">#REF!</definedName>
    <definedName name="CS_XS" localSheetId="6">#REF!</definedName>
    <definedName name="CS_XS" localSheetId="5">#REF!</definedName>
    <definedName name="CS_XS" localSheetId="3">#REF!</definedName>
    <definedName name="CS_XS" localSheetId="17">#REF!</definedName>
    <definedName name="CS_XS" localSheetId="8">#REF!</definedName>
    <definedName name="CS_XS" localSheetId="4">#REF!</definedName>
    <definedName name="CS_XS" localSheetId="20">#REF!</definedName>
    <definedName name="CS_XS">#REF!</definedName>
    <definedName name="CS_XXS" localSheetId="7">#REF!</definedName>
    <definedName name="CS_XXS" localSheetId="15">#REF!</definedName>
    <definedName name="CS_XXS" localSheetId="1">#REF!</definedName>
    <definedName name="CS_XXS" localSheetId="18">#REF!</definedName>
    <definedName name="CS_XXS" localSheetId="16">#REF!</definedName>
    <definedName name="CS_XXS" localSheetId="6">#REF!</definedName>
    <definedName name="CS_XXS" localSheetId="5">#REF!</definedName>
    <definedName name="CS_XXS" localSheetId="3">#REF!</definedName>
    <definedName name="CS_XXS" localSheetId="17">#REF!</definedName>
    <definedName name="CS_XXS" localSheetId="8">#REF!</definedName>
    <definedName name="CS_XXS" localSheetId="4">#REF!</definedName>
    <definedName name="CS_XXS" localSheetId="20">#REF!</definedName>
    <definedName name="CS_XXS">#REF!</definedName>
    <definedName name="csegment">"$#REF!.$#REF!$#REF!:$#REF!$#REF!"</definedName>
    <definedName name="csfund">"'smb://Stsai2/share/WINDOWS/xlsheet.xla'#$SSIP.$#REF!$#REF!"</definedName>
    <definedName name="ct" localSheetId="7">#REF!</definedName>
    <definedName name="ct" localSheetId="15">#REF!</definedName>
    <definedName name="ct" localSheetId="1">#REF!</definedName>
    <definedName name="ct" localSheetId="18">#REF!</definedName>
    <definedName name="ct" localSheetId="16">#REF!</definedName>
    <definedName name="ct" localSheetId="6">#REF!</definedName>
    <definedName name="ct" localSheetId="3">#REF!</definedName>
    <definedName name="ct" localSheetId="17">#REF!</definedName>
    <definedName name="ct" localSheetId="8">#REF!</definedName>
    <definedName name="ct" localSheetId="4">#REF!</definedName>
    <definedName name="ct" localSheetId="20">#REF!</definedName>
    <definedName name="ct">#REF!</definedName>
    <definedName name="CT_1C" localSheetId="5">[7]NKC!$AG$11:$AG$5000</definedName>
    <definedName name="CT_1C" localSheetId="3">[7]NKC!$AG$11:$AG$5000</definedName>
    <definedName name="CT_1C" localSheetId="17">[7]NKC!$AG$11:$AG$5000</definedName>
    <definedName name="CT_1C" localSheetId="8">[7]NKC!$AG$11:$AG$5000</definedName>
    <definedName name="CT_1C">[7]NKC!$AG$11:$AG$5000</definedName>
    <definedName name="CT_1N" localSheetId="5">[7]NKC!$AF$11:$AF$5000</definedName>
    <definedName name="CT_1N" localSheetId="3">[7]NKC!$AF$11:$AF$5000</definedName>
    <definedName name="CT_1N" localSheetId="17">[7]NKC!$AF$11:$AF$5000</definedName>
    <definedName name="CT_1N" localSheetId="8">[7]NKC!$AF$11:$AF$5000</definedName>
    <definedName name="CT_1N">[7]NKC!$AF$11:$AF$5000</definedName>
    <definedName name="CT_2C" localSheetId="5">[7]NKC!$N$11:$N$5000</definedName>
    <definedName name="CT_2C" localSheetId="3">[7]NKC!$N$11:$N$5000</definedName>
    <definedName name="CT_2C" localSheetId="17">[7]NKC!$N$11:$N$5000</definedName>
    <definedName name="CT_2C" localSheetId="8">[7]NKC!$N$11:$N$5000</definedName>
    <definedName name="CT_2C">[7]NKC!$N$11:$N$5000</definedName>
    <definedName name="CT_2N" localSheetId="5">[7]NKC!$L$11:$L$5000</definedName>
    <definedName name="CT_2N" localSheetId="3">[7]NKC!$L$11:$L$5000</definedName>
    <definedName name="CT_2N" localSheetId="17">[7]NKC!$L$11:$L$5000</definedName>
    <definedName name="CT_2N" localSheetId="8">[7]NKC!$L$11:$L$5000</definedName>
    <definedName name="CT_2N">[7]NKC!$L$11:$L$5000</definedName>
    <definedName name="CT_GHEPTK" localSheetId="5">[7]NKC!$AH$11:$AH$5000</definedName>
    <definedName name="CT_GHEPTK" localSheetId="3">[7]NKC!$AH$11:$AH$5000</definedName>
    <definedName name="CT_GHEPTK" localSheetId="17">[7]NKC!$AH$11:$AH$5000</definedName>
    <definedName name="CT_GHEPTK" localSheetId="8">[7]NKC!$AH$11:$AH$5000</definedName>
    <definedName name="CT_GHEPTK">[7]NKC!$AH$11:$AH$5000</definedName>
    <definedName name="CT_GHEPTK2" localSheetId="5">[7]NKC!$AI$11:$AI$5000</definedName>
    <definedName name="CT_GHEPTK2" localSheetId="3">[7]NKC!$AI$11:$AI$5000</definedName>
    <definedName name="CT_GHEPTK2" localSheetId="17">[7]NKC!$AI$11:$AI$5000</definedName>
    <definedName name="CT_GHEPTK2" localSheetId="8">[7]NKC!$AI$11:$AI$5000</definedName>
    <definedName name="CT_GHEPTK2">[7]NKC!$AI$11:$AI$5000</definedName>
    <definedName name="CT_KHON" localSheetId="5">[7]NKC!$AA$11:$AA$5000</definedName>
    <definedName name="CT_KHON" localSheetId="3">[7]NKC!$AA$11:$AA$5000</definedName>
    <definedName name="CT_KHON" localSheetId="17">[7]NKC!$AA$11:$AA$5000</definedName>
    <definedName name="CT_KHON" localSheetId="8">[7]NKC!$AA$11:$AA$5000</definedName>
    <definedName name="CT_KHON">[7]NKC!$AA$11:$AA$5000</definedName>
    <definedName name="CT_KHOX" localSheetId="5">[7]NKC!$AB$11:$AB$5000</definedName>
    <definedName name="CT_KHOX" localSheetId="3">[7]NKC!$AB$11:$AB$5000</definedName>
    <definedName name="CT_KHOX" localSheetId="17">[7]NKC!$AB$11:$AB$5000</definedName>
    <definedName name="CT_KHOX" localSheetId="8">[7]NKC!$AB$11:$AB$5000</definedName>
    <definedName name="CT_KHOX">[7]NKC!$AB$11:$AB$5000</definedName>
    <definedName name="CT_KYKT" localSheetId="5">[7]NKC!$A$11:$A$5000</definedName>
    <definedName name="CT_KYKT" localSheetId="3">[7]NKC!$A$11:$A$5000</definedName>
    <definedName name="CT_KYKT" localSheetId="17">[7]NKC!$A$11:$A$5000</definedName>
    <definedName name="CT_KYKT" localSheetId="8">[7]NKC!$A$11:$A$5000</definedName>
    <definedName name="CT_KYKT">[7]NKC!$A$11:$A$5000</definedName>
    <definedName name="CT_MADT_C" localSheetId="5">[7]NKC!$O$11:$O$5000</definedName>
    <definedName name="CT_MADT_C" localSheetId="3">[7]NKC!$O$11:$O$5000</definedName>
    <definedName name="CT_MADT_C" localSheetId="17">[7]NKC!$O$11:$O$5000</definedName>
    <definedName name="CT_MADT_C" localSheetId="8">[7]NKC!$O$11:$O$5000</definedName>
    <definedName name="CT_MADT_C">[7]NKC!$O$11:$O$5000</definedName>
    <definedName name="CT_MADT_N" localSheetId="5">[7]NKC!$M$11:$M$5000</definedName>
    <definedName name="CT_MADT_N" localSheetId="3">[7]NKC!$M$11:$M$5000</definedName>
    <definedName name="CT_MADT_N" localSheetId="17">[7]NKC!$M$11:$M$5000</definedName>
    <definedName name="CT_MADT_N" localSheetId="8">[7]NKC!$M$11:$M$5000</definedName>
    <definedName name="CT_MADT_N">[7]NKC!$M$11:$M$5000</definedName>
    <definedName name="CT_MH" localSheetId="5">[7]NKC!$Q$11:$Q$5000</definedName>
    <definedName name="CT_MH" localSheetId="3">[7]NKC!$Q$11:$Q$5000</definedName>
    <definedName name="CT_MH" localSheetId="17">[7]NKC!$Q$11:$Q$5000</definedName>
    <definedName name="CT_MH" localSheetId="8">[7]NKC!$Q$11:$Q$5000</definedName>
    <definedName name="CT_MH">[7]NKC!$Q$11:$Q$5000</definedName>
    <definedName name="CT_NGAY" localSheetId="5">[7]NKC!$C$11:$C$5000</definedName>
    <definedName name="CT_NGAY" localSheetId="3">[7]NKC!$C$11:$C$5000</definedName>
    <definedName name="CT_NGAY" localSheetId="17">[7]NKC!$C$11:$C$5000</definedName>
    <definedName name="CT_NGAY" localSheetId="8">[7]NKC!$C$11:$C$5000</definedName>
    <definedName name="CT_NGAY">[7]NKC!$C$11:$C$5000</definedName>
    <definedName name="CT_SL" localSheetId="5">[7]NKC!$T$11:$T$5000</definedName>
    <definedName name="CT_SL" localSheetId="3">[7]NKC!$T$11:$T$5000</definedName>
    <definedName name="CT_SL" localSheetId="17">[7]NKC!$T$11:$T$5000</definedName>
    <definedName name="CT_SL" localSheetId="8">[7]NKC!$T$11:$T$5000</definedName>
    <definedName name="CT_SL">[7]NKC!$T$11:$T$5000</definedName>
    <definedName name="CT_TIEN" localSheetId="5">[7]NKC!$Z$11:$Z$5000</definedName>
    <definedName name="CT_TIEN" localSheetId="3">[7]NKC!$Z$11:$Z$5000</definedName>
    <definedName name="CT_TIEN" localSheetId="17">[7]NKC!$Z$11:$Z$5000</definedName>
    <definedName name="CT_TIEN" localSheetId="8">[7]NKC!$Z$11:$Z$5000</definedName>
    <definedName name="CT_TIEN">[7]NKC!$Z$11:$Z$5000</definedName>
    <definedName name="ct1_2" localSheetId="7" hidden="1">{"'Sheet1'!$L$16"}</definedName>
    <definedName name="ct1_2" localSheetId="15" hidden="1">{"'Sheet1'!$L$16"}</definedName>
    <definedName name="ct1_2" localSheetId="16" hidden="1">{"'Sheet1'!$L$16"}</definedName>
    <definedName name="ct1_2" localSheetId="5" hidden="1">{"'Sheet1'!$L$16"}</definedName>
    <definedName name="ct1_2" localSheetId="3" hidden="1">{"'Sheet1'!$L$16"}</definedName>
    <definedName name="ct1_2" localSheetId="17" hidden="1">{"'Sheet1'!$L$16"}</definedName>
    <definedName name="ct1_2" localSheetId="8" hidden="1">{"'Sheet1'!$L$16"}</definedName>
    <definedName name="ct1_2" hidden="1">{"'Sheet1'!$L$16"}</definedName>
    <definedName name="ctc" localSheetId="7">#REF!</definedName>
    <definedName name="ctc" localSheetId="15">#REF!</definedName>
    <definedName name="ctc" localSheetId="1">#REF!</definedName>
    <definedName name="ctc" localSheetId="18">#REF!</definedName>
    <definedName name="ctc" localSheetId="16">#REF!</definedName>
    <definedName name="ctc" localSheetId="6">#REF!</definedName>
    <definedName name="ctc" localSheetId="5">#REF!</definedName>
    <definedName name="ctc" localSheetId="3">#REF!</definedName>
    <definedName name="ctc" localSheetId="17">#REF!</definedName>
    <definedName name="ctc" localSheetId="8">#REF!</definedName>
    <definedName name="ctc" localSheetId="4">#REF!</definedName>
    <definedName name="ctc" localSheetId="20">#REF!</definedName>
    <definedName name="ctc">#REF!</definedName>
    <definedName name="ctind">"'file:///A:/KHIROSAW/WINXL/FPV/95FPV/PACKAGE/INDSEG1.XLS'#$'VARIANCE ANALYSIS'.$#REF!$#REF!:$#REF!$#REF!"</definedName>
    <definedName name="cty" localSheetId="5">[7]HT!$C$4</definedName>
    <definedName name="cty" localSheetId="3">[7]HT!$C$4</definedName>
    <definedName name="cty" localSheetId="17">[7]HT!$C$4</definedName>
    <definedName name="cty" localSheetId="8">[7]HT!$C$4</definedName>
    <definedName name="cty">[7]HT!$C$4</definedName>
    <definedName name="CTY_DC" localSheetId="5">[7]HT!$C$5</definedName>
    <definedName name="CTY_DC" localSheetId="3">[7]HT!$C$5</definedName>
    <definedName name="CTY_DC" localSheetId="17">[7]HT!$C$5</definedName>
    <definedName name="CTY_DC" localSheetId="8">[7]HT!$C$5</definedName>
    <definedName name="CTY_DC">[7]HT!$C$5</definedName>
    <definedName name="cui">[13]gVL!$N$39</definedName>
    <definedName name="curr" localSheetId="5">[33]Control!$D$4</definedName>
    <definedName name="curr" localSheetId="3">[33]Control!$D$4</definedName>
    <definedName name="curr" localSheetId="17">[33]Control!$D$4</definedName>
    <definedName name="curr" localSheetId="8">[33]Control!$D$4</definedName>
    <definedName name="curr">[33]Control!$D$4</definedName>
    <definedName name="curr_mth">'[34]Sch 10 - Cashflow'!$D$7</definedName>
    <definedName name="CURRENCY" localSheetId="7">#REF!</definedName>
    <definedName name="CURRENCY" localSheetId="15">#REF!</definedName>
    <definedName name="CURRENCY" localSheetId="1">#REF!</definedName>
    <definedName name="CURRENCY" localSheetId="18">#REF!</definedName>
    <definedName name="CURRENCY" localSheetId="16">#REF!</definedName>
    <definedName name="CURRENCY" localSheetId="6">#REF!</definedName>
    <definedName name="Currency" localSheetId="5">#REF!</definedName>
    <definedName name="Currency" localSheetId="3">#REF!</definedName>
    <definedName name="Currency" localSheetId="17">#REF!</definedName>
    <definedName name="Currency" localSheetId="13">#REF!</definedName>
    <definedName name="Currency" localSheetId="8">#REF!</definedName>
    <definedName name="CURRENCY" localSheetId="4">#REF!</definedName>
    <definedName name="CURRENCY" localSheetId="20">#REF!</definedName>
    <definedName name="CURRENCY">#REF!</definedName>
    <definedName name="CurrencyRate" localSheetId="7">#REF!</definedName>
    <definedName name="CurrencyRate" localSheetId="15">#REF!</definedName>
    <definedName name="CurrencyRate" localSheetId="1">#REF!</definedName>
    <definedName name="CurrencyRate" localSheetId="18">#REF!</definedName>
    <definedName name="CurrencyRate" localSheetId="16">#REF!</definedName>
    <definedName name="CurrencyRate" localSheetId="6">#REF!</definedName>
    <definedName name="CurrencyRate" localSheetId="5">#REF!</definedName>
    <definedName name="CurrencyRate" localSheetId="3">#REF!</definedName>
    <definedName name="CurrencyRate" localSheetId="17">#REF!</definedName>
    <definedName name="CurrencyRate" localSheetId="8">#REF!</definedName>
    <definedName name="CurrencyRate" localSheetId="4">#REF!</definedName>
    <definedName name="CurrencyRate" localSheetId="20">#REF!</definedName>
    <definedName name="CurrencyRate">#REF!</definedName>
    <definedName name="current" localSheetId="7">#REF!</definedName>
    <definedName name="current" localSheetId="15">#REF!</definedName>
    <definedName name="current" localSheetId="1">#REF!</definedName>
    <definedName name="current" localSheetId="18">#REF!</definedName>
    <definedName name="current" localSheetId="16">#REF!</definedName>
    <definedName name="current" localSheetId="6">#REF!</definedName>
    <definedName name="current" localSheetId="3">#REF!</definedName>
    <definedName name="current" localSheetId="17">#REF!</definedName>
    <definedName name="current" localSheetId="8">#REF!</definedName>
    <definedName name="current" localSheetId="4">#REF!</definedName>
    <definedName name="current" localSheetId="20">#REF!</definedName>
    <definedName name="current">#REF!</definedName>
    <definedName name="cv">[35]gvl!$N$17</definedName>
    <definedName name="CW170_Average__Per_Unit">"$#REF!.$B$347:$U$374"</definedName>
    <definedName name="CW170_Sedan_1.4_Low_MT__Gas__Per_Unit">"$#REF!.$B$376:$U$403"</definedName>
    <definedName name="CW170_Sedan_1.4_Mid_MT_Gas__Per_Unit">"$#REF!.$B$405:$U$432"</definedName>
    <definedName name="CW170_Sedan_1.6_High_AT_Gas__Per_Unit">"$#REF!.$B$521:$U$548"</definedName>
    <definedName name="CW170_Sedan_1.6_High_MT_Gas__Per_Unit">"$#REF!.$B$492:$U$519"</definedName>
    <definedName name="CW170_Sedan_1.6_Mid_AT_Gas__Per_Unit">"$#REF!.$B$463:$U$490"</definedName>
    <definedName name="CW170_Sedan_1.6_Mid_MT_Gas__Per_Unit">"$#REF!.$B$434:$U$461"</definedName>
    <definedName name="CW170_Sedan_1.8_High_AT_Gas__Per_Unit">"$#REF!.$B$608:$U$635"</definedName>
    <definedName name="CW170_Sedan_1.8_High_MT_Diesel__Per_Unit">"$#REF!.$B$579:$U$606"</definedName>
    <definedName name="CW170_Sedan_1.8_Mid_MT_Diesel__Per_Unit">"$#REF!.$B$550:$U$577"</definedName>
    <definedName name="CW170_Wagon_1.4_Mid_MT_Gas__Per_Unit">"$#REF!.$B$637:$U$664"</definedName>
    <definedName name="CW170_Wagon_1.6_High_MT_Gas__Per_Unit">"$#REF!.$B$724:$U$751"</definedName>
    <definedName name="CW170_Wagon_1.6_Mid_AT_Gas__Per_Unit">"$#REF!.$B$666:$U$693"</definedName>
    <definedName name="CW170_Wagon_1.6_Mid_MT_Gas__Per_Unit">"$#REF!.$B$695:$U$722"</definedName>
    <definedName name="CW170_Wagon_1.8_High_AT_Gas__Per_Unit">"$#REF!.$B$811:$U$838"</definedName>
    <definedName name="CW170_Wagon_1.8_High_MT_Diesel__Per_Unit">"$#REF!.$B$782:$U$809"</definedName>
    <definedName name="CW170_Wagon_1.8_Mid_MT_Diesel__Per_Unit">"$#REF!.$B$753:$U$780"</definedName>
    <definedName name="cy_net_income" localSheetId="7">'[36]Income Statement1'!#REF!</definedName>
    <definedName name="cy_net_income" localSheetId="15">'[36]Income Statement1'!#REF!</definedName>
    <definedName name="cy_net_income" localSheetId="1">'[36]Income Statement1'!#REF!</definedName>
    <definedName name="cy_net_income" localSheetId="18">'[36]Income Statement1'!#REF!</definedName>
    <definedName name="cy_net_income" localSheetId="16">'[36]Income Statement1'!#REF!</definedName>
    <definedName name="cy_net_income" localSheetId="6">'[36]Income Statement1'!#REF!</definedName>
    <definedName name="cy_net_income" localSheetId="5">'[36]Income Statement1'!#REF!</definedName>
    <definedName name="cy_net_income" localSheetId="3">'[36]Income Statement1'!#REF!</definedName>
    <definedName name="cy_net_income" localSheetId="17">'[36]Income Statement1'!#REF!</definedName>
    <definedName name="cy_net_income" localSheetId="8">'[36]Income Statement1'!#REF!</definedName>
    <definedName name="cy_net_income" localSheetId="4">'[36]Income Statement1'!#REF!</definedName>
    <definedName name="cy_net_income" localSheetId="20">'[36]Income Statement1'!#REF!</definedName>
    <definedName name="cy_net_income">'[36]Income Statement1'!#REF!</definedName>
    <definedName name="cy_retained_earnings" localSheetId="7">'[36]Income Statement1'!#REF!</definedName>
    <definedName name="cy_retained_earnings" localSheetId="15">'[36]Income Statement1'!#REF!</definedName>
    <definedName name="cy_retained_earnings" localSheetId="1">'[36]Income Statement1'!#REF!</definedName>
    <definedName name="cy_retained_earnings" localSheetId="18">'[36]Income Statement1'!#REF!</definedName>
    <definedName name="cy_retained_earnings" localSheetId="16">'[36]Income Statement1'!#REF!</definedName>
    <definedName name="cy_retained_earnings" localSheetId="6">'[36]Income Statement1'!#REF!</definedName>
    <definedName name="cy_retained_earnings" localSheetId="5">'[36]Income Statement1'!#REF!</definedName>
    <definedName name="cy_retained_earnings" localSheetId="3">'[36]Income Statement1'!#REF!</definedName>
    <definedName name="cy_retained_earnings" localSheetId="17">'[36]Income Statement1'!#REF!</definedName>
    <definedName name="cy_retained_earnings" localSheetId="8">'[36]Income Statement1'!#REF!</definedName>
    <definedName name="cy_retained_earnings" localSheetId="4">'[36]Income Statement1'!#REF!</definedName>
    <definedName name="cy_retained_earnings" localSheetId="20">'[36]Income Statement1'!#REF!</definedName>
    <definedName name="cy_retained_earnings">'[36]Income Statement1'!#REF!</definedName>
    <definedName name="cy_share_equity" localSheetId="7">#REF!</definedName>
    <definedName name="cy_share_equity" localSheetId="15">#REF!</definedName>
    <definedName name="cy_share_equity" localSheetId="1">#REF!</definedName>
    <definedName name="cy_share_equity" localSheetId="18">#REF!</definedName>
    <definedName name="cy_share_equity" localSheetId="16">#REF!</definedName>
    <definedName name="cy_share_equity" localSheetId="6">#REF!</definedName>
    <definedName name="cy_share_equity" localSheetId="5">#REF!</definedName>
    <definedName name="cy_share_equity" localSheetId="3">#REF!</definedName>
    <definedName name="cy_share_equity" localSheetId="17">#REF!</definedName>
    <definedName name="cy_share_equity" localSheetId="8">#REF!</definedName>
    <definedName name="cy_share_equity" localSheetId="4">#REF!</definedName>
    <definedName name="cy_share_equity" localSheetId="20">#REF!</definedName>
    <definedName name="cy_share_equity">#REF!</definedName>
    <definedName name="d" localSheetId="7">'[6]HD-XUAT'!#REF!</definedName>
    <definedName name="d" localSheetId="15">'[6]HD-XUAT'!#REF!</definedName>
    <definedName name="d" localSheetId="1">'[6]HD-XUAT'!#REF!</definedName>
    <definedName name="d" localSheetId="18">'[6]HD-XUAT'!#REF!</definedName>
    <definedName name="d" localSheetId="16">'[6]HD-XUAT'!#REF!</definedName>
    <definedName name="d" localSheetId="6">'[6]HD-XUAT'!#REF!</definedName>
    <definedName name="d" localSheetId="10">'[6]HD-XUAT'!#REF!</definedName>
    <definedName name="d" localSheetId="14">'[6]HD-XUAT'!#REF!</definedName>
    <definedName name="d" localSheetId="5">'[7]HD-XUAT'!#REF!</definedName>
    <definedName name="d" localSheetId="3">'[7]HD-XUAT'!#REF!</definedName>
    <definedName name="d" localSheetId="17">'[7]HD-XUAT'!#REF!</definedName>
    <definedName name="d" localSheetId="8">'[7]HD-XUAT'!#REF!</definedName>
    <definedName name="d" localSheetId="4">'[6]HD-XUAT'!#REF!</definedName>
    <definedName name="d" localSheetId="20">'[6]HD-XUAT'!#REF!</definedName>
    <definedName name="d">'[6]HD-XUAT'!#REF!</definedName>
    <definedName name="d_626">"$#REF!.$A$1:$IV$65536"</definedName>
    <definedName name="D_7101A_B" localSheetId="7">#REF!</definedName>
    <definedName name="D_7101A_B" localSheetId="15">#REF!</definedName>
    <definedName name="D_7101A_B" localSheetId="1">#REF!</definedName>
    <definedName name="D_7101A_B" localSheetId="18">#REF!</definedName>
    <definedName name="D_7101A_B" localSheetId="16">#REF!</definedName>
    <definedName name="D_7101A_B" localSheetId="6">#REF!</definedName>
    <definedName name="D_7101A_B" localSheetId="3">#REF!</definedName>
    <definedName name="D_7101A_B" localSheetId="17">#REF!</definedName>
    <definedName name="D_7101A_B" localSheetId="8">#REF!</definedName>
    <definedName name="D_7101A_B" localSheetId="4">#REF!</definedName>
    <definedName name="D_7101A_B" localSheetId="20">#REF!</definedName>
    <definedName name="D_7101A_B">#REF!</definedName>
    <definedName name="data" localSheetId="11">#REF!</definedName>
    <definedName name="data" localSheetId="7">#REF!</definedName>
    <definedName name="data" localSheetId="15">#REF!</definedName>
    <definedName name="data" localSheetId="1">#REF!</definedName>
    <definedName name="data" localSheetId="18">#REF!</definedName>
    <definedName name="data" localSheetId="16">#REF!</definedName>
    <definedName name="data" localSheetId="6">#REF!</definedName>
    <definedName name="data" localSheetId="5">#REF!</definedName>
    <definedName name="data" localSheetId="3">#REF!</definedName>
    <definedName name="data" localSheetId="17">#REF!</definedName>
    <definedName name="data" localSheetId="8">#REF!</definedName>
    <definedName name="data" localSheetId="4">#REF!</definedName>
    <definedName name="data" localSheetId="20">#REF!</definedName>
    <definedName name="data">#REF!</definedName>
    <definedName name="DATA_DATA2_List" localSheetId="7">#REF!</definedName>
    <definedName name="DATA_DATA2_List" localSheetId="15">#REF!</definedName>
    <definedName name="DATA_DATA2_List" localSheetId="1">#REF!</definedName>
    <definedName name="DATA_DATA2_List" localSheetId="18">#REF!</definedName>
    <definedName name="DATA_DATA2_List" localSheetId="16">#REF!</definedName>
    <definedName name="DATA_DATA2_List" localSheetId="6">#REF!</definedName>
    <definedName name="DATA_DATA2_List" localSheetId="3">#REF!</definedName>
    <definedName name="DATA_DATA2_List" localSheetId="17">#REF!</definedName>
    <definedName name="DATA_DATA2_List" localSheetId="8">#REF!</definedName>
    <definedName name="DATA_DATA2_List" localSheetId="4">#REF!</definedName>
    <definedName name="DATA_DATA2_List" localSheetId="20">#REF!</definedName>
    <definedName name="DATA_DATA2_List">#REF!</definedName>
    <definedName name="DATA12" localSheetId="5">'[37]780215 Mar'!$M$9:$M$29</definedName>
    <definedName name="DATA12" localSheetId="3">'[37]780215 Mar'!$M$9:$M$29</definedName>
    <definedName name="DATA12" localSheetId="17">'[37]780215 Mar'!$M$9:$M$29</definedName>
    <definedName name="DATA12" localSheetId="8">'[37]780215 Mar'!$M$9:$M$29</definedName>
    <definedName name="DATA12" localSheetId="4">'[38]780215 Mar'!$M$9:$M$29</definedName>
    <definedName name="DATA12" localSheetId="2">'[38]780215 Mar'!$M$9:$M$29</definedName>
    <definedName name="DATA12">'[37]780215 Mar'!$M$9:$M$29</definedName>
    <definedName name="_xlnm.Database" localSheetId="7">#REF!</definedName>
    <definedName name="_xlnm.Database" localSheetId="15">#REF!</definedName>
    <definedName name="_xlnm.Database" localSheetId="1">#REF!</definedName>
    <definedName name="_xlnm.Database" localSheetId="18">#REF!</definedName>
    <definedName name="_xlnm.Database" localSheetId="16">#REF!</definedName>
    <definedName name="_xlnm.Database" localSheetId="6">#REF!</definedName>
    <definedName name="_xlnm.Database" localSheetId="5">#REF!</definedName>
    <definedName name="_xlnm.Database" localSheetId="3">#REF!</definedName>
    <definedName name="_xlnm.Database" localSheetId="17">#REF!</definedName>
    <definedName name="_xlnm.Database" localSheetId="8">#REF!</definedName>
    <definedName name="_xlnm.Database" localSheetId="4">#REF!</definedName>
    <definedName name="_xlnm.Database" localSheetId="2">#REF!</definedName>
    <definedName name="_xlnm.Database" localSheetId="20">#REF!</definedName>
    <definedName name="_xlnm.Database">#REF!</definedName>
    <definedName name="datacopy">"$#REF!.$B$5:$L$91"</definedName>
    <definedName name="DataFilter" localSheetId="7">[39]!DataFilter</definedName>
    <definedName name="DataFilter" localSheetId="1">[39]!DataFilter</definedName>
    <definedName name="DataFilter" localSheetId="18">[39]!DataFilter</definedName>
    <definedName name="DataFilter" localSheetId="16">[39]!DataFilter</definedName>
    <definedName name="DataFilter" localSheetId="6">[39]!DataFilter</definedName>
    <definedName name="DataFilter" localSheetId="3">[39]!DataFilter</definedName>
    <definedName name="DataFilter" localSheetId="17">[39]!DataFilter</definedName>
    <definedName name="DataFilter" localSheetId="8">[39]!DataFilter</definedName>
    <definedName name="DataFilter" localSheetId="4">[39]!DataFilter</definedName>
    <definedName name="DataFilter" localSheetId="20">[39]!DataFilter</definedName>
    <definedName name="DataFilter">[39]!DataFilter</definedName>
    <definedName name="DataSort" localSheetId="7">[39]!DataSort</definedName>
    <definedName name="DataSort" localSheetId="1">[39]!DataSort</definedName>
    <definedName name="DataSort" localSheetId="18">[39]!DataSort</definedName>
    <definedName name="DataSort" localSheetId="16">[39]!DataSort</definedName>
    <definedName name="DataSort" localSheetId="6">[39]!DataSort</definedName>
    <definedName name="DataSort" localSheetId="3">[39]!DataSort</definedName>
    <definedName name="DataSort" localSheetId="17">[39]!DataSort</definedName>
    <definedName name="DataSort" localSheetId="8">[39]!DataSort</definedName>
    <definedName name="DataSort" localSheetId="4">[39]!DataSort</definedName>
    <definedName name="DataSort" localSheetId="20">[39]!DataSort</definedName>
    <definedName name="DataSort">[39]!DataSort</definedName>
    <definedName name="DATATKDT" localSheetId="7">#REF!</definedName>
    <definedName name="DATATKDT" localSheetId="15">#REF!</definedName>
    <definedName name="DATATKDT" localSheetId="1">#REF!</definedName>
    <definedName name="DATATKDT" localSheetId="18">#REF!</definedName>
    <definedName name="DATATKDT" localSheetId="16">#REF!</definedName>
    <definedName name="DATATKDT" localSheetId="6">#REF!</definedName>
    <definedName name="DATATKDT" localSheetId="3">#REF!</definedName>
    <definedName name="DATATKDT" localSheetId="17">#REF!</definedName>
    <definedName name="DATATKDT" localSheetId="8">#REF!</definedName>
    <definedName name="DATATKDT" localSheetId="4">#REF!</definedName>
    <definedName name="DATATKDT" localSheetId="20">#REF!</definedName>
    <definedName name="DATATKDT">#REF!</definedName>
    <definedName name="date" localSheetId="7">#REF!</definedName>
    <definedName name="date" localSheetId="15">#REF!</definedName>
    <definedName name="date" localSheetId="1">#REF!</definedName>
    <definedName name="date" localSheetId="18">#REF!</definedName>
    <definedName name="date" localSheetId="16">#REF!</definedName>
    <definedName name="date" localSheetId="6">#REF!</definedName>
    <definedName name="date" localSheetId="5">#REF!</definedName>
    <definedName name="date" localSheetId="3">#REF!</definedName>
    <definedName name="date" localSheetId="17">#REF!</definedName>
    <definedName name="date" localSheetId="8">#REF!</definedName>
    <definedName name="date" localSheetId="4">#REF!</definedName>
    <definedName name="date" localSheetId="20">#REF!</definedName>
    <definedName name="date">#REF!</definedName>
    <definedName name="Date1" localSheetId="7">#REF!</definedName>
    <definedName name="Date1" localSheetId="15">#REF!</definedName>
    <definedName name="Date1" localSheetId="1">#REF!</definedName>
    <definedName name="Date1" localSheetId="18">#REF!</definedName>
    <definedName name="Date1" localSheetId="16">#REF!</definedName>
    <definedName name="Date1" localSheetId="6">#REF!</definedName>
    <definedName name="Date1" localSheetId="5">#REF!</definedName>
    <definedName name="Date1" localSheetId="3">#REF!</definedName>
    <definedName name="Date1" localSheetId="17">#REF!</definedName>
    <definedName name="Date1" localSheetId="8">#REF!</definedName>
    <definedName name="Date1" localSheetId="4">#REF!</definedName>
    <definedName name="Date1" localSheetId="20">#REF!</definedName>
    <definedName name="Date1">#REF!</definedName>
    <definedName name="db_select_Change" localSheetId="7">'2018-2022'!db_select_Change</definedName>
    <definedName name="db_select_Change" localSheetId="15">'2018-2022 SF'!db_select_Change</definedName>
    <definedName name="db_select_Change" localSheetId="16">B!db_select_Change</definedName>
    <definedName name="db_select_Change" localSheetId="5">[17]!db_select_Change</definedName>
    <definedName name="db_select_Change" localSheetId="3">[17]!db_select_Change</definedName>
    <definedName name="db_select_Change" localSheetId="17">[17]!db_select_Change</definedName>
    <definedName name="db_select_Change" localSheetId="8">[17]!db_select_Change</definedName>
    <definedName name="db_select_Change" localSheetId="4">Reconciliation!db_select_Change</definedName>
    <definedName name="db_select_Change" localSheetId="2">'Summary 2018 - MF'!db_select_Change</definedName>
    <definedName name="db_select_Change">[0]!db_select_Change</definedName>
    <definedName name="db_select_Change_10" localSheetId="7">'2018-2022'!db_select_Change_10</definedName>
    <definedName name="db_select_Change_10" localSheetId="15">'2018-2022 SF'!db_select_Change_10</definedName>
    <definedName name="db_select_Change_10" localSheetId="16">B!db_select_Change_10</definedName>
    <definedName name="db_select_Change_10" localSheetId="5">[17]!db_select_Change_10</definedName>
    <definedName name="db_select_Change_10" localSheetId="3">[17]!db_select_Change_10</definedName>
    <definedName name="db_select_Change_10" localSheetId="17">[17]!db_select_Change_10</definedName>
    <definedName name="db_select_Change_10" localSheetId="8">[17]!db_select_Change_10</definedName>
    <definedName name="db_select_Change_10" localSheetId="4">Reconciliation!db_select_Change_10</definedName>
    <definedName name="db_select_Change_10" localSheetId="2">'Summary 2018 - MF'!db_select_Change_10</definedName>
    <definedName name="db_select_Change_10">[0]!db_select_Change_10</definedName>
    <definedName name="dbon">"$#REF!.$A$1:$IV$65536"</definedName>
    <definedName name="dcape">"$#REF!.$A$1:$IV$65536"</definedName>
    <definedName name="dcc">[32]gvl!$Q$50</definedName>
    <definedName name="dcdt">"$#REF!.$A$1:$IV$65536"</definedName>
    <definedName name="dcdt115">"$#REF!.$A$1:$IV$65536"</definedName>
    <definedName name="dcdw">"$#REF!.$A$1:$IV$65536"</definedName>
    <definedName name="DCKCO">"$#REF!.$J$7:$J$107"</definedName>
    <definedName name="dckd">"$#REF!.$A$1:$IV$65536"</definedName>
    <definedName name="DCKN">"$#REF!.$I$8:$I$107"</definedName>
    <definedName name="DCKNO">"$#REF!.$I$7:$I$107"</definedName>
    <definedName name="dcl">[13]gVL!$N$32</definedName>
    <definedName name="dct75hb">"$#REF!.$A$1:$IV$65536"</definedName>
    <definedName name="dct75nb">"$#REF!.$A$1:$IV$65536"</definedName>
    <definedName name="DD" localSheetId="7">#REF!</definedName>
    <definedName name="DD" localSheetId="15">#REF!</definedName>
    <definedName name="DD" localSheetId="1">#REF!</definedName>
    <definedName name="DD" localSheetId="18">#REF!</definedName>
    <definedName name="DD" localSheetId="16">#REF!</definedName>
    <definedName name="DD" localSheetId="6">#REF!</definedName>
    <definedName name="dd" localSheetId="5">#REF!</definedName>
    <definedName name="dd" localSheetId="3">#REF!</definedName>
    <definedName name="dd" localSheetId="17">#REF!</definedName>
    <definedName name="dd" localSheetId="8">#REF!</definedName>
    <definedName name="DD" localSheetId="4">#REF!</definedName>
    <definedName name="DD" localSheetId="20">#REF!</definedName>
    <definedName name="DD">#REF!</definedName>
    <definedName name="dd0.5x1">[32]gvl!$Q$10</definedName>
    <definedName name="dd1x2">[35]gvl!$N$9</definedName>
    <definedName name="dd2x4">[32]gvl!$Q$12</definedName>
    <definedName name="dd4x6">[13]gVL!$N$10</definedName>
    <definedName name="DDAY" localSheetId="7">#REF!</definedName>
    <definedName name="DDAY" localSheetId="15">#REF!</definedName>
    <definedName name="DDAY" localSheetId="1">#REF!</definedName>
    <definedName name="DDAY" localSheetId="18">#REF!</definedName>
    <definedName name="DDAY" localSheetId="16">#REF!</definedName>
    <definedName name="DDAY" localSheetId="6">#REF!</definedName>
    <definedName name="dday" localSheetId="5">[13]gVL!$N$48</definedName>
    <definedName name="dday" localSheetId="3">[13]gVL!$N$48</definedName>
    <definedName name="dday" localSheetId="17">[13]gVL!$N$48</definedName>
    <definedName name="dday" localSheetId="8">[13]gVL!$N$48</definedName>
    <definedName name="DDAY" localSheetId="4">#REF!</definedName>
    <definedName name="DDAY" localSheetId="20">#REF!</definedName>
    <definedName name="DDAY">#REF!</definedName>
    <definedName name="ddd" localSheetId="7">#REF!</definedName>
    <definedName name="ddd" localSheetId="15">#REF!</definedName>
    <definedName name="ddd" localSheetId="1">#REF!</definedName>
    <definedName name="ddd" localSheetId="18">#REF!</definedName>
    <definedName name="ddd" localSheetId="16">#REF!</definedName>
    <definedName name="ddd" localSheetId="6">#REF!</definedName>
    <definedName name="ddd" localSheetId="5">#REF!</definedName>
    <definedName name="ddd" localSheetId="3">#REF!</definedName>
    <definedName name="ddd" localSheetId="17">#REF!</definedName>
    <definedName name="ddd" localSheetId="8">#REF!</definedName>
    <definedName name="ddd" localSheetId="4">#REF!</definedName>
    <definedName name="ddd" localSheetId="20">#REF!</definedName>
    <definedName name="ddd">#REF!</definedName>
    <definedName name="dddd" localSheetId="7">[29]노무비!#REF!</definedName>
    <definedName name="dddd" localSheetId="15">[29]노무비!#REF!</definedName>
    <definedName name="dddd" localSheetId="1">[29]노무비!#REF!</definedName>
    <definedName name="dddd" localSheetId="18">[29]노무비!#REF!</definedName>
    <definedName name="dddd" localSheetId="16">[29]노무비!#REF!</definedName>
    <definedName name="dddd" localSheetId="6">[29]노무비!#REF!</definedName>
    <definedName name="dddd" localSheetId="5">[29]노무비!#REF!</definedName>
    <definedName name="dddd" localSheetId="3">[29]노무비!#REF!</definedName>
    <definedName name="dddd" localSheetId="17">[29]노무비!#REF!</definedName>
    <definedName name="dddd" localSheetId="8">[29]노무비!#REF!</definedName>
    <definedName name="dddd" localSheetId="4">[29]노무비!#REF!</definedName>
    <definedName name="dddd" localSheetId="20">[29]노무비!#REF!</definedName>
    <definedName name="dddd">[29]노무비!#REF!</definedName>
    <definedName name="ddddd" localSheetId="7">#REF!</definedName>
    <definedName name="ddddd" localSheetId="15">#REF!</definedName>
    <definedName name="ddddd" localSheetId="1">#REF!</definedName>
    <definedName name="ddddd" localSheetId="18">#REF!</definedName>
    <definedName name="ddddd" localSheetId="16">#REF!</definedName>
    <definedName name="ddddd" localSheetId="6">#REF!</definedName>
    <definedName name="ddddd" localSheetId="5">#REF!</definedName>
    <definedName name="ddddd" localSheetId="3">#REF!</definedName>
    <definedName name="ddddd" localSheetId="17">#REF!</definedName>
    <definedName name="ddddd" localSheetId="8">#REF!</definedName>
    <definedName name="ddddd" localSheetId="4">#REF!</definedName>
    <definedName name="ddddd" localSheetId="20">#REF!</definedName>
    <definedName name="ddddd">#REF!</definedName>
    <definedName name="ddia">[13]gVL!$N$41</definedName>
    <definedName name="ddien">[32]gvl!$Q$51</definedName>
    <definedName name="deco">"$#REF!.$A$1:$IV$65536"</definedName>
    <definedName name="def" localSheetId="7">'2018-2022'!def</definedName>
    <definedName name="def" localSheetId="15">'2018-2022 SF'!def</definedName>
    <definedName name="def" localSheetId="16">B!def</definedName>
    <definedName name="def" localSheetId="5">[17]!def</definedName>
    <definedName name="def" localSheetId="3">[17]!def</definedName>
    <definedName name="def" localSheetId="17">[17]!def</definedName>
    <definedName name="def" localSheetId="8">[17]!def</definedName>
    <definedName name="def" localSheetId="4">Reconciliation!def</definedName>
    <definedName name="def" localSheetId="2">'Summary 2018 - MF'!def</definedName>
    <definedName name="def">[0]!def</definedName>
    <definedName name="def_10" localSheetId="7">'2018-2022'!def_10</definedName>
    <definedName name="def_10" localSheetId="15">'2018-2022 SF'!def_10</definedName>
    <definedName name="def_10" localSheetId="16">B!def_10</definedName>
    <definedName name="def_10" localSheetId="5">[17]!def_10</definedName>
    <definedName name="def_10" localSheetId="3">[17]!def_10</definedName>
    <definedName name="def_10" localSheetId="17">[17]!def_10</definedName>
    <definedName name="def_10" localSheetId="8">[17]!def_10</definedName>
    <definedName name="def_10" localSheetId="4">Reconciliation!def_10</definedName>
    <definedName name="def_10" localSheetId="2">'Summary 2018 - MF'!def_10</definedName>
    <definedName name="def_10">[0]!def_10</definedName>
    <definedName name="den_bu" localSheetId="7">#REF!</definedName>
    <definedName name="den_bu" localSheetId="15">#REF!</definedName>
    <definedName name="den_bu" localSheetId="1">#REF!</definedName>
    <definedName name="den_bu" localSheetId="18">#REF!</definedName>
    <definedName name="den_bu" localSheetId="16">#REF!</definedName>
    <definedName name="den_bu" localSheetId="6">#REF!</definedName>
    <definedName name="den_bu" localSheetId="5">#REF!</definedName>
    <definedName name="den_bu" localSheetId="3">#REF!</definedName>
    <definedName name="den_bu" localSheetId="17">#REF!</definedName>
    <definedName name="den_bu" localSheetId="8">#REF!</definedName>
    <definedName name="den_bu" localSheetId="4">#REF!</definedName>
    <definedName name="den_bu" localSheetId="20">#REF!</definedName>
    <definedName name="den_bu">#REF!</definedName>
    <definedName name="Department1" localSheetId="11">#REF!</definedName>
    <definedName name="Department1" localSheetId="7">#REF!</definedName>
    <definedName name="Department1" localSheetId="15">#REF!</definedName>
    <definedName name="Department1" localSheetId="1">#REF!</definedName>
    <definedName name="Department1" localSheetId="18">#REF!</definedName>
    <definedName name="Department1" localSheetId="16">#REF!</definedName>
    <definedName name="Department1" localSheetId="6">#REF!</definedName>
    <definedName name="Department1" localSheetId="10">#REF!</definedName>
    <definedName name="Department1" localSheetId="14">#REF!</definedName>
    <definedName name="Department1" localSheetId="5">#REF!</definedName>
    <definedName name="Department1" localSheetId="3">#REF!</definedName>
    <definedName name="Department1" localSheetId="17">#REF!</definedName>
    <definedName name="Department1" localSheetId="8">#REF!</definedName>
    <definedName name="Department1" localSheetId="4">#REF!</definedName>
    <definedName name="Department1" localSheetId="20">#REF!</definedName>
    <definedName name="Department1">#REF!</definedName>
    <definedName name="Department2" localSheetId="11">#REF!</definedName>
    <definedName name="Department2" localSheetId="7">#REF!</definedName>
    <definedName name="Department2" localSheetId="15">#REF!</definedName>
    <definedName name="Department2" localSheetId="1">#REF!</definedName>
    <definedName name="Department2" localSheetId="18">#REF!</definedName>
    <definedName name="Department2" localSheetId="16">#REF!</definedName>
    <definedName name="Department2" localSheetId="6">#REF!</definedName>
    <definedName name="Department2" localSheetId="10">#REF!</definedName>
    <definedName name="Department2" localSheetId="14">#REF!</definedName>
    <definedName name="Department2" localSheetId="5">#REF!</definedName>
    <definedName name="Department2" localSheetId="3">#REF!</definedName>
    <definedName name="Department2" localSheetId="17">#REF!</definedName>
    <definedName name="Department2" localSheetId="8">#REF!</definedName>
    <definedName name="Department2" localSheetId="4">#REF!</definedName>
    <definedName name="Department2" localSheetId="20">#REF!</definedName>
    <definedName name="Department2">#REF!</definedName>
    <definedName name="depn" localSheetId="7">#REF!</definedName>
    <definedName name="depn" localSheetId="15">#REF!</definedName>
    <definedName name="depn" localSheetId="1">#REF!</definedName>
    <definedName name="depn" localSheetId="18">#REF!</definedName>
    <definedName name="depn" localSheetId="16">#REF!</definedName>
    <definedName name="depn" localSheetId="6">#REF!</definedName>
    <definedName name="depn" localSheetId="5">#REF!</definedName>
    <definedName name="depn" localSheetId="3">#REF!</definedName>
    <definedName name="depn" localSheetId="17">#REF!</definedName>
    <definedName name="depn" localSheetId="8">#REF!</definedName>
    <definedName name="depn" localSheetId="4">#REF!</definedName>
    <definedName name="depn" localSheetId="20">#REF!</definedName>
    <definedName name="depn">#REF!</definedName>
    <definedName name="deposit" localSheetId="7">#REF!</definedName>
    <definedName name="deposit" localSheetId="15">#REF!</definedName>
    <definedName name="deposit" localSheetId="1">#REF!</definedName>
    <definedName name="deposit" localSheetId="18">#REF!</definedName>
    <definedName name="deposit" localSheetId="16">#REF!</definedName>
    <definedName name="deposit" localSheetId="6">#REF!</definedName>
    <definedName name="deposit" localSheetId="5">#REF!</definedName>
    <definedName name="deposit" localSheetId="3">#REF!</definedName>
    <definedName name="deposit" localSheetId="17">#REF!</definedName>
    <definedName name="deposit" localSheetId="8">#REF!</definedName>
    <definedName name="deposit" localSheetId="4">#REF!</definedName>
    <definedName name="deposit" localSheetId="20">#REF!</definedName>
    <definedName name="deposit">#REF!</definedName>
    <definedName name="Deptcode1" localSheetId="11">#REF!</definedName>
    <definedName name="Deptcode1" localSheetId="7">#REF!</definedName>
    <definedName name="Deptcode1" localSheetId="15">#REF!</definedName>
    <definedName name="Deptcode1" localSheetId="1">#REF!</definedName>
    <definedName name="Deptcode1" localSheetId="18">#REF!</definedName>
    <definedName name="Deptcode1" localSheetId="16">#REF!</definedName>
    <definedName name="Deptcode1" localSheetId="6">#REF!</definedName>
    <definedName name="Deptcode1" localSheetId="10">#REF!</definedName>
    <definedName name="Deptcode1" localSheetId="14">#REF!</definedName>
    <definedName name="Deptcode1" localSheetId="5">#REF!</definedName>
    <definedName name="Deptcode1" localSheetId="3">#REF!</definedName>
    <definedName name="Deptcode1" localSheetId="17">#REF!</definedName>
    <definedName name="Deptcode1" localSheetId="8">#REF!</definedName>
    <definedName name="Deptcode1" localSheetId="4">#REF!</definedName>
    <definedName name="Deptcode1" localSheetId="20">#REF!</definedName>
    <definedName name="Deptcode1">#REF!</definedName>
    <definedName name="Deptcode2" localSheetId="11">#REF!</definedName>
    <definedName name="Deptcode2" localSheetId="7">#REF!</definedName>
    <definedName name="Deptcode2" localSheetId="15">#REF!</definedName>
    <definedName name="Deptcode2" localSheetId="1">#REF!</definedName>
    <definedName name="Deptcode2" localSheetId="18">#REF!</definedName>
    <definedName name="Deptcode2" localSheetId="16">#REF!</definedName>
    <definedName name="Deptcode2" localSheetId="6">#REF!</definedName>
    <definedName name="Deptcode2" localSheetId="10">#REF!</definedName>
    <definedName name="Deptcode2" localSheetId="14">#REF!</definedName>
    <definedName name="Deptcode2" localSheetId="5">#REF!</definedName>
    <definedName name="Deptcode2" localSheetId="3">#REF!</definedName>
    <definedName name="Deptcode2" localSheetId="17">#REF!</definedName>
    <definedName name="Deptcode2" localSheetId="8">#REF!</definedName>
    <definedName name="Deptcode2" localSheetId="4">#REF!</definedName>
    <definedName name="Deptcode2" localSheetId="20">#REF!</definedName>
    <definedName name="Deptcode2">#REF!</definedName>
    <definedName name="desegment">"$#REF!.$#REF!$#REF!:$#REF!$#REF!"</definedName>
    <definedName name="DEW98_3.0_V6__Per_Unit">"$#REF!.$B$870:$U$897"</definedName>
    <definedName name="DEW98_3.7_V8__Per_Unit">"$#REF!.$B$899:$U$926"</definedName>
    <definedName name="DEW98_Average__Per_Unit">"$#REF!.$B$841:$U$868"</definedName>
    <definedName name="dexplor">"$#REF!.$A$1:$IV$65536"</definedName>
    <definedName name="dfest">"$#REF!.$A$1:$IV$65536"</definedName>
    <definedName name="dfgg" localSheetId="7">#REF!</definedName>
    <definedName name="dfgg" localSheetId="15">#REF!</definedName>
    <definedName name="dfgg" localSheetId="1">#REF!</definedName>
    <definedName name="dfgg" localSheetId="18">#REF!</definedName>
    <definedName name="dfgg" localSheetId="16">#REF!</definedName>
    <definedName name="dfgg" localSheetId="6">#REF!</definedName>
    <definedName name="dfgg" localSheetId="5">#REF!</definedName>
    <definedName name="dfgg" localSheetId="3">#REF!</definedName>
    <definedName name="dfgg" localSheetId="17">#REF!</definedName>
    <definedName name="dfgg" localSheetId="8">#REF!</definedName>
    <definedName name="dfgg" localSheetId="4">#REF!</definedName>
    <definedName name="dfgg" localSheetId="20">#REF!</definedName>
    <definedName name="dfgg">#REF!</definedName>
    <definedName name="dfsfdsf" localSheetId="7">'2018-2022'!dfsfdsf</definedName>
    <definedName name="dfsfdsf" localSheetId="15">'2018-2022 SF'!dfsfdsf</definedName>
    <definedName name="dfsfdsf" localSheetId="16">B!dfsfdsf</definedName>
    <definedName name="dfsfdsf" localSheetId="5">[17]!dfsfdsf</definedName>
    <definedName name="dfsfdsf" localSheetId="3">[17]!dfsfdsf</definedName>
    <definedName name="dfsfdsf" localSheetId="17">[17]!dfsfdsf</definedName>
    <definedName name="dfsfdsf" localSheetId="8">[17]!dfsfdsf</definedName>
    <definedName name="dfsfdsf" localSheetId="4">Reconciliation!dfsfdsf</definedName>
    <definedName name="dfsfdsf" localSheetId="2">'Summary 2018 - MF'!dfsfdsf</definedName>
    <definedName name="dfsfdsf">[0]!dfsfdsf</definedName>
    <definedName name="dfsfdsf_10" localSheetId="7">'2018-2022'!dfsfdsf_10</definedName>
    <definedName name="dfsfdsf_10" localSheetId="15">'2018-2022 SF'!dfsfdsf_10</definedName>
    <definedName name="dfsfdsf_10" localSheetId="16">B!dfsfdsf_10</definedName>
    <definedName name="dfsfdsf_10" localSheetId="5">[17]!dfsfdsf_10</definedName>
    <definedName name="dfsfdsf_10" localSheetId="3">[17]!dfsfdsf_10</definedName>
    <definedName name="dfsfdsf_10" localSheetId="17">[17]!dfsfdsf_10</definedName>
    <definedName name="dfsfdsf_10" localSheetId="8">[17]!dfsfdsf_10</definedName>
    <definedName name="dfsfdsf_10" localSheetId="4">Reconciliation!dfsfdsf_10</definedName>
    <definedName name="dfsfdsf_10" localSheetId="2">'Summary 2018 - MF'!dfsfdsf_10</definedName>
    <definedName name="dfsfdsf_10">[0]!dfsfdsf_10</definedName>
    <definedName name="DGCTI592" localSheetId="7">[40]DTXL!#REF!</definedName>
    <definedName name="DGCTI592" localSheetId="15">[40]DTXL!#REF!</definedName>
    <definedName name="DGCTI592" localSheetId="1">[40]DTXL!#REF!</definedName>
    <definedName name="DGCTI592" localSheetId="18">[40]DTXL!#REF!</definedName>
    <definedName name="DGCTI592" localSheetId="16">[40]DTXL!#REF!</definedName>
    <definedName name="DGCTI592" localSheetId="6">[40]DTXL!#REF!</definedName>
    <definedName name="DGCTI592" localSheetId="5">[40]DTXL!#REF!</definedName>
    <definedName name="DGCTI592" localSheetId="3">[40]DTXL!#REF!</definedName>
    <definedName name="DGCTI592" localSheetId="17">[40]DTXL!#REF!</definedName>
    <definedName name="DGCTI592" localSheetId="8">[40]DTXL!#REF!</definedName>
    <definedName name="DGCTI592" localSheetId="4">[40]DTXL!#REF!</definedName>
    <definedName name="DGCTI592" localSheetId="20">[40]DTXL!#REF!</definedName>
    <definedName name="DGCTI592">[40]DTXL!#REF!</definedName>
    <definedName name="dh">[13]gVL!$N$11</definedName>
    <definedName name="dhdhdh" localSheetId="7">'[14]인원계획-미화'!#REF!</definedName>
    <definedName name="dhdhdh" localSheetId="15">'[14]인원계획-미화'!#REF!</definedName>
    <definedName name="dhdhdh" localSheetId="1">'[14]인원계획-미화'!#REF!</definedName>
    <definedName name="dhdhdh" localSheetId="18">'[14]인원계획-미화'!#REF!</definedName>
    <definedName name="dhdhdh" localSheetId="16">'[14]인원계획-미화'!#REF!</definedName>
    <definedName name="dhdhdh" localSheetId="6">'[14]인원계획-미화'!#REF!</definedName>
    <definedName name="dhdhdh" localSheetId="5">'[14]인원계획-미화'!#REF!</definedName>
    <definedName name="dhdhdh" localSheetId="3">'[14]인원계획-미화'!#REF!</definedName>
    <definedName name="dhdhdh" localSheetId="17">'[14]인원계획-미화'!#REF!</definedName>
    <definedName name="dhdhdh" localSheetId="8">'[14]인원계획-미화'!#REF!</definedName>
    <definedName name="dhdhdh" localSheetId="4">'[14]인원계획-미화'!#REF!</definedName>
    <definedName name="dhdhdh" localSheetId="20">'[14]인원계획-미화'!#REF!</definedName>
    <definedName name="dhdhdh">'[14]인원계획-미화'!#REF!</definedName>
    <definedName name="dir_mktg" localSheetId="7">#REF!</definedName>
    <definedName name="dir_mktg" localSheetId="15">#REF!</definedName>
    <definedName name="dir_mktg" localSheetId="1">#REF!</definedName>
    <definedName name="dir_mktg" localSheetId="18">#REF!</definedName>
    <definedName name="dir_mktg" localSheetId="16">#REF!</definedName>
    <definedName name="dir_mktg" localSheetId="6">#REF!</definedName>
    <definedName name="dir_mktg" localSheetId="5">#REF!</definedName>
    <definedName name="dir_mktg" localSheetId="3">#REF!</definedName>
    <definedName name="dir_mktg" localSheetId="17">#REF!</definedName>
    <definedName name="dir_mktg" localSheetId="8">#REF!</definedName>
    <definedName name="dir_mktg" localSheetId="4">#REF!</definedName>
    <definedName name="dir_mktg" localSheetId="20">#REF!</definedName>
    <definedName name="dir_mktg">#REF!</definedName>
    <definedName name="DM" localSheetId="7">#REF!</definedName>
    <definedName name="DM" localSheetId="15">#REF!</definedName>
    <definedName name="DM" localSheetId="1">#REF!</definedName>
    <definedName name="DM" localSheetId="18">#REF!</definedName>
    <definedName name="DM" localSheetId="16">#REF!</definedName>
    <definedName name="DM" localSheetId="6">#REF!</definedName>
    <definedName name="DM" localSheetId="3">#REF!</definedName>
    <definedName name="DM" localSheetId="17">#REF!</definedName>
    <definedName name="DM" localSheetId="8">#REF!</definedName>
    <definedName name="DM" localSheetId="4">#REF!</definedName>
    <definedName name="DM" localSheetId="20">#REF!</definedName>
    <definedName name="DM">#REF!</definedName>
    <definedName name="DMDT" localSheetId="5">[7]DMDoiTuong!$B$6:$E$2000</definedName>
    <definedName name="DMDT" localSheetId="3">[7]DMDoiTuong!$B$6:$E$2000</definedName>
    <definedName name="DMDT" localSheetId="17">[7]DMDoiTuong!$B$6:$E$2000</definedName>
    <definedName name="DMDT" localSheetId="8">[7]DMDoiTuong!$B$6:$E$2000</definedName>
    <definedName name="DMDT">[7]DMDoiTuong!$B$6:$E$2000</definedName>
    <definedName name="DMDT_KT" localSheetId="5">[7]DMDoiTuong!$B$3</definedName>
    <definedName name="DMDT_KT" localSheetId="3">[7]DMDoiTuong!$B$3</definedName>
    <definedName name="DMDT_KT" localSheetId="17">[7]DMDoiTuong!$B$3</definedName>
    <definedName name="DMDT_KT" localSheetId="8">[7]DMDoiTuong!$B$3</definedName>
    <definedName name="DMDT_KT">[7]DMDoiTuong!$B$3</definedName>
    <definedName name="DMHTK" localSheetId="5">[7]DMHTK!$B$7:$E$1000</definedName>
    <definedName name="DMHTK" localSheetId="3">[7]DMHTK!$B$7:$E$1000</definedName>
    <definedName name="DMHTK" localSheetId="17">[7]DMHTK!$B$7:$E$1000</definedName>
    <definedName name="DMHTK" localSheetId="8">[7]DMHTK!$B$7:$E$1000</definedName>
    <definedName name="DMHTK">[7]DMHTK!$B$7:$E$1000</definedName>
    <definedName name="DMHTK_KHO" localSheetId="5">[7]DMHTK!$G$7:$H$100</definedName>
    <definedName name="DMHTK_KHO" localSheetId="3">[7]DMHTK!$G$7:$H$100</definedName>
    <definedName name="DMHTK_KHO" localSheetId="17">[7]DMHTK!$G$7:$H$100</definedName>
    <definedName name="DMHTK_KHO" localSheetId="8">[7]DMHTK!$G$7:$H$100</definedName>
    <definedName name="DMHTK_KHO">[7]DMHTK!$G$7:$H$100</definedName>
    <definedName name="DMHTK_MH" localSheetId="5">[7]DMHTK!$B$7:$B$1000</definedName>
    <definedName name="DMHTK_MH" localSheetId="3">[7]DMHTK!$B$7:$B$1000</definedName>
    <definedName name="DMHTK_MH" localSheetId="17">[7]DMHTK!$B$7:$B$1000</definedName>
    <definedName name="DMHTK_MH" localSheetId="8">[7]DMHTK!$B$7:$B$1000</definedName>
    <definedName name="DMHTK_MH">[7]DMHTK!$B$7:$B$1000</definedName>
    <definedName name="DMHTK_MK" localSheetId="5">[7]DMHTK!$G$7:$G$100</definedName>
    <definedName name="DMHTK_MK" localSheetId="3">[7]DMHTK!$G$7:$G$100</definedName>
    <definedName name="DMHTK_MK" localSheetId="17">[7]DMHTK!$G$7:$G$100</definedName>
    <definedName name="DMHTK_MK" localSheetId="8">[7]DMHTK!$G$7:$G$100</definedName>
    <definedName name="DMHTK_MK">[7]DMHTK!$G$7:$G$100</definedName>
    <definedName name="dmill">"$#REF!.$A$1:$IV$65536"</definedName>
    <definedName name="dmodeo">"$#REF!.$A$1:$IV$65536"</definedName>
    <definedName name="dmpv">"$#REF!.$A$1:$IV$65536"</definedName>
    <definedName name="DMTH_LOAICT1" localSheetId="5">[7]DMTH!$L$2</definedName>
    <definedName name="DMTH_LOAICT1" localSheetId="3">[7]DMTH!$L$2</definedName>
    <definedName name="DMTH_LOAICT1" localSheetId="17">[7]DMTH!$L$2</definedName>
    <definedName name="DMTH_LOAICT1" localSheetId="8">[7]DMTH!$L$2</definedName>
    <definedName name="DMTH_LOAICT1">[7]DMTH!$L$2</definedName>
    <definedName name="DMTH_MAVAT" localSheetId="5">[7]DMTH!$B$6:$B$23</definedName>
    <definedName name="DMTH_MAVAT" localSheetId="3">[7]DMTH!$B$6:$B$23</definedName>
    <definedName name="DMTH_MAVAT" localSheetId="17">[7]DMTH!$B$6:$B$23</definedName>
    <definedName name="DMTH_MAVAT" localSheetId="8">[7]DMTH!$B$6:$B$23</definedName>
    <definedName name="DMTH_MAVAT">[7]DMTH!$B$6:$B$23</definedName>
    <definedName name="DMTH_NGUYENTE" localSheetId="5">[7]DMTH!$H$6:$H$20</definedName>
    <definedName name="DMTH_NGUYENTE" localSheetId="3">[7]DMTH!$H$6:$H$20</definedName>
    <definedName name="DMTH_NGUYENTE" localSheetId="17">[7]DMTH!$H$6:$H$20</definedName>
    <definedName name="DMTH_NGUYENTE" localSheetId="8">[7]DMTH!$H$6:$H$20</definedName>
    <definedName name="DMTH_NGUYENTE">[7]DMTH!$H$6:$H$20</definedName>
    <definedName name="dmz">[32]gvl!$Q$45</definedName>
    <definedName name="dno">[32]gvl!$Q$49</definedName>
    <definedName name="Documents" localSheetId="7">#REF!</definedName>
    <definedName name="Documents" localSheetId="15">#REF!</definedName>
    <definedName name="Documents" localSheetId="1">#REF!</definedName>
    <definedName name="Documents" localSheetId="18">#REF!</definedName>
    <definedName name="Documents" localSheetId="16">#REF!</definedName>
    <definedName name="Documents" localSheetId="6">#REF!</definedName>
    <definedName name="Documents" localSheetId="5">#REF!</definedName>
    <definedName name="Documents" localSheetId="3">#REF!</definedName>
    <definedName name="Documents" localSheetId="17">#REF!</definedName>
    <definedName name="Documents" localSheetId="8">#REF!</definedName>
    <definedName name="Documents" localSheetId="4">#REF!</definedName>
    <definedName name="Documents" localSheetId="20">#REF!</definedName>
    <definedName name="Documents">#REF!</definedName>
    <definedName name="Documents_array" localSheetId="11">#REF!</definedName>
    <definedName name="Documents_array" localSheetId="7">#REF!</definedName>
    <definedName name="Documents_array" localSheetId="15">#REF!</definedName>
    <definedName name="Documents_array" localSheetId="1">#REF!</definedName>
    <definedName name="Documents_array" localSheetId="18">#REF!</definedName>
    <definedName name="Documents_array" localSheetId="16">#REF!</definedName>
    <definedName name="Documents_array" localSheetId="6">#REF!</definedName>
    <definedName name="Documents_array" localSheetId="3">#REF!</definedName>
    <definedName name="Documents_array" localSheetId="17">#REF!</definedName>
    <definedName name="Documents_array" localSheetId="8">#REF!</definedName>
    <definedName name="Documents_array" localSheetId="4">#REF!</definedName>
    <definedName name="Documents_array" localSheetId="20">#REF!</definedName>
    <definedName name="Documents_array">#REF!</definedName>
    <definedName name="dongia" localSheetId="7">#REF!</definedName>
    <definedName name="dongia" localSheetId="15">#REF!</definedName>
    <definedName name="dongia" localSheetId="1">#REF!</definedName>
    <definedName name="dongia" localSheetId="18">#REF!</definedName>
    <definedName name="dongia" localSheetId="16">#REF!</definedName>
    <definedName name="dongia" localSheetId="6">#REF!</definedName>
    <definedName name="dongia" localSheetId="3">#REF!</definedName>
    <definedName name="dongia" localSheetId="17">#REF!</definedName>
    <definedName name="dongia" localSheetId="8">#REF!</definedName>
    <definedName name="dongia" localSheetId="4">#REF!</definedName>
    <definedName name="dongia" localSheetId="20">#REF!</definedName>
    <definedName name="dongia">#REF!</definedName>
    <definedName name="dpro">"$#REF!.$A$1:$IV$65536"</definedName>
    <definedName name="DrAc" localSheetId="7">#REF!</definedName>
    <definedName name="DrAc" localSheetId="15">#REF!</definedName>
    <definedName name="DrAc" localSheetId="1">#REF!</definedName>
    <definedName name="DrAc" localSheetId="18">#REF!</definedName>
    <definedName name="DrAc" localSheetId="16">#REF!</definedName>
    <definedName name="DrAc" localSheetId="6">#REF!</definedName>
    <definedName name="DrAc" localSheetId="5">#REF!</definedName>
    <definedName name="DrAc" localSheetId="3">#REF!</definedName>
    <definedName name="DrAc" localSheetId="17">#REF!</definedName>
    <definedName name="DrAc" localSheetId="8">#REF!</definedName>
    <definedName name="DrAc" localSheetId="4">#REF!</definedName>
    <definedName name="DrAc" localSheetId="20">#REF!</definedName>
    <definedName name="DrAc">#REF!</definedName>
    <definedName name="DrAc_12" localSheetId="7">#REF!</definedName>
    <definedName name="DrAc_12" localSheetId="15">#REF!</definedName>
    <definedName name="DrAc_12" localSheetId="1">#REF!</definedName>
    <definedName name="DrAc_12" localSheetId="18">#REF!</definedName>
    <definedName name="DrAc_12" localSheetId="16">#REF!</definedName>
    <definedName name="DrAc_12" localSheetId="6">#REF!</definedName>
    <definedName name="DrAc_12" localSheetId="5">#REF!</definedName>
    <definedName name="DrAc_12" localSheetId="3">#REF!</definedName>
    <definedName name="DrAc_12" localSheetId="17">#REF!</definedName>
    <definedName name="DrAc_12" localSheetId="8">#REF!</definedName>
    <definedName name="DrAc_12" localSheetId="4">#REF!</definedName>
    <definedName name="DrAc_12" localSheetId="20">#REF!</definedName>
    <definedName name="DrAc_12">#REF!</definedName>
    <definedName name="DrAc_13" localSheetId="7">#REF!</definedName>
    <definedName name="DrAc_13" localSheetId="15">#REF!</definedName>
    <definedName name="DrAc_13" localSheetId="1">#REF!</definedName>
    <definedName name="DrAc_13" localSheetId="18">#REF!</definedName>
    <definedName name="DrAc_13" localSheetId="16">#REF!</definedName>
    <definedName name="DrAc_13" localSheetId="6">#REF!</definedName>
    <definedName name="DrAc_13" localSheetId="5">#REF!</definedName>
    <definedName name="DrAc_13" localSheetId="3">#REF!</definedName>
    <definedName name="DrAc_13" localSheetId="17">#REF!</definedName>
    <definedName name="DrAc_13" localSheetId="8">#REF!</definedName>
    <definedName name="DrAc_13" localSheetId="4">#REF!</definedName>
    <definedName name="DrAc_13" localSheetId="20">#REF!</definedName>
    <definedName name="DrAc_13">#REF!</definedName>
    <definedName name="DrAc_6" localSheetId="7">#REF!</definedName>
    <definedName name="DrAc_6" localSheetId="15">#REF!</definedName>
    <definedName name="DrAc_6" localSheetId="1">#REF!</definedName>
    <definedName name="DrAc_6" localSheetId="18">#REF!</definedName>
    <definedName name="DrAc_6" localSheetId="16">#REF!</definedName>
    <definedName name="DrAc_6" localSheetId="6">#REF!</definedName>
    <definedName name="DrAc_6" localSheetId="5">#REF!</definedName>
    <definedName name="DrAc_6" localSheetId="3">#REF!</definedName>
    <definedName name="DrAc_6" localSheetId="17">#REF!</definedName>
    <definedName name="DrAc_6" localSheetId="8">#REF!</definedName>
    <definedName name="DrAc_6" localSheetId="4">#REF!</definedName>
    <definedName name="DrAc_6" localSheetId="20">#REF!</definedName>
    <definedName name="DrAc_6">#REF!</definedName>
    <definedName name="dscorp">"$#REF!.$A$1:$IV$65536"</definedName>
    <definedName name="DSTD_Clear" localSheetId="7">'[41]Accrual Jul''17'!DSTD_Clear</definedName>
    <definedName name="DSTD_Clear" localSheetId="1">'[41]Accrual Jul''17'!DSTD_Clear</definedName>
    <definedName name="DSTD_Clear" localSheetId="18">'[41]Accrual Jul''17'!DSTD_Clear</definedName>
    <definedName name="DSTD_Clear" localSheetId="16">'[41]Accrual Jul''17'!DSTD_Clear</definedName>
    <definedName name="DSTD_Clear" localSheetId="6">'[41]Accrual Jul''17'!DSTD_Clear</definedName>
    <definedName name="DSTD_Clear" localSheetId="3">'[41]Accrual Jul''17'!DSTD_Clear</definedName>
    <definedName name="DSTD_Clear" localSheetId="17">'[41]Accrual Jul''17'!DSTD_Clear</definedName>
    <definedName name="DSTD_Clear" localSheetId="8">'[41]Accrual Jul''17'!DSTD_Clear</definedName>
    <definedName name="DSTD_Clear" localSheetId="4">'[41]Accrual Jul''17'!DSTD_Clear</definedName>
    <definedName name="DSTD_Clear" localSheetId="20">'[41]Accrual Jul''17'!DSTD_Clear</definedName>
    <definedName name="DSTD_Clear">'[41]Accrual Jul''17'!DSTD_Clear</definedName>
    <definedName name="DSUMDATA" localSheetId="7">#REF!</definedName>
    <definedName name="DSUMDATA" localSheetId="15">#REF!</definedName>
    <definedName name="DSUMDATA" localSheetId="1">#REF!</definedName>
    <definedName name="DSUMDATA" localSheetId="18">#REF!</definedName>
    <definedName name="DSUMDATA" localSheetId="16">#REF!</definedName>
    <definedName name="DSUMDATA" localSheetId="6">#REF!</definedName>
    <definedName name="DSUMDATA" localSheetId="5">#REF!</definedName>
    <definedName name="DSUMDATA" localSheetId="3">#REF!</definedName>
    <definedName name="DSUMDATA" localSheetId="17">#REF!</definedName>
    <definedName name="DSUMDATA" localSheetId="8">#REF!</definedName>
    <definedName name="DSUMDATA" localSheetId="4">#REF!</definedName>
    <definedName name="DSUMDATA" localSheetId="20">#REF!</definedName>
    <definedName name="DSUMDATA">#REF!</definedName>
    <definedName name="dtau">"$#REF!.$A$1:$IV$65536"</definedName>
    <definedName name="DUCKY_CO_CDSPS">"$#REF!.$J$8:$J$107"</definedName>
    <definedName name="DUCKY_NO_CDSPS">"$#REF!.$I$8:$I$107"</definedName>
    <definedName name="DUDKY_CO_CDSPS">"$#REF!.$F$8:$F$107"</definedName>
    <definedName name="DUDKY_NO_CDSPS">"$#REF!.$E$8:$E$107"</definedName>
    <definedName name="dwinstar">"$#REF!.$A$1:$IV$65536"</definedName>
    <definedName name="DYÕ" localSheetId="7">#REF!</definedName>
    <definedName name="DYÕ" localSheetId="15">#REF!</definedName>
    <definedName name="DYÕ" localSheetId="1">#REF!</definedName>
    <definedName name="DYÕ" localSheetId="18">#REF!</definedName>
    <definedName name="DYÕ" localSheetId="16">#REF!</definedName>
    <definedName name="DYÕ" localSheetId="6">#REF!</definedName>
    <definedName name="DYÕ" localSheetId="5">#REF!</definedName>
    <definedName name="DYÕ" localSheetId="3">#REF!</definedName>
    <definedName name="DYÕ" localSheetId="17">#REF!</definedName>
    <definedName name="DYÕ" localSheetId="8">#REF!</definedName>
    <definedName name="DYÕ" localSheetId="4">#REF!</definedName>
    <definedName name="DYÕ" localSheetId="20">#REF!</definedName>
    <definedName name="DYÕ">#REF!</definedName>
    <definedName name="e" localSheetId="7">'[18]#REF'!#REF!</definedName>
    <definedName name="e" localSheetId="15">'[18]#REF'!#REF!</definedName>
    <definedName name="e" localSheetId="1">'[18]#REF'!#REF!</definedName>
    <definedName name="e" localSheetId="18">'[18]#REF'!#REF!</definedName>
    <definedName name="e" localSheetId="16">'[18]#REF'!#REF!</definedName>
    <definedName name="e" localSheetId="6">'[18]#REF'!#REF!</definedName>
    <definedName name="e" localSheetId="5">'[18]#REF'!#REF!</definedName>
    <definedName name="e" localSheetId="3">'[18]#REF'!#REF!</definedName>
    <definedName name="e" localSheetId="17">'[18]#REF'!#REF!</definedName>
    <definedName name="e" localSheetId="8">'[18]#REF'!#REF!</definedName>
    <definedName name="e" localSheetId="4">'[18]#REF'!#REF!</definedName>
    <definedName name="e" localSheetId="20">'[18]#REF'!#REF!</definedName>
    <definedName name="e">'[18]#REF'!#REF!</definedName>
    <definedName name="EC_destination" localSheetId="11">#REF!</definedName>
    <definedName name="EC_destination" localSheetId="7">#REF!</definedName>
    <definedName name="EC_destination" localSheetId="15">#REF!</definedName>
    <definedName name="EC_destination" localSheetId="1">#REF!</definedName>
    <definedName name="EC_destination" localSheetId="18">#REF!</definedName>
    <definedName name="EC_destination" localSheetId="16">#REF!</definedName>
    <definedName name="EC_destination" localSheetId="6">#REF!</definedName>
    <definedName name="EC_destination" localSheetId="10">#REF!</definedName>
    <definedName name="EC_destination" localSheetId="14">#REF!</definedName>
    <definedName name="EC_destination" localSheetId="5">#REF!</definedName>
    <definedName name="EC_destination" localSheetId="3">#REF!</definedName>
    <definedName name="EC_destination" localSheetId="17">#REF!</definedName>
    <definedName name="EC_destination" localSheetId="8">#REF!</definedName>
    <definedName name="EC_destination" localSheetId="4">#REF!</definedName>
    <definedName name="EC_destination" localSheetId="20">#REF!</definedName>
    <definedName name="EC_destination">#REF!</definedName>
    <definedName name="EC_source" localSheetId="11">#REF!</definedName>
    <definedName name="EC_source" localSheetId="7">#REF!</definedName>
    <definedName name="EC_source" localSheetId="15">#REF!</definedName>
    <definedName name="EC_source" localSheetId="1">#REF!</definedName>
    <definedName name="EC_source" localSheetId="18">#REF!</definedName>
    <definedName name="EC_source" localSheetId="16">#REF!</definedName>
    <definedName name="EC_source" localSheetId="6">#REF!</definedName>
    <definedName name="EC_source" localSheetId="10">#REF!</definedName>
    <definedName name="EC_source" localSheetId="14">#REF!</definedName>
    <definedName name="EC_source" localSheetId="5">#REF!</definedName>
    <definedName name="EC_source" localSheetId="3">#REF!</definedName>
    <definedName name="EC_source" localSheetId="17">#REF!</definedName>
    <definedName name="EC_source" localSheetId="8">#REF!</definedName>
    <definedName name="EC_source" localSheetId="4">#REF!</definedName>
    <definedName name="EC_source" localSheetId="20">#REF!</definedName>
    <definedName name="EC_source">#REF!</definedName>
    <definedName name="edc" localSheetId="7">'2018-2022'!edc</definedName>
    <definedName name="edc" localSheetId="15">'2018-2022 SF'!edc</definedName>
    <definedName name="edc" localSheetId="16">B!edc</definedName>
    <definedName name="edc" localSheetId="5">[17]!edc</definedName>
    <definedName name="edc" localSheetId="3">[17]!edc</definedName>
    <definedName name="edc" localSheetId="17">[17]!edc</definedName>
    <definedName name="edc" localSheetId="8">[17]!edc</definedName>
    <definedName name="edc" localSheetId="4">Reconciliation!edc</definedName>
    <definedName name="edc" localSheetId="2">'Summary 2018 - MF'!edc</definedName>
    <definedName name="edc">[0]!edc</definedName>
    <definedName name="edc_10" localSheetId="7">'2018-2022'!edc_10</definedName>
    <definedName name="edc_10" localSheetId="15">'2018-2022 SF'!edc_10</definedName>
    <definedName name="edc_10" localSheetId="16">B!edc_10</definedName>
    <definedName name="edc_10" localSheetId="5">[17]!edc_10</definedName>
    <definedName name="edc_10" localSheetId="3">[17]!edc_10</definedName>
    <definedName name="edc_10" localSheetId="17">[17]!edc_10</definedName>
    <definedName name="edc_10" localSheetId="8">[17]!edc_10</definedName>
    <definedName name="edc_10" localSheetId="4">Reconciliation!edc_10</definedName>
    <definedName name="edc_10" localSheetId="2">'Summary 2018 - MF'!edc_10</definedName>
    <definedName name="edc_10">[0]!edc_10</definedName>
    <definedName name="eee">"'file:///A:/USERDATA/WINXL/HKONDO/FCT/97FCT/KEYDATA/97KD0-12.XLS'#$Budget.$#REF!$#REF!:$#REF!$#REF!"</definedName>
    <definedName name="EFX" localSheetId="7">#REF!</definedName>
    <definedName name="EFX" localSheetId="15">#REF!</definedName>
    <definedName name="EFX" localSheetId="1">#REF!</definedName>
    <definedName name="EFX" localSheetId="18">#REF!</definedName>
    <definedName name="EFX" localSheetId="16">#REF!</definedName>
    <definedName name="EFX" localSheetId="6">#REF!</definedName>
    <definedName name="EFX" localSheetId="5">#REF!</definedName>
    <definedName name="EFX" localSheetId="3">#REF!</definedName>
    <definedName name="EFX" localSheetId="17">#REF!</definedName>
    <definedName name="EFX" localSheetId="8">#REF!</definedName>
    <definedName name="EFX" localSheetId="4">#REF!</definedName>
    <definedName name="EFX" localSheetId="20">#REF!</definedName>
    <definedName name="EFX">#REF!</definedName>
    <definedName name="EJ">[42]Sheet16!$J$51:$L$2415</definedName>
    <definedName name="EmailCostPerUser" localSheetId="5">[23]Variables!$F$2</definedName>
    <definedName name="EmailCostPerUser" localSheetId="3">[23]Variables!$F$2</definedName>
    <definedName name="EmailCostPerUser" localSheetId="17">[23]Variables!$F$2</definedName>
    <definedName name="EmailCostPerUser" localSheetId="8">[23]Variables!$F$2</definedName>
    <definedName name="EmailCostPerUser">[23]Variables!$F$2</definedName>
    <definedName name="EmployeeNames" localSheetId="11">#REF!</definedName>
    <definedName name="EmployeeNames" localSheetId="7">#REF!</definedName>
    <definedName name="EmployeeNames" localSheetId="15">#REF!</definedName>
    <definedName name="EmployeeNames" localSheetId="1">#REF!</definedName>
    <definedName name="EmployeeNames" localSheetId="18">#REF!</definedName>
    <definedName name="EmployeeNames" localSheetId="16">#REF!</definedName>
    <definedName name="EmployeeNames" localSheetId="6">#REF!</definedName>
    <definedName name="EmployeeNames" localSheetId="10">#REF!</definedName>
    <definedName name="EmployeeNames" localSheetId="14">#REF!</definedName>
    <definedName name="EmployeeNames" localSheetId="5">#REF!</definedName>
    <definedName name="EmployeeNames" localSheetId="3">#REF!</definedName>
    <definedName name="EmployeeNames" localSheetId="17">#REF!</definedName>
    <definedName name="EmployeeNames" localSheetId="8">#REF!</definedName>
    <definedName name="EmployeeNames" localSheetId="4">#REF!</definedName>
    <definedName name="EmployeeNames" localSheetId="20">#REF!</definedName>
    <definedName name="EmployeeNames">#REF!</definedName>
    <definedName name="End_1" localSheetId="7">#REF!</definedName>
    <definedName name="End_1" localSheetId="15">#REF!</definedName>
    <definedName name="End_1" localSheetId="1">#REF!</definedName>
    <definedName name="End_1" localSheetId="18">#REF!</definedName>
    <definedName name="End_1" localSheetId="16">#REF!</definedName>
    <definedName name="End_1" localSheetId="6">#REF!</definedName>
    <definedName name="End_1" localSheetId="5">#REF!</definedName>
    <definedName name="End_1" localSheetId="3">#REF!</definedName>
    <definedName name="End_1" localSheetId="17">#REF!</definedName>
    <definedName name="End_1" localSheetId="8">#REF!</definedName>
    <definedName name="End_1" localSheetId="4">#REF!</definedName>
    <definedName name="End_1" localSheetId="20">#REF!</definedName>
    <definedName name="End_1">#REF!</definedName>
    <definedName name="End_10" localSheetId="7">#REF!</definedName>
    <definedName name="End_10" localSheetId="15">#REF!</definedName>
    <definedName name="End_10" localSheetId="1">#REF!</definedName>
    <definedName name="End_10" localSheetId="18">#REF!</definedName>
    <definedName name="End_10" localSheetId="16">#REF!</definedName>
    <definedName name="End_10" localSheetId="6">#REF!</definedName>
    <definedName name="End_10" localSheetId="5">#REF!</definedName>
    <definedName name="End_10" localSheetId="3">#REF!</definedName>
    <definedName name="End_10" localSheetId="17">#REF!</definedName>
    <definedName name="End_10" localSheetId="8">#REF!</definedName>
    <definedName name="End_10" localSheetId="4">#REF!</definedName>
    <definedName name="End_10" localSheetId="20">#REF!</definedName>
    <definedName name="End_10">#REF!</definedName>
    <definedName name="End_11" localSheetId="7">#REF!</definedName>
    <definedName name="End_11" localSheetId="15">#REF!</definedName>
    <definedName name="End_11" localSheetId="1">#REF!</definedName>
    <definedName name="End_11" localSheetId="18">#REF!</definedName>
    <definedName name="End_11" localSheetId="16">#REF!</definedName>
    <definedName name="End_11" localSheetId="6">#REF!</definedName>
    <definedName name="End_11" localSheetId="5">#REF!</definedName>
    <definedName name="End_11" localSheetId="3">#REF!</definedName>
    <definedName name="End_11" localSheetId="17">#REF!</definedName>
    <definedName name="End_11" localSheetId="8">#REF!</definedName>
    <definedName name="End_11" localSheetId="4">#REF!</definedName>
    <definedName name="End_11" localSheetId="20">#REF!</definedName>
    <definedName name="End_11">#REF!</definedName>
    <definedName name="End_12" localSheetId="7">#REF!</definedName>
    <definedName name="End_12" localSheetId="15">#REF!</definedName>
    <definedName name="End_12" localSheetId="1">#REF!</definedName>
    <definedName name="End_12" localSheetId="18">#REF!</definedName>
    <definedName name="End_12" localSheetId="16">#REF!</definedName>
    <definedName name="End_12" localSheetId="6">#REF!</definedName>
    <definedName name="End_12" localSheetId="5">#REF!</definedName>
    <definedName name="End_12" localSheetId="3">#REF!</definedName>
    <definedName name="End_12" localSheetId="17">#REF!</definedName>
    <definedName name="End_12" localSheetId="8">#REF!</definedName>
    <definedName name="End_12" localSheetId="4">#REF!</definedName>
    <definedName name="End_12" localSheetId="20">#REF!</definedName>
    <definedName name="End_12">#REF!</definedName>
    <definedName name="End_13" localSheetId="7">#REF!</definedName>
    <definedName name="End_13" localSheetId="15">#REF!</definedName>
    <definedName name="End_13" localSheetId="1">#REF!</definedName>
    <definedName name="End_13" localSheetId="18">#REF!</definedName>
    <definedName name="End_13" localSheetId="16">#REF!</definedName>
    <definedName name="End_13" localSheetId="6">#REF!</definedName>
    <definedName name="End_13" localSheetId="5">#REF!</definedName>
    <definedName name="End_13" localSheetId="3">#REF!</definedName>
    <definedName name="End_13" localSheetId="17">#REF!</definedName>
    <definedName name="End_13" localSheetId="8">#REF!</definedName>
    <definedName name="End_13" localSheetId="4">#REF!</definedName>
    <definedName name="End_13" localSheetId="20">#REF!</definedName>
    <definedName name="End_13">#REF!</definedName>
    <definedName name="End_2" localSheetId="7">#REF!</definedName>
    <definedName name="End_2" localSheetId="15">#REF!</definedName>
    <definedName name="End_2" localSheetId="1">#REF!</definedName>
    <definedName name="End_2" localSheetId="18">#REF!</definedName>
    <definedName name="End_2" localSheetId="16">#REF!</definedName>
    <definedName name="End_2" localSheetId="6">#REF!</definedName>
    <definedName name="End_2" localSheetId="5">#REF!</definedName>
    <definedName name="End_2" localSheetId="3">#REF!</definedName>
    <definedName name="End_2" localSheetId="17">#REF!</definedName>
    <definedName name="End_2" localSheetId="8">#REF!</definedName>
    <definedName name="End_2" localSheetId="4">#REF!</definedName>
    <definedName name="End_2" localSheetId="20">#REF!</definedName>
    <definedName name="End_2">#REF!</definedName>
    <definedName name="End_3" localSheetId="7">#REF!</definedName>
    <definedName name="End_3" localSheetId="15">#REF!</definedName>
    <definedName name="End_3" localSheetId="1">#REF!</definedName>
    <definedName name="End_3" localSheetId="18">#REF!</definedName>
    <definedName name="End_3" localSheetId="16">#REF!</definedName>
    <definedName name="End_3" localSheetId="6">#REF!</definedName>
    <definedName name="End_3" localSheetId="5">#REF!</definedName>
    <definedName name="End_3" localSheetId="3">#REF!</definedName>
    <definedName name="End_3" localSheetId="17">#REF!</definedName>
    <definedName name="End_3" localSheetId="8">#REF!</definedName>
    <definedName name="End_3" localSheetId="4">#REF!</definedName>
    <definedName name="End_3" localSheetId="20">#REF!</definedName>
    <definedName name="End_3">#REF!</definedName>
    <definedName name="End_4" localSheetId="7">#REF!</definedName>
    <definedName name="End_4" localSheetId="15">#REF!</definedName>
    <definedName name="End_4" localSheetId="1">#REF!</definedName>
    <definedName name="End_4" localSheetId="18">#REF!</definedName>
    <definedName name="End_4" localSheetId="16">#REF!</definedName>
    <definedName name="End_4" localSheetId="6">#REF!</definedName>
    <definedName name="End_4" localSheetId="5">#REF!</definedName>
    <definedName name="End_4" localSheetId="3">#REF!</definedName>
    <definedName name="End_4" localSheetId="17">#REF!</definedName>
    <definedName name="End_4" localSheetId="8">#REF!</definedName>
    <definedName name="End_4" localSheetId="4">#REF!</definedName>
    <definedName name="End_4" localSheetId="20">#REF!</definedName>
    <definedName name="End_4">#REF!</definedName>
    <definedName name="End_5" localSheetId="7">#REF!</definedName>
    <definedName name="End_5" localSheetId="15">#REF!</definedName>
    <definedName name="End_5" localSheetId="1">#REF!</definedName>
    <definedName name="End_5" localSheetId="18">#REF!</definedName>
    <definedName name="End_5" localSheetId="16">#REF!</definedName>
    <definedName name="End_5" localSheetId="6">#REF!</definedName>
    <definedName name="End_5" localSheetId="5">#REF!</definedName>
    <definedName name="End_5" localSheetId="3">#REF!</definedName>
    <definedName name="End_5" localSheetId="17">#REF!</definedName>
    <definedName name="End_5" localSheetId="8">#REF!</definedName>
    <definedName name="End_5" localSheetId="4">#REF!</definedName>
    <definedName name="End_5" localSheetId="20">#REF!</definedName>
    <definedName name="End_5">#REF!</definedName>
    <definedName name="End_6" localSheetId="7">#REF!</definedName>
    <definedName name="End_6" localSheetId="15">#REF!</definedName>
    <definedName name="End_6" localSheetId="1">#REF!</definedName>
    <definedName name="End_6" localSheetId="18">#REF!</definedName>
    <definedName name="End_6" localSheetId="16">#REF!</definedName>
    <definedName name="End_6" localSheetId="6">#REF!</definedName>
    <definedName name="End_6" localSheetId="5">#REF!</definedName>
    <definedName name="End_6" localSheetId="3">#REF!</definedName>
    <definedName name="End_6" localSheetId="17">#REF!</definedName>
    <definedName name="End_6" localSheetId="8">#REF!</definedName>
    <definedName name="End_6" localSheetId="4">#REF!</definedName>
    <definedName name="End_6" localSheetId="20">#REF!</definedName>
    <definedName name="End_6">#REF!</definedName>
    <definedName name="End_7" localSheetId="7">#REF!</definedName>
    <definedName name="End_7" localSheetId="15">#REF!</definedName>
    <definedName name="End_7" localSheetId="1">#REF!</definedName>
    <definedName name="End_7" localSheetId="18">#REF!</definedName>
    <definedName name="End_7" localSheetId="16">#REF!</definedName>
    <definedName name="End_7" localSheetId="6">#REF!</definedName>
    <definedName name="End_7" localSheetId="5">#REF!</definedName>
    <definedName name="End_7" localSheetId="3">#REF!</definedName>
    <definedName name="End_7" localSheetId="17">#REF!</definedName>
    <definedName name="End_7" localSheetId="8">#REF!</definedName>
    <definedName name="End_7" localSheetId="4">#REF!</definedName>
    <definedName name="End_7" localSheetId="20">#REF!</definedName>
    <definedName name="End_7">#REF!</definedName>
    <definedName name="End_8" localSheetId="7">#REF!</definedName>
    <definedName name="End_8" localSheetId="15">#REF!</definedName>
    <definedName name="End_8" localSheetId="1">#REF!</definedName>
    <definedName name="End_8" localSheetId="18">#REF!</definedName>
    <definedName name="End_8" localSheetId="16">#REF!</definedName>
    <definedName name="End_8" localSheetId="6">#REF!</definedName>
    <definedName name="End_8" localSheetId="5">#REF!</definedName>
    <definedName name="End_8" localSheetId="3">#REF!</definedName>
    <definedName name="End_8" localSheetId="17">#REF!</definedName>
    <definedName name="End_8" localSheetId="8">#REF!</definedName>
    <definedName name="End_8" localSheetId="4">#REF!</definedName>
    <definedName name="End_8" localSheetId="20">#REF!</definedName>
    <definedName name="End_8">#REF!</definedName>
    <definedName name="End_9" localSheetId="7">#REF!</definedName>
    <definedName name="End_9" localSheetId="15">#REF!</definedName>
    <definedName name="End_9" localSheetId="1">#REF!</definedName>
    <definedName name="End_9" localSheetId="18">#REF!</definedName>
    <definedName name="End_9" localSheetId="16">#REF!</definedName>
    <definedName name="End_9" localSheetId="6">#REF!</definedName>
    <definedName name="End_9" localSheetId="5">#REF!</definedName>
    <definedName name="End_9" localSheetId="3">#REF!</definedName>
    <definedName name="End_9" localSheetId="17">#REF!</definedName>
    <definedName name="End_9" localSheetId="8">#REF!</definedName>
    <definedName name="End_9" localSheetId="4">#REF!</definedName>
    <definedName name="End_9" localSheetId="20">#REF!</definedName>
    <definedName name="End_9">#REF!</definedName>
    <definedName name="Engineering" localSheetId="7">'[31]OFFICE EQUIPMENT'!#REF!</definedName>
    <definedName name="Engineering" localSheetId="15">'[31]OFFICE EQUIPMENT'!#REF!</definedName>
    <definedName name="Engineering" localSheetId="1">'[31]OFFICE EQUIPMENT'!#REF!</definedName>
    <definedName name="Engineering" localSheetId="18">'[31]OFFICE EQUIPMENT'!#REF!</definedName>
    <definedName name="Engineering" localSheetId="16">'[31]OFFICE EQUIPMENT'!#REF!</definedName>
    <definedName name="Engineering" localSheetId="6">'[31]OFFICE EQUIPMENT'!#REF!</definedName>
    <definedName name="Engineering" localSheetId="5">'[31]OFFICE EQUIPMENT'!#REF!</definedName>
    <definedName name="Engineering" localSheetId="3">'[31]OFFICE EQUIPMENT'!#REF!</definedName>
    <definedName name="Engineering" localSheetId="17">'[31]OFFICE EQUIPMENT'!#REF!</definedName>
    <definedName name="Engineering" localSheetId="8">'[31]OFFICE EQUIPMENT'!#REF!</definedName>
    <definedName name="Engineering" localSheetId="4">'[31]OFFICE EQUIPMENT'!#REF!</definedName>
    <definedName name="Engineering" localSheetId="20">'[31]OFFICE EQUIPMENT'!#REF!</definedName>
    <definedName name="Engineering">'[31]OFFICE EQUIPMENT'!#REF!</definedName>
    <definedName name="ER">"$#REF!.$M$5"</definedName>
    <definedName name="esc" localSheetId="7">#REF!</definedName>
    <definedName name="esc" localSheetId="15">#REF!</definedName>
    <definedName name="esc" localSheetId="1">#REF!</definedName>
    <definedName name="esc" localSheetId="18">#REF!</definedName>
    <definedName name="esc" localSheetId="16">#REF!</definedName>
    <definedName name="esc" localSheetId="6">#REF!</definedName>
    <definedName name="esc" localSheetId="5">#REF!</definedName>
    <definedName name="esc" localSheetId="3">#REF!</definedName>
    <definedName name="esc" localSheetId="17">#REF!</definedName>
    <definedName name="esc" localSheetId="8">#REF!</definedName>
    <definedName name="esc" localSheetId="4">#REF!</definedName>
    <definedName name="esc" localSheetId="20">#REF!</definedName>
    <definedName name="esc">#REF!</definedName>
    <definedName name="escalation" localSheetId="7">#REF!</definedName>
    <definedName name="escalation" localSheetId="15">#REF!</definedName>
    <definedName name="escalation" localSheetId="1">#REF!</definedName>
    <definedName name="escalation" localSheetId="18">#REF!</definedName>
    <definedName name="escalation" localSheetId="16">#REF!</definedName>
    <definedName name="escalation" localSheetId="6">#REF!</definedName>
    <definedName name="escalation" localSheetId="5">#REF!</definedName>
    <definedName name="escalation" localSheetId="3">#REF!</definedName>
    <definedName name="escalation" localSheetId="17">#REF!</definedName>
    <definedName name="escalation" localSheetId="8">#REF!</definedName>
    <definedName name="escalation" localSheetId="4">#REF!</definedName>
    <definedName name="escalation" localSheetId="20">#REF!</definedName>
    <definedName name="escalation">#REF!</definedName>
    <definedName name="EssLatest">"Quarter 1"</definedName>
    <definedName name="ewtre" localSheetId="7">'2018-2022'!ewtre</definedName>
    <definedName name="ewtre" localSheetId="15">'2018-2022 SF'!ewtre</definedName>
    <definedName name="ewtre" localSheetId="16">B!ewtre</definedName>
    <definedName name="ewtre" localSheetId="5">[17]!ewtre</definedName>
    <definedName name="ewtre" localSheetId="3">[17]!ewtre</definedName>
    <definedName name="ewtre" localSheetId="17">[17]!ewtre</definedName>
    <definedName name="ewtre" localSheetId="8">[17]!ewtre</definedName>
    <definedName name="ewtre" localSheetId="4">Reconciliation!ewtre</definedName>
    <definedName name="ewtre" localSheetId="2">'Summary 2018 - MF'!ewtre</definedName>
    <definedName name="ewtre">[0]!ewtre</definedName>
    <definedName name="ewtre_10" localSheetId="7">'2018-2022'!ewtre_10</definedName>
    <definedName name="ewtre_10" localSheetId="15">'2018-2022 SF'!ewtre_10</definedName>
    <definedName name="ewtre_10" localSheetId="16">B!ewtre_10</definedName>
    <definedName name="ewtre_10" localSheetId="5">[17]!ewtre_10</definedName>
    <definedName name="ewtre_10" localSheetId="3">[17]!ewtre_10</definedName>
    <definedName name="ewtre_10" localSheetId="17">[17]!ewtre_10</definedName>
    <definedName name="ewtre_10" localSheetId="8">[17]!ewtre_10</definedName>
    <definedName name="ewtre_10" localSheetId="4">Reconciliation!ewtre_10</definedName>
    <definedName name="ewtre_10" localSheetId="2">'Summary 2018 - MF'!ewtre_10</definedName>
    <definedName name="ewtre_10">[0]!ewtre_10</definedName>
    <definedName name="Excel_BuiltIn__FilterDatabase_1_1">NA()</definedName>
    <definedName name="Excel_BuiltIn__FilterDatabase_11">"$#REF!.$A$8:$K$226"</definedName>
    <definedName name="Excel_BuiltIn__FilterDatabase_14">"$#REF!.$A$7:$L$284"</definedName>
    <definedName name="Excel_BuiltIn__FilterDatabase_2" localSheetId="7">#REF!</definedName>
    <definedName name="Excel_BuiltIn__FilterDatabase_2" localSheetId="15">#REF!</definedName>
    <definedName name="Excel_BuiltIn__FilterDatabase_2" localSheetId="1">#REF!</definedName>
    <definedName name="Excel_BuiltIn__FilterDatabase_2" localSheetId="18">#REF!</definedName>
    <definedName name="Excel_BuiltIn__FilterDatabase_2" localSheetId="16">#REF!</definedName>
    <definedName name="Excel_BuiltIn__FilterDatabase_2" localSheetId="6">#REF!</definedName>
    <definedName name="Excel_BuiltIn__FilterDatabase_2" localSheetId="5">#REF!</definedName>
    <definedName name="Excel_BuiltIn__FilterDatabase_2" localSheetId="3">#REF!</definedName>
    <definedName name="Excel_BuiltIn__FilterDatabase_2" localSheetId="17">#REF!</definedName>
    <definedName name="Excel_BuiltIn__FilterDatabase_2" localSheetId="8">#REF!</definedName>
    <definedName name="Excel_BuiltIn__FilterDatabase_2" localSheetId="4">#REF!</definedName>
    <definedName name="Excel_BuiltIn__FilterDatabase_2" localSheetId="20">#REF!</definedName>
    <definedName name="Excel_BuiltIn__FilterDatabase_2">#REF!</definedName>
    <definedName name="Excel_BuiltIn__FilterDatabase_2_1_1">"$#REF!.$B$12:$B$728"</definedName>
    <definedName name="Excel_BuiltIn__FilterDatabase_2_6" localSheetId="7">#REF!</definedName>
    <definedName name="Excel_BuiltIn__FilterDatabase_2_6" localSheetId="15">#REF!</definedName>
    <definedName name="Excel_BuiltIn__FilterDatabase_2_6" localSheetId="1">#REF!</definedName>
    <definedName name="Excel_BuiltIn__FilterDatabase_2_6" localSheetId="18">#REF!</definedName>
    <definedName name="Excel_BuiltIn__FilterDatabase_2_6" localSheetId="16">#REF!</definedName>
    <definedName name="Excel_BuiltIn__FilterDatabase_2_6" localSheetId="6">#REF!</definedName>
    <definedName name="Excel_BuiltIn__FilterDatabase_2_6" localSheetId="5">#REF!</definedName>
    <definedName name="Excel_BuiltIn__FilterDatabase_2_6" localSheetId="3">#REF!</definedName>
    <definedName name="Excel_BuiltIn__FilterDatabase_2_6" localSheetId="17">#REF!</definedName>
    <definedName name="Excel_BuiltIn__FilterDatabase_2_6" localSheetId="8">#REF!</definedName>
    <definedName name="Excel_BuiltIn__FilterDatabase_2_6" localSheetId="4">#REF!</definedName>
    <definedName name="Excel_BuiltIn__FilterDatabase_2_6" localSheetId="20">#REF!</definedName>
    <definedName name="Excel_BuiltIn__FilterDatabase_2_6">#REF!</definedName>
    <definedName name="Excel_BuiltIn__FilterDatabase_3" localSheetId="7">#REF!</definedName>
    <definedName name="Excel_BuiltIn__FilterDatabase_3" localSheetId="15">#REF!</definedName>
    <definedName name="Excel_BuiltIn__FilterDatabase_3" localSheetId="1">#REF!</definedName>
    <definedName name="Excel_BuiltIn__FilterDatabase_3" localSheetId="18">#REF!</definedName>
    <definedName name="Excel_BuiltIn__FilterDatabase_3" localSheetId="16">#REF!</definedName>
    <definedName name="Excel_BuiltIn__FilterDatabase_3" localSheetId="6">#REF!</definedName>
    <definedName name="Excel_BuiltIn__FilterDatabase_3" localSheetId="5">#REF!</definedName>
    <definedName name="Excel_BuiltIn__FilterDatabase_3" localSheetId="3">#REF!</definedName>
    <definedName name="Excel_BuiltIn__FilterDatabase_3" localSheetId="17">#REF!</definedName>
    <definedName name="Excel_BuiltIn__FilterDatabase_3" localSheetId="8">#REF!</definedName>
    <definedName name="Excel_BuiltIn__FilterDatabase_3" localSheetId="4">#REF!</definedName>
    <definedName name="Excel_BuiltIn__FilterDatabase_3" localSheetId="20">#REF!</definedName>
    <definedName name="Excel_BuiltIn__FilterDatabase_3">#REF!</definedName>
    <definedName name="Excel_BuiltIn__FilterDatabase_5" localSheetId="7">#REF!</definedName>
    <definedName name="Excel_BuiltIn__FilterDatabase_5" localSheetId="15">#REF!</definedName>
    <definedName name="Excel_BuiltIn__FilterDatabase_5" localSheetId="1">#REF!</definedName>
    <definedName name="Excel_BuiltIn__FilterDatabase_5" localSheetId="18">#REF!</definedName>
    <definedName name="Excel_BuiltIn__FilterDatabase_5" localSheetId="16">#REF!</definedName>
    <definedName name="Excel_BuiltIn__FilterDatabase_5" localSheetId="6">#REF!</definedName>
    <definedName name="Excel_BuiltIn__FilterDatabase_5" localSheetId="5">#REF!</definedName>
    <definedName name="Excel_BuiltIn__FilterDatabase_5" localSheetId="3">#REF!</definedName>
    <definedName name="Excel_BuiltIn__FilterDatabase_5" localSheetId="17">#REF!</definedName>
    <definedName name="Excel_BuiltIn__FilterDatabase_5" localSheetId="8">#REF!</definedName>
    <definedName name="Excel_BuiltIn__FilterDatabase_5" localSheetId="4">#REF!</definedName>
    <definedName name="Excel_BuiltIn__FilterDatabase_5" localSheetId="20">#REF!</definedName>
    <definedName name="Excel_BuiltIn__FilterDatabase_5">#REF!</definedName>
    <definedName name="Excel_BuiltIn__FilterDatabase_6_1" localSheetId="7">#REF!</definedName>
    <definedName name="Excel_BuiltIn__FilterDatabase_6_1" localSheetId="15">#REF!</definedName>
    <definedName name="Excel_BuiltIn__FilterDatabase_6_1" localSheetId="1">#REF!</definedName>
    <definedName name="Excel_BuiltIn__FilterDatabase_6_1" localSheetId="18">#REF!</definedName>
    <definedName name="Excel_BuiltIn__FilterDatabase_6_1" localSheetId="16">#REF!</definedName>
    <definedName name="Excel_BuiltIn__FilterDatabase_6_1" localSheetId="6">#REF!</definedName>
    <definedName name="Excel_BuiltIn__FilterDatabase_6_1" localSheetId="5">#REF!</definedName>
    <definedName name="Excel_BuiltIn__FilterDatabase_6_1" localSheetId="3">#REF!</definedName>
    <definedName name="Excel_BuiltIn__FilterDatabase_6_1" localSheetId="17">#REF!</definedName>
    <definedName name="Excel_BuiltIn__FilterDatabase_6_1" localSheetId="8">#REF!</definedName>
    <definedName name="Excel_BuiltIn__FilterDatabase_6_1" localSheetId="4">#REF!</definedName>
    <definedName name="Excel_BuiltIn__FilterDatabase_6_1" localSheetId="20">#REF!</definedName>
    <definedName name="Excel_BuiltIn__FilterDatabase_6_1">#REF!</definedName>
    <definedName name="Excel_BuiltIn_Criteria_11">"$#REF!.$J$1:$K$3"</definedName>
    <definedName name="Excel_BuiltIn_Print_Area">"$#REF!.$AK$1:$AY$42"</definedName>
    <definedName name="Excel_BuiltIn_Print_Area_1">"$#REF!.$A$1:$AD$79"</definedName>
    <definedName name="Excel_BuiltIn_Print_Area_8" localSheetId="7">#REF!</definedName>
    <definedName name="Excel_BuiltIn_Print_Area_8" localSheetId="15">#REF!</definedName>
    <definedName name="Excel_BuiltIn_Print_Area_8" localSheetId="1">#REF!</definedName>
    <definedName name="Excel_BuiltIn_Print_Area_8" localSheetId="18">#REF!</definedName>
    <definedName name="Excel_BuiltIn_Print_Area_8" localSheetId="16">#REF!</definedName>
    <definedName name="Excel_BuiltIn_Print_Area_8" localSheetId="6">#REF!</definedName>
    <definedName name="Excel_BuiltIn_Print_Area_8" localSheetId="5">#REF!</definedName>
    <definedName name="Excel_BuiltIn_Print_Area_8" localSheetId="3">#REF!</definedName>
    <definedName name="Excel_BuiltIn_Print_Area_8" localSheetId="17">#REF!</definedName>
    <definedName name="Excel_BuiltIn_Print_Area_8" localSheetId="8">#REF!</definedName>
    <definedName name="Excel_BuiltIn_Print_Area_8" localSheetId="4">#REF!</definedName>
    <definedName name="Excel_BuiltIn_Print_Area_8" localSheetId="20">#REF!</definedName>
    <definedName name="Excel_BuiltIn_Print_Area_8">#REF!</definedName>
    <definedName name="Excel_BuiltIn_Recorder">"$#REF!.$A$1:$A$65536"</definedName>
    <definedName name="Exp_Min" localSheetId="7">#REF!</definedName>
    <definedName name="Exp_Min" localSheetId="15">#REF!</definedName>
    <definedName name="Exp_Min" localSheetId="1">#REF!</definedName>
    <definedName name="Exp_Min" localSheetId="18">#REF!</definedName>
    <definedName name="Exp_Min" localSheetId="16">#REF!</definedName>
    <definedName name="Exp_Min" localSheetId="6">#REF!</definedName>
    <definedName name="Exp_Min" localSheetId="5">#REF!</definedName>
    <definedName name="Exp_Min" localSheetId="3">#REF!</definedName>
    <definedName name="Exp_Min" localSheetId="17">#REF!</definedName>
    <definedName name="Exp_Min" localSheetId="8">#REF!</definedName>
    <definedName name="Exp_Min" localSheetId="4">#REF!</definedName>
    <definedName name="Exp_Min" localSheetId="20">#REF!</definedName>
    <definedName name="Exp_Min">#REF!</definedName>
    <definedName name="Expenses" localSheetId="7">#REF!</definedName>
    <definedName name="Expenses" localSheetId="15">#REF!</definedName>
    <definedName name="Expenses" localSheetId="1">#REF!</definedName>
    <definedName name="Expenses" localSheetId="18">#REF!</definedName>
    <definedName name="Expenses" localSheetId="16">#REF!</definedName>
    <definedName name="Expenses" localSheetId="6">#REF!</definedName>
    <definedName name="Expenses" localSheetId="5">#REF!</definedName>
    <definedName name="Expenses" localSheetId="3">#REF!</definedName>
    <definedName name="Expenses" localSheetId="17">#REF!</definedName>
    <definedName name="Expenses" localSheetId="8">#REF!</definedName>
    <definedName name="Expenses" localSheetId="4">#REF!</definedName>
    <definedName name="Expenses" localSheetId="20">#REF!</definedName>
    <definedName name="Expenses">#REF!</definedName>
    <definedName name="_xlnm.Extract" localSheetId="7">#REF!</definedName>
    <definedName name="_xlnm.Extract" localSheetId="15">#REF!</definedName>
    <definedName name="_xlnm.Extract" localSheetId="1">#REF!</definedName>
    <definedName name="_xlnm.Extract" localSheetId="18">#REF!</definedName>
    <definedName name="_xlnm.Extract" localSheetId="16">#REF!</definedName>
    <definedName name="_xlnm.Extract" localSheetId="6">#REF!</definedName>
    <definedName name="_xlnm.Extract" localSheetId="5">#REF!</definedName>
    <definedName name="_xlnm.Extract" localSheetId="3">#REF!</definedName>
    <definedName name="_xlnm.Extract" localSheetId="17">#REF!</definedName>
    <definedName name="_xlnm.Extract" localSheetId="8">#REF!</definedName>
    <definedName name="_xlnm.Extract" localSheetId="4">#REF!</definedName>
    <definedName name="_xlnm.Extract" localSheetId="20">#REF!</definedName>
    <definedName name="_xlnm.Extract">#REF!</definedName>
    <definedName name="f" localSheetId="7">#REF!</definedName>
    <definedName name="f" localSheetId="15">#REF!</definedName>
    <definedName name="f" localSheetId="1">#REF!</definedName>
    <definedName name="f" localSheetId="18">#REF!</definedName>
    <definedName name="f" localSheetId="16">#REF!</definedName>
    <definedName name="f" localSheetId="6">#REF!</definedName>
    <definedName name="f" localSheetId="5">#REF!</definedName>
    <definedName name="f" localSheetId="3">#REF!</definedName>
    <definedName name="f" localSheetId="17">#REF!</definedName>
    <definedName name="f" localSheetId="8">#REF!</definedName>
    <definedName name="f" localSheetId="4">#REF!</definedName>
    <definedName name="f" localSheetId="20">#REF!</definedName>
    <definedName name="f">#REF!</definedName>
    <definedName name="f_gsegment">"$#REF!.$#REF!$#REF!:$#REF!$#REF!"</definedName>
    <definedName name="FACTOR" localSheetId="7">#REF!</definedName>
    <definedName name="FACTOR" localSheetId="15">#REF!</definedName>
    <definedName name="FACTOR" localSheetId="1">#REF!</definedName>
    <definedName name="FACTOR" localSheetId="18">#REF!</definedName>
    <definedName name="FACTOR" localSheetId="16">#REF!</definedName>
    <definedName name="FACTOR" localSheetId="6">#REF!</definedName>
    <definedName name="FACTOR" localSheetId="3">#REF!</definedName>
    <definedName name="FACTOR" localSheetId="17">#REF!</definedName>
    <definedName name="FACTOR" localSheetId="8">#REF!</definedName>
    <definedName name="FACTOR" localSheetId="4">#REF!</definedName>
    <definedName name="FACTOR" localSheetId="20">#REF!</definedName>
    <definedName name="FACTOR">#REF!</definedName>
    <definedName name="Fcst" localSheetId="7">#REF!</definedName>
    <definedName name="Fcst" localSheetId="15">#REF!</definedName>
    <definedName name="Fcst" localSheetId="1">#REF!</definedName>
    <definedName name="Fcst" localSheetId="18">#REF!</definedName>
    <definedName name="Fcst" localSheetId="16">#REF!</definedName>
    <definedName name="Fcst" localSheetId="6">#REF!</definedName>
    <definedName name="Fcst" localSheetId="5">#REF!</definedName>
    <definedName name="Fcst" localSheetId="3">#REF!</definedName>
    <definedName name="Fcst" localSheetId="17">#REF!</definedName>
    <definedName name="Fcst" localSheetId="8">#REF!</definedName>
    <definedName name="Fcst" localSheetId="4">#REF!</definedName>
    <definedName name="Fcst" localSheetId="20">#REF!</definedName>
    <definedName name="Fcst">#REF!</definedName>
    <definedName name="fff" localSheetId="7">#REF!</definedName>
    <definedName name="fff" localSheetId="15">#REF!</definedName>
    <definedName name="fff" localSheetId="1">#REF!</definedName>
    <definedName name="fff" localSheetId="18">#REF!</definedName>
    <definedName name="fff" localSheetId="16">#REF!</definedName>
    <definedName name="fff" localSheetId="6">#REF!</definedName>
    <definedName name="fff" localSheetId="5">#REF!</definedName>
    <definedName name="fff" localSheetId="3">#REF!</definedName>
    <definedName name="fff" localSheetId="17">#REF!</definedName>
    <definedName name="fff" localSheetId="8">#REF!</definedName>
    <definedName name="fff" localSheetId="4">#REF!</definedName>
    <definedName name="fff" localSheetId="20">#REF!</definedName>
    <definedName name="fff">#REF!</definedName>
    <definedName name="ffff" localSheetId="7">#REF!</definedName>
    <definedName name="ffff" localSheetId="15">#REF!</definedName>
    <definedName name="ffff" localSheetId="1">#REF!</definedName>
    <definedName name="ffff" localSheetId="18">#REF!</definedName>
    <definedName name="ffff" localSheetId="16">#REF!</definedName>
    <definedName name="ffff" localSheetId="6">#REF!</definedName>
    <definedName name="ffff" localSheetId="5">#REF!</definedName>
    <definedName name="ffff" localSheetId="3">#REF!</definedName>
    <definedName name="ffff" localSheetId="17">#REF!</definedName>
    <definedName name="ffff" localSheetId="8">#REF!</definedName>
    <definedName name="ffff" localSheetId="4">#REF!</definedName>
    <definedName name="ffff" localSheetId="20">#REF!</definedName>
    <definedName name="ffff">#REF!</definedName>
    <definedName name="fhgdgh" localSheetId="7">'2018-2022'!fhgdgh</definedName>
    <definedName name="fhgdgh" localSheetId="15">'2018-2022 SF'!fhgdgh</definedName>
    <definedName name="fhgdgh" localSheetId="16">B!fhgdgh</definedName>
    <definedName name="fhgdgh" localSheetId="5">[17]!fhgdgh</definedName>
    <definedName name="fhgdgh" localSheetId="3">[17]!fhgdgh</definedName>
    <definedName name="fhgdgh" localSheetId="17">[17]!fhgdgh</definedName>
    <definedName name="fhgdgh" localSheetId="8">[17]!fhgdgh</definedName>
    <definedName name="fhgdgh" localSheetId="4">Reconciliation!fhgdgh</definedName>
    <definedName name="fhgdgh" localSheetId="2">'Summary 2018 - MF'!fhgdgh</definedName>
    <definedName name="fhgdgh">[0]!fhgdgh</definedName>
    <definedName name="fhgdgh_10" localSheetId="7">'2018-2022'!fhgdgh_10</definedName>
    <definedName name="fhgdgh_10" localSheetId="15">'2018-2022 SF'!fhgdgh_10</definedName>
    <definedName name="fhgdgh_10" localSheetId="16">B!fhgdgh_10</definedName>
    <definedName name="fhgdgh_10" localSheetId="5">[17]!fhgdgh_10</definedName>
    <definedName name="fhgdgh_10" localSheetId="3">[17]!fhgdgh_10</definedName>
    <definedName name="fhgdgh_10" localSheetId="17">[17]!fhgdgh_10</definedName>
    <definedName name="fhgdgh_10" localSheetId="8">[17]!fhgdgh_10</definedName>
    <definedName name="fhgdgh_10" localSheetId="4">Reconciliation!fhgdgh_10</definedName>
    <definedName name="fhgdgh_10" localSheetId="2">'Summary 2018 - MF'!fhgdgh_10</definedName>
    <definedName name="fhgdgh_10">[0]!fhgdgh_10</definedName>
    <definedName name="financial" localSheetId="7">#REF!</definedName>
    <definedName name="financial" localSheetId="15">#REF!</definedName>
    <definedName name="financial" localSheetId="1">#REF!</definedName>
    <definedName name="financial" localSheetId="18">#REF!</definedName>
    <definedName name="financial" localSheetId="16">#REF!</definedName>
    <definedName name="financial" localSheetId="6">#REF!</definedName>
    <definedName name="financial" localSheetId="5">#REF!</definedName>
    <definedName name="financial" localSheetId="3">#REF!</definedName>
    <definedName name="financial" localSheetId="17">#REF!</definedName>
    <definedName name="financial" localSheetId="8">#REF!</definedName>
    <definedName name="financial" localSheetId="4">#REF!</definedName>
    <definedName name="financial" localSheetId="20">#REF!</definedName>
    <definedName name="financial">#REF!</definedName>
    <definedName name="financial1" localSheetId="7">[43]BDGTCE!#REF!</definedName>
    <definedName name="financial1" localSheetId="15">[43]BDGTCE!#REF!</definedName>
    <definedName name="financial1" localSheetId="1">[43]BDGTCE!#REF!</definedName>
    <definedName name="financial1" localSheetId="18">[43]BDGTCE!#REF!</definedName>
    <definedName name="financial1" localSheetId="16">[43]BDGTCE!#REF!</definedName>
    <definedName name="financial1" localSheetId="6">[43]BDGTCE!#REF!</definedName>
    <definedName name="financial1" localSheetId="5">[43]BDGTCE!#REF!</definedName>
    <definedName name="financial1" localSheetId="3">[43]BDGTCE!#REF!</definedName>
    <definedName name="financial1" localSheetId="17">[43]BDGTCE!#REF!</definedName>
    <definedName name="financial1" localSheetId="8">[43]BDGTCE!#REF!</definedName>
    <definedName name="financial1" localSheetId="4">[43]BDGTCE!#REF!</definedName>
    <definedName name="financial1" localSheetId="20">[43]BDGTCE!#REF!</definedName>
    <definedName name="financial1">[43]BDGTCE!#REF!</definedName>
    <definedName name="First_Rec" localSheetId="7">'[44]Customer Databas'!#REF!</definedName>
    <definedName name="First_Rec" localSheetId="15">'[44]Customer Databas'!#REF!</definedName>
    <definedName name="First_Rec" localSheetId="1">'[44]Customer Databas'!#REF!</definedName>
    <definedName name="First_Rec" localSheetId="18">'[44]Customer Databas'!#REF!</definedName>
    <definedName name="First_Rec" localSheetId="16">'[44]Customer Databas'!#REF!</definedName>
    <definedName name="First_Rec" localSheetId="6">'[44]Customer Databas'!#REF!</definedName>
    <definedName name="First_Rec" localSheetId="5">'[44]Customer Databas'!#REF!</definedName>
    <definedName name="First_Rec" localSheetId="3">'[44]Customer Databas'!#REF!</definedName>
    <definedName name="First_Rec" localSheetId="17">'[44]Customer Databas'!#REF!</definedName>
    <definedName name="First_Rec" localSheetId="8">'[44]Customer Databas'!#REF!</definedName>
    <definedName name="First_Rec" localSheetId="4">'[44]Customer Databas'!#REF!</definedName>
    <definedName name="First_Rec" localSheetId="20">'[44]Customer Databas'!#REF!</definedName>
    <definedName name="First_Rec">'[44]Customer Databas'!#REF!</definedName>
    <definedName name="FLH">"#NAME?"</definedName>
    <definedName name="FLH_10">"#NAME?"</definedName>
    <definedName name="FPV95OU94">"'file:///A:/USERDATA/WINXL/HKONDO/BSP/96BP/OTHER/VOLUME.XLS'#$'1996 FPV _Retail_'.$#REF!$#REF!:$#REF!$#REF!"</definedName>
    <definedName name="FPVflh97">"$#REF!.$#REF!$#REF!:$#REF!$#REF!"</definedName>
    <definedName name="frd" localSheetId="7">#REF!</definedName>
    <definedName name="frd" localSheetId="15">#REF!</definedName>
    <definedName name="frd" localSheetId="1">#REF!</definedName>
    <definedName name="frd" localSheetId="18">#REF!</definedName>
    <definedName name="frd" localSheetId="16">#REF!</definedName>
    <definedName name="frd" localSheetId="6">#REF!</definedName>
    <definedName name="frd" localSheetId="5">#REF!</definedName>
    <definedName name="frd" localSheetId="3">#REF!</definedName>
    <definedName name="frd" localSheetId="17">#REF!</definedName>
    <definedName name="frd" localSheetId="8">#REF!</definedName>
    <definedName name="frd" localSheetId="4">#REF!</definedName>
    <definedName name="frd" localSheetId="20">#REF!</definedName>
    <definedName name="frd">#REF!</definedName>
    <definedName name="FREDDIE" localSheetId="7">#REF!</definedName>
    <definedName name="FREDDIE" localSheetId="15">#REF!</definedName>
    <definedName name="FREDDIE" localSheetId="1">#REF!</definedName>
    <definedName name="FREDDIE" localSheetId="18">#REF!</definedName>
    <definedName name="FREDDIE" localSheetId="16">#REF!</definedName>
    <definedName name="FREDDIE" localSheetId="6">#REF!</definedName>
    <definedName name="FREDDIE" localSheetId="5">#REF!</definedName>
    <definedName name="FREDDIE" localSheetId="3">#REF!</definedName>
    <definedName name="FREDDIE" localSheetId="17">#REF!</definedName>
    <definedName name="FREDDIE" localSheetId="8">#REF!</definedName>
    <definedName name="FREDDIE" localSheetId="4">#REF!</definedName>
    <definedName name="FREDDIE" localSheetId="20">#REF!</definedName>
    <definedName name="FREDDIE">#REF!</definedName>
    <definedName name="Functional_Adj_Budget">"'smb://Stsai2/share/U/JANDERS5/DESK/BUSPLAN/97BUSPLA/XX98CBUD.XLS'#$XX98CALB.$#REF!$#REF!:$#REF!$#REF!"</definedName>
    <definedName name="Fund" localSheetId="7">#REF!,#REF!,#REF!</definedName>
    <definedName name="Fund" localSheetId="15">#REF!,#REF!,#REF!</definedName>
    <definedName name="Fund" localSheetId="1">#REF!,#REF!,#REF!</definedName>
    <definedName name="Fund" localSheetId="18">#REF!,#REF!,#REF!</definedName>
    <definedName name="Fund" localSheetId="16">#REF!,#REF!,#REF!</definedName>
    <definedName name="Fund" localSheetId="6">#REF!,#REF!,#REF!</definedName>
    <definedName name="Fund" localSheetId="5">#REF!,#REF!,#REF!</definedName>
    <definedName name="Fund" localSheetId="3">#REF!,#REF!,#REF!</definedName>
    <definedName name="Fund" localSheetId="17">#REF!,#REF!,#REF!</definedName>
    <definedName name="Fund" localSheetId="8">#REF!,#REF!,#REF!</definedName>
    <definedName name="Fund" localSheetId="4">#REF!,#REF!,#REF!</definedName>
    <definedName name="Fund" localSheetId="20">#REF!,#REF!,#REF!</definedName>
    <definedName name="Fund">#REF!,#REF!,#REF!</definedName>
    <definedName name="funds">"'file:///A:/iaofsm-m/2000 Fcst/649 (12+0)/Cash Flow/nm_cash2000_649.xls'#$'NM Cash SUMMARY'.$#REF!$#REF!"</definedName>
    <definedName name="G">"'file:///A:/DATA/98BP/Head-H.xls'#$End_H.$#REF!$#REF!:$#REF!$#REF!"</definedName>
    <definedName name="g40g40" localSheetId="7">[45]tuong!#REF!</definedName>
    <definedName name="g40g40" localSheetId="15">[45]tuong!#REF!</definedName>
    <definedName name="g40g40" localSheetId="1">[45]tuong!#REF!</definedName>
    <definedName name="g40g40" localSheetId="18">[45]tuong!#REF!</definedName>
    <definedName name="g40g40" localSheetId="16">[45]tuong!#REF!</definedName>
    <definedName name="g40g40" localSheetId="6">[45]tuong!#REF!</definedName>
    <definedName name="g40g40" localSheetId="5">[45]tuong!#REF!</definedName>
    <definedName name="g40g40" localSheetId="3">[45]tuong!#REF!</definedName>
    <definedName name="g40g40" localSheetId="17">[45]tuong!#REF!</definedName>
    <definedName name="g40g40" localSheetId="8">[45]tuong!#REF!</definedName>
    <definedName name="g40g40" localSheetId="4">[45]tuong!#REF!</definedName>
    <definedName name="g40g40" localSheetId="20">[45]tuong!#REF!</definedName>
    <definedName name="g40g40">[45]tuong!#REF!</definedName>
    <definedName name="gcm">'[46]gia vt,nc,may'!$H$7:$I$17</definedName>
    <definedName name="gd">[13]gVL!$N$29</definedName>
    <definedName name="gdfyt">"#NAME?"</definedName>
    <definedName name="gdfyt_10">"#NAME?"</definedName>
    <definedName name="gdoc" localSheetId="5">[7]HT!$C$8</definedName>
    <definedName name="gdoc" localSheetId="3">[7]HT!$C$8</definedName>
    <definedName name="gdoc" localSheetId="17">[7]HT!$C$8</definedName>
    <definedName name="gdoc" localSheetId="8">[7]HT!$C$8</definedName>
    <definedName name="gdoc">[7]HT!$C$8</definedName>
    <definedName name="General">[47]General!$A$1:$J$557</definedName>
    <definedName name="genset" localSheetId="7">#REF!</definedName>
    <definedName name="genset" localSheetId="15">#REF!</definedName>
    <definedName name="genset" localSheetId="1">#REF!</definedName>
    <definedName name="genset" localSheetId="18">#REF!</definedName>
    <definedName name="genset" localSheetId="16">#REF!</definedName>
    <definedName name="genset" localSheetId="6">#REF!</definedName>
    <definedName name="genset" localSheetId="10">#REF!</definedName>
    <definedName name="genset" localSheetId="14">#REF!</definedName>
    <definedName name="genset" localSheetId="5">#REF!</definedName>
    <definedName name="genset" localSheetId="3">#REF!</definedName>
    <definedName name="genset" localSheetId="17">#REF!</definedName>
    <definedName name="genset" localSheetId="8">#REF!</definedName>
    <definedName name="genset" localSheetId="4">#REF!</definedName>
    <definedName name="genset" localSheetId="20">#REF!</definedName>
    <definedName name="genset">#REF!</definedName>
    <definedName name="get_data" localSheetId="7">'2018-2022'!get_data</definedName>
    <definedName name="get_data" localSheetId="15">'2018-2022 SF'!get_data</definedName>
    <definedName name="get_data" localSheetId="16">B!get_data</definedName>
    <definedName name="get_data" localSheetId="5">[17]!get_data</definedName>
    <definedName name="get_data" localSheetId="3">[17]!get_data</definedName>
    <definedName name="get_data" localSheetId="17">[17]!get_data</definedName>
    <definedName name="get_data" localSheetId="8">[17]!get_data</definedName>
    <definedName name="get_data" localSheetId="4">Reconciliation!get_data</definedName>
    <definedName name="get_data" localSheetId="2">'Summary 2018 - MF'!get_data</definedName>
    <definedName name="get_data">[0]!get_data</definedName>
    <definedName name="get_data_10" localSheetId="7">'2018-2022'!get_data_10</definedName>
    <definedName name="get_data_10" localSheetId="15">'2018-2022 SF'!get_data_10</definedName>
    <definedName name="get_data_10" localSheetId="16">B!get_data_10</definedName>
    <definedName name="get_data_10" localSheetId="5">[17]!get_data_10</definedName>
    <definedName name="get_data_10" localSheetId="3">[17]!get_data_10</definedName>
    <definedName name="get_data_10" localSheetId="17">[17]!get_data_10</definedName>
    <definedName name="get_data_10" localSheetId="8">[17]!get_data_10</definedName>
    <definedName name="get_data_10" localSheetId="4">Reconciliation!get_data_10</definedName>
    <definedName name="get_data_10" localSheetId="2">'Summary 2018 - MF'!get_data_10</definedName>
    <definedName name="get_data_10">[0]!get_data_10</definedName>
    <definedName name="gfg" localSheetId="7">#REF!</definedName>
    <definedName name="gfg" localSheetId="15">#REF!</definedName>
    <definedName name="gfg" localSheetId="1">#REF!</definedName>
    <definedName name="gfg" localSheetId="18">#REF!</definedName>
    <definedName name="gfg" localSheetId="16">#REF!</definedName>
    <definedName name="gfg" localSheetId="6">#REF!</definedName>
    <definedName name="gfg" localSheetId="5">#REF!</definedName>
    <definedName name="gfg" localSheetId="3">#REF!</definedName>
    <definedName name="gfg" localSheetId="17">#REF!</definedName>
    <definedName name="gfg" localSheetId="8">#REF!</definedName>
    <definedName name="gfg" localSheetId="4">#REF!</definedName>
    <definedName name="gfg" localSheetId="20">#REF!</definedName>
    <definedName name="gfg">#REF!</definedName>
    <definedName name="gggg" localSheetId="7">#REF!</definedName>
    <definedName name="gggg" localSheetId="15">#REF!</definedName>
    <definedName name="gggg" localSheetId="1">#REF!</definedName>
    <definedName name="gggg" localSheetId="18">#REF!</definedName>
    <definedName name="gggg" localSheetId="16">#REF!</definedName>
    <definedName name="gggg" localSheetId="6">#REF!</definedName>
    <definedName name="gggg" localSheetId="5">#REF!</definedName>
    <definedName name="gggg" localSheetId="3">#REF!</definedName>
    <definedName name="gggg" localSheetId="17">#REF!</definedName>
    <definedName name="gggg" localSheetId="8">#REF!</definedName>
    <definedName name="gggg" localSheetId="4">#REF!</definedName>
    <definedName name="gggg" localSheetId="20">#REF!</definedName>
    <definedName name="gggg">#REF!</definedName>
    <definedName name="Gia_tien" localSheetId="7">#REF!</definedName>
    <definedName name="Gia_tien" localSheetId="15">#REF!</definedName>
    <definedName name="Gia_tien" localSheetId="1">#REF!</definedName>
    <definedName name="Gia_tien" localSheetId="18">#REF!</definedName>
    <definedName name="Gia_tien" localSheetId="16">#REF!</definedName>
    <definedName name="Gia_tien" localSheetId="6">#REF!</definedName>
    <definedName name="Gia_tien" localSheetId="5">#REF!</definedName>
    <definedName name="Gia_tien" localSheetId="3">#REF!</definedName>
    <definedName name="Gia_tien" localSheetId="17">#REF!</definedName>
    <definedName name="Gia_tien" localSheetId="8">#REF!</definedName>
    <definedName name="Gia_tien" localSheetId="4">#REF!</definedName>
    <definedName name="Gia_tien" localSheetId="20">#REF!</definedName>
    <definedName name="Gia_tien">#REF!</definedName>
    <definedName name="gia_tien_BTN" localSheetId="7">#REF!</definedName>
    <definedName name="gia_tien_BTN" localSheetId="15">#REF!</definedName>
    <definedName name="gia_tien_BTN" localSheetId="1">#REF!</definedName>
    <definedName name="gia_tien_BTN" localSheetId="18">#REF!</definedName>
    <definedName name="gia_tien_BTN" localSheetId="16">#REF!</definedName>
    <definedName name="gia_tien_BTN" localSheetId="6">#REF!</definedName>
    <definedName name="gia_tien_BTN" localSheetId="5">#REF!</definedName>
    <definedName name="gia_tien_BTN" localSheetId="3">#REF!</definedName>
    <definedName name="gia_tien_BTN" localSheetId="17">#REF!</definedName>
    <definedName name="gia_tien_BTN" localSheetId="8">#REF!</definedName>
    <definedName name="gia_tien_BTN" localSheetId="4">#REF!</definedName>
    <definedName name="gia_tien_BTN" localSheetId="20">#REF!</definedName>
    <definedName name="gia_tien_BTN">#REF!</definedName>
    <definedName name="Giado" localSheetId="7">#REF!</definedName>
    <definedName name="Giado" localSheetId="15">#REF!</definedName>
    <definedName name="Giado" localSheetId="1">#REF!</definedName>
    <definedName name="Giado" localSheetId="18">#REF!</definedName>
    <definedName name="Giado" localSheetId="16">#REF!</definedName>
    <definedName name="Giado" localSheetId="6">#REF!</definedName>
    <definedName name="Giado" localSheetId="5">#REF!</definedName>
    <definedName name="Giado" localSheetId="3">#REF!</definedName>
    <definedName name="Giado" localSheetId="17">#REF!</definedName>
    <definedName name="Giado" localSheetId="8">#REF!</definedName>
    <definedName name="Giado" localSheetId="4">#REF!</definedName>
    <definedName name="Giado" localSheetId="20">#REF!</definedName>
    <definedName name="Giado">#REF!</definedName>
    <definedName name="GiaVon" localSheetId="11">'[2]HD-XUAT'!#REF!</definedName>
    <definedName name="GiaVon" localSheetId="7">'[6]HD-XUAT'!#REF!</definedName>
    <definedName name="GiaVon" localSheetId="15">'[6]HD-XUAT'!#REF!</definedName>
    <definedName name="GiaVon" localSheetId="1">'[6]HD-XUAT'!#REF!</definedName>
    <definedName name="GiaVon" localSheetId="18">'[6]HD-XUAT'!#REF!</definedName>
    <definedName name="GiaVon" localSheetId="16">'[6]HD-XUAT'!#REF!</definedName>
    <definedName name="GiaVon" localSheetId="6">'[6]HD-XUAT'!#REF!</definedName>
    <definedName name="GiaVon" localSheetId="10">'[6]HD-XUAT'!#REF!</definedName>
    <definedName name="GiaVon" localSheetId="14">'[6]HD-XUAT'!#REF!</definedName>
    <definedName name="GiaVon" localSheetId="5">'[7]HD-XUAT'!#REF!</definedName>
    <definedName name="GiaVon" localSheetId="3">'[7]HD-XUAT'!#REF!</definedName>
    <definedName name="GiaVon" localSheetId="17">'[7]HD-XUAT'!#REF!</definedName>
    <definedName name="GiaVon" localSheetId="13">'[8]HD-XUAT'!#REF!</definedName>
    <definedName name="GiaVon" localSheetId="8">'[7]HD-XUAT'!#REF!</definedName>
    <definedName name="GiaVon" localSheetId="4">'[6]HD-XUAT'!#REF!</definedName>
    <definedName name="GiaVon" localSheetId="20">'[6]HD-XUAT'!#REF!</definedName>
    <definedName name="GiaVon">'[6]HD-XUAT'!#REF!</definedName>
    <definedName name="GoBack" localSheetId="7">[39]!GoBack</definedName>
    <definedName name="GoBack" localSheetId="1">[39]!GoBack</definedName>
    <definedName name="GoBack" localSheetId="18">[39]!GoBack</definedName>
    <definedName name="GoBack" localSheetId="16">[39]!GoBack</definedName>
    <definedName name="GoBack" localSheetId="6">[39]!GoBack</definedName>
    <definedName name="GoBack" localSheetId="3">[39]!GoBack</definedName>
    <definedName name="GoBack" localSheetId="17">[39]!GoBack</definedName>
    <definedName name="GoBack" localSheetId="8">[39]!GoBack</definedName>
    <definedName name="GoBack" localSheetId="4">[39]!GoBack</definedName>
    <definedName name="GoBack" localSheetId="20">[39]!GoBack</definedName>
    <definedName name="GoBack">[39]!GoBack</definedName>
    <definedName name="GPT_GROUNDING_PT" localSheetId="7">'[48]NEW-PANEL'!#REF!</definedName>
    <definedName name="GPT_GROUNDING_PT" localSheetId="15">'[48]NEW-PANEL'!#REF!</definedName>
    <definedName name="GPT_GROUNDING_PT" localSheetId="1">'[48]NEW-PANEL'!#REF!</definedName>
    <definedName name="GPT_GROUNDING_PT" localSheetId="18">'[48]NEW-PANEL'!#REF!</definedName>
    <definedName name="GPT_GROUNDING_PT" localSheetId="16">'[48]NEW-PANEL'!#REF!</definedName>
    <definedName name="GPT_GROUNDING_PT" localSheetId="6">'[48]NEW-PANEL'!#REF!</definedName>
    <definedName name="GPT_GROUNDING_PT" localSheetId="5">'[48]NEW-PANEL'!#REF!</definedName>
    <definedName name="GPT_GROUNDING_PT" localSheetId="3">'[48]NEW-PANEL'!#REF!</definedName>
    <definedName name="GPT_GROUNDING_PT" localSheetId="17">'[48]NEW-PANEL'!#REF!</definedName>
    <definedName name="GPT_GROUNDING_PT" localSheetId="8">'[48]NEW-PANEL'!#REF!</definedName>
    <definedName name="GPT_GROUNDING_PT" localSheetId="4">'[48]NEW-PANEL'!#REF!</definedName>
    <definedName name="GPT_GROUNDING_PT" localSheetId="20">'[48]NEW-PANEL'!#REF!</definedName>
    <definedName name="GPT_GROUNDING_PT">'[48]NEW-PANEL'!#REF!</definedName>
    <definedName name="gr">"'file:///A:/KHIROSAW/WINXL/FPV/95FPV/PACKAGE/INDSEG1.XLS'#$'VARIANCE ANALYSIS'.$#REF!$#REF!"</definedName>
    <definedName name="Graph" localSheetId="7">#REF!</definedName>
    <definedName name="Graph" localSheetId="15">#REF!</definedName>
    <definedName name="Graph" localSheetId="1">#REF!</definedName>
    <definedName name="Graph" localSheetId="18">#REF!</definedName>
    <definedName name="Graph" localSheetId="16">#REF!</definedName>
    <definedName name="Graph" localSheetId="6">#REF!</definedName>
    <definedName name="Graph" localSheetId="5">#REF!</definedName>
    <definedName name="Graph" localSheetId="3">#REF!</definedName>
    <definedName name="Graph" localSheetId="17">#REF!</definedName>
    <definedName name="Graph" localSheetId="8">#REF!</definedName>
    <definedName name="Graph" localSheetId="4">#REF!</definedName>
    <definedName name="Graph" localSheetId="20">#REF!</definedName>
    <definedName name="Graph">#REF!</definedName>
    <definedName name="GrossProfitList" localSheetId="5">[19]TongHop!$P$5:$P$189</definedName>
    <definedName name="GrossProfitList" localSheetId="3">[19]TongHop!$P$5:$P$189</definedName>
    <definedName name="GrossProfitList" localSheetId="17">[19]TongHop!$P$5:$P$189</definedName>
    <definedName name="GrossProfitList" localSheetId="8">[19]TongHop!$P$5:$P$189</definedName>
    <definedName name="GrossProfitList">[19]TongHop!$P$5:$P$189</definedName>
    <definedName name="gsegment">"$#REF!.$#REF!$#REF!:$#REF!$#REF!"</definedName>
    <definedName name="gv">[13]gVL!$N$22</definedName>
    <definedName name="gvl">[49]GVL!$A$6:$F$131</definedName>
    <definedName name="h" localSheetId="7">#REF!</definedName>
    <definedName name="h" localSheetId="15">#REF!</definedName>
    <definedName name="h" localSheetId="1">#REF!</definedName>
    <definedName name="h" localSheetId="18">#REF!</definedName>
    <definedName name="h" localSheetId="16">#REF!</definedName>
    <definedName name="h" localSheetId="6">#REF!</definedName>
    <definedName name="H" localSheetId="5">"'file:///A:/DATA/98BP/Head-H.xls'#$End_H.$#REF!$#REF!:$#REF!$#REF!"</definedName>
    <definedName name="H" localSheetId="3">"'file:///A:/DATA/98BP/Head-H.xls'#$End_H.$#REF!$#REF!:$#REF!$#REF!"</definedName>
    <definedName name="H" localSheetId="17">"'file:///A:/DATA/98BP/Head-H.xls'#$End_H.$#REF!$#REF!:$#REF!$#REF!"</definedName>
    <definedName name="H" localSheetId="8">"'file:///A:/DATA/98BP/Head-H.xls'#$End_H.$#REF!$#REF!:$#REF!$#REF!"</definedName>
    <definedName name="H" localSheetId="4">"'file:///A:/DATA/98BP/Head-H.xls'#$End_H.$#REF!$#REF!:$#REF!$#REF!"</definedName>
    <definedName name="H" localSheetId="2">"'file:///A:/DATA/98BP/Head-H.xls'#$End_H.$#REF!$#REF!:$#REF!$#REF!"</definedName>
    <definedName name="h" localSheetId="20">#REF!</definedName>
    <definedName name="h">#REF!</definedName>
    <definedName name="hat" localSheetId="11">#REF!</definedName>
    <definedName name="hat" localSheetId="7">#REF!</definedName>
    <definedName name="hat" localSheetId="15">#REF!</definedName>
    <definedName name="hat" localSheetId="1">#REF!</definedName>
    <definedName name="hat" localSheetId="18">#REF!</definedName>
    <definedName name="hat" localSheetId="16">#REF!</definedName>
    <definedName name="hat" localSheetId="6">#REF!</definedName>
    <definedName name="hat" localSheetId="3">#REF!</definedName>
    <definedName name="hat" localSheetId="17">#REF!</definedName>
    <definedName name="hat" localSheetId="8">#REF!</definedName>
    <definedName name="hat" localSheetId="4">#REF!</definedName>
    <definedName name="hat" localSheetId="20">#REF!</definedName>
    <definedName name="hat">#REF!</definedName>
    <definedName name="HBCMC" localSheetId="7">#REF!</definedName>
    <definedName name="HBCMC" localSheetId="15">#REF!</definedName>
    <definedName name="HBCMC" localSheetId="1">#REF!</definedName>
    <definedName name="HBCMC" localSheetId="18">#REF!</definedName>
    <definedName name="HBCMC" localSheetId="16">#REF!</definedName>
    <definedName name="HBCMC" localSheetId="6">#REF!</definedName>
    <definedName name="HBCMC" localSheetId="5">#REF!</definedName>
    <definedName name="HBCMC" localSheetId="3">#REF!</definedName>
    <definedName name="HBCMC" localSheetId="17">#REF!</definedName>
    <definedName name="HBCMC" localSheetId="8">#REF!</definedName>
    <definedName name="HBCMC" localSheetId="4">#REF!</definedName>
    <definedName name="HBCMC" localSheetId="20">#REF!</definedName>
    <definedName name="HBCMC">#REF!</definedName>
    <definedName name="HC" localSheetId="7">#REF!</definedName>
    <definedName name="HC" localSheetId="15">#REF!</definedName>
    <definedName name="HC" localSheetId="1">#REF!</definedName>
    <definedName name="HC" localSheetId="18">#REF!</definedName>
    <definedName name="HC" localSheetId="16">#REF!</definedName>
    <definedName name="HC" localSheetId="6">#REF!</definedName>
    <definedName name="HC" localSheetId="5">#REF!</definedName>
    <definedName name="HC" localSheetId="3">#REF!</definedName>
    <definedName name="HC" localSheetId="17">#REF!</definedName>
    <definedName name="HC" localSheetId="8">#REF!</definedName>
    <definedName name="HC" localSheetId="4">#REF!</definedName>
    <definedName name="HC" localSheetId="20">#REF!</definedName>
    <definedName name="HC">#REF!</definedName>
    <definedName name="Heä_soá_laép_xaø_H">1.7</definedName>
    <definedName name="head">"$#REF!.$A$1:$D$154"</definedName>
    <definedName name="heavytruckindustry">"$#REF!.$#REF!$#REF!:$#REF!$#REF!"</definedName>
    <definedName name="Hello" localSheetId="11">#REF!</definedName>
    <definedName name="Hello" localSheetId="7">#REF!</definedName>
    <definedName name="Hello" localSheetId="15">#REF!</definedName>
    <definedName name="Hello" localSheetId="1">#REF!</definedName>
    <definedName name="Hello" localSheetId="18">#REF!</definedName>
    <definedName name="Hello" localSheetId="16">#REF!</definedName>
    <definedName name="Hello" localSheetId="6">#REF!</definedName>
    <definedName name="Hello" localSheetId="3">#REF!</definedName>
    <definedName name="Hello" localSheetId="17">#REF!</definedName>
    <definedName name="Hello" localSheetId="8">#REF!</definedName>
    <definedName name="Hello" localSheetId="4">#REF!</definedName>
    <definedName name="Hello" localSheetId="20">#REF!</definedName>
    <definedName name="Hello">#REF!</definedName>
    <definedName name="hgfdhdh">"#NAME?"</definedName>
    <definedName name="hgfdhdh_10">"#NAME?"</definedName>
    <definedName name="hgfjhg" localSheetId="7">#REF!</definedName>
    <definedName name="hgfjhg" localSheetId="15">#REF!</definedName>
    <definedName name="hgfjhg" localSheetId="1">#REF!</definedName>
    <definedName name="hgfjhg" localSheetId="18">#REF!</definedName>
    <definedName name="hgfjhg" localSheetId="16">#REF!</definedName>
    <definedName name="hgfjhg" localSheetId="6">#REF!</definedName>
    <definedName name="hgfjhg" localSheetId="5">#REF!</definedName>
    <definedName name="hgfjhg" localSheetId="3">#REF!</definedName>
    <definedName name="hgfjhg" localSheetId="17">#REF!</definedName>
    <definedName name="hgfjhg" localSheetId="8">#REF!</definedName>
    <definedName name="hgfjhg" localSheetId="4">#REF!</definedName>
    <definedName name="hgfjhg" localSheetId="20">#REF!</definedName>
    <definedName name="hgfjhg">#REF!</definedName>
    <definedName name="HH" localSheetId="7">#REF!</definedName>
    <definedName name="HH" localSheetId="15">#REF!</definedName>
    <definedName name="HH" localSheetId="1">#REF!</definedName>
    <definedName name="HH" localSheetId="18">#REF!</definedName>
    <definedName name="HH" localSheetId="16">#REF!</definedName>
    <definedName name="HH" localSheetId="6">#REF!</definedName>
    <definedName name="HH" localSheetId="5">#REF!</definedName>
    <definedName name="HH" localSheetId="3">#REF!</definedName>
    <definedName name="HH" localSheetId="17">#REF!</definedName>
    <definedName name="HH" localSheetId="8">#REF!</definedName>
    <definedName name="HH" localSheetId="4">#REF!</definedName>
    <definedName name="HH" localSheetId="20">#REF!</definedName>
    <definedName name="HH">#REF!</definedName>
    <definedName name="hhh" localSheetId="7">'[14]인원계획-미화'!#REF!</definedName>
    <definedName name="hhh" localSheetId="15">'[14]인원계획-미화'!#REF!</definedName>
    <definedName name="hhh" localSheetId="1">'[14]인원계획-미화'!#REF!</definedName>
    <definedName name="hhh" localSheetId="18">'[14]인원계획-미화'!#REF!</definedName>
    <definedName name="hhh" localSheetId="16">'[14]인원계획-미화'!#REF!</definedName>
    <definedName name="hhh" localSheetId="6">'[14]인원계획-미화'!#REF!</definedName>
    <definedName name="hhh" localSheetId="5">'[14]인원계획-미화'!#REF!</definedName>
    <definedName name="hhh" localSheetId="3">'[14]인원계획-미화'!#REF!</definedName>
    <definedName name="hhh" localSheetId="17">'[14]인원계획-미화'!#REF!</definedName>
    <definedName name="hhh" localSheetId="8">'[14]인원계획-미화'!#REF!</definedName>
    <definedName name="hhh" localSheetId="4">'[14]인원계획-미화'!#REF!</definedName>
    <definedName name="hhh" localSheetId="20">'[14]인원계획-미화'!#REF!</definedName>
    <definedName name="hhh">'[14]인원계획-미화'!#REF!</definedName>
    <definedName name="hhhhhhhh" localSheetId="7">[29]노무비!#REF!</definedName>
    <definedName name="hhhhhhhh" localSheetId="15">[29]노무비!#REF!</definedName>
    <definedName name="hhhhhhhh" localSheetId="1">[29]노무비!#REF!</definedName>
    <definedName name="hhhhhhhh" localSheetId="18">[29]노무비!#REF!</definedName>
    <definedName name="hhhhhhhh" localSheetId="16">[29]노무비!#REF!</definedName>
    <definedName name="hhhhhhhh" localSheetId="6">[29]노무비!#REF!</definedName>
    <definedName name="hhhhhhhh" localSheetId="5">[29]노무비!#REF!</definedName>
    <definedName name="hhhhhhhh" localSheetId="3">[29]노무비!#REF!</definedName>
    <definedName name="hhhhhhhh" localSheetId="17">[29]노무비!#REF!</definedName>
    <definedName name="hhhhhhhh" localSheetId="8">[29]노무비!#REF!</definedName>
    <definedName name="hhhhhhhh" localSheetId="4">[29]노무비!#REF!</definedName>
    <definedName name="hhhhhhhh" localSheetId="20">[29]노무비!#REF!</definedName>
    <definedName name="hhhhhhhh">[29]노무비!#REF!</definedName>
    <definedName name="HKDI" localSheetId="7">#REF!</definedName>
    <definedName name="HKDI" localSheetId="15">#REF!</definedName>
    <definedName name="HKDI" localSheetId="1">#REF!</definedName>
    <definedName name="HKDI" localSheetId="18">#REF!</definedName>
    <definedName name="HKDI" localSheetId="16">#REF!</definedName>
    <definedName name="HKDI" localSheetId="6">#REF!</definedName>
    <definedName name="HKDI" localSheetId="5">#REF!</definedName>
    <definedName name="HKDI" localSheetId="3">#REF!</definedName>
    <definedName name="HKDI" localSheetId="17">#REF!</definedName>
    <definedName name="HKDI" localSheetId="8">#REF!</definedName>
    <definedName name="HKDI" localSheetId="4">#REF!</definedName>
    <definedName name="HKDI" localSheetId="20">#REF!</definedName>
    <definedName name="HKDI">#REF!</definedName>
    <definedName name="HKDI_Exclude" localSheetId="7">#REF!,#REF!</definedName>
    <definedName name="HKDI_Exclude" localSheetId="15">#REF!,#REF!</definedName>
    <definedName name="HKDI_Exclude" localSheetId="1">#REF!,#REF!</definedName>
    <definedName name="HKDI_Exclude" localSheetId="18">#REF!,#REF!</definedName>
    <definedName name="HKDI_Exclude" localSheetId="16">#REF!,#REF!</definedName>
    <definedName name="HKDI_Exclude" localSheetId="6">#REF!,#REF!</definedName>
    <definedName name="HKDI_Exclude" localSheetId="5">#REF!,#REF!</definedName>
    <definedName name="HKDI_Exclude" localSheetId="3">#REF!,#REF!</definedName>
    <definedName name="HKDI_Exclude" localSheetId="17">#REF!,#REF!</definedName>
    <definedName name="HKDI_Exclude" localSheetId="8">#REF!,#REF!</definedName>
    <definedName name="HKDI_Exclude" localSheetId="4">#REF!,#REF!</definedName>
    <definedName name="HKDI_Exclude" localSheetId="20">#REF!,#REF!</definedName>
    <definedName name="HKDI_Exclude">#REF!,#REF!</definedName>
    <definedName name="HKFI" localSheetId="7">#REF!</definedName>
    <definedName name="HKFI" localSheetId="15">#REF!</definedName>
    <definedName name="HKFI" localSheetId="1">#REF!</definedName>
    <definedName name="HKFI" localSheetId="18">#REF!</definedName>
    <definedName name="HKFI" localSheetId="16">#REF!</definedName>
    <definedName name="HKFI" localSheetId="6">#REF!</definedName>
    <definedName name="HKFI" localSheetId="5">#REF!</definedName>
    <definedName name="HKFI" localSheetId="3">#REF!</definedName>
    <definedName name="HKFI" localSheetId="17">#REF!</definedName>
    <definedName name="HKFI" localSheetId="8">#REF!</definedName>
    <definedName name="HKFI" localSheetId="4">#REF!</definedName>
    <definedName name="HKFI" localSheetId="20">#REF!</definedName>
    <definedName name="HKFI">#REF!</definedName>
    <definedName name="HKNJ" localSheetId="7">#REF!</definedName>
    <definedName name="HKNJ" localSheetId="15">#REF!</definedName>
    <definedName name="HKNJ" localSheetId="1">#REF!</definedName>
    <definedName name="HKNJ" localSheetId="18">#REF!</definedName>
    <definedName name="HKNJ" localSheetId="16">#REF!</definedName>
    <definedName name="HKNJ" localSheetId="6">#REF!</definedName>
    <definedName name="HKNJ" localSheetId="5">#REF!</definedName>
    <definedName name="HKNJ" localSheetId="3">#REF!</definedName>
    <definedName name="HKNJ" localSheetId="17">#REF!</definedName>
    <definedName name="HKNJ" localSheetId="8">#REF!</definedName>
    <definedName name="HKNJ" localSheetId="4">#REF!</definedName>
    <definedName name="HKNJ" localSheetId="20">#REF!</definedName>
    <definedName name="HKNJ">#REF!</definedName>
    <definedName name="HKVI" localSheetId="7">#REF!</definedName>
    <definedName name="HKVI" localSheetId="15">#REF!</definedName>
    <definedName name="HKVI" localSheetId="1">#REF!</definedName>
    <definedName name="HKVI" localSheetId="18">#REF!</definedName>
    <definedName name="HKVI" localSheetId="16">#REF!</definedName>
    <definedName name="HKVI" localSheetId="6">#REF!</definedName>
    <definedName name="HKVI" localSheetId="5">#REF!</definedName>
    <definedName name="HKVI" localSheetId="3">#REF!</definedName>
    <definedName name="HKVI" localSheetId="17">#REF!</definedName>
    <definedName name="HKVI" localSheetId="8">#REF!</definedName>
    <definedName name="HKVI" localSheetId="4">#REF!</definedName>
    <definedName name="HKVI" localSheetId="20">#REF!</definedName>
    <definedName name="HKVI">#REF!</definedName>
    <definedName name="HKVI_Exclude" localSheetId="7">#REF!,#REF!</definedName>
    <definedName name="HKVI_Exclude" localSheetId="15">#REF!,#REF!</definedName>
    <definedName name="HKVI_Exclude" localSheetId="1">#REF!,#REF!</definedName>
    <definedName name="HKVI_Exclude" localSheetId="18">#REF!,#REF!</definedName>
    <definedName name="HKVI_Exclude" localSheetId="16">#REF!,#REF!</definedName>
    <definedName name="HKVI_Exclude" localSheetId="6">#REF!,#REF!</definedName>
    <definedName name="HKVI_Exclude" localSheetId="5">#REF!,#REF!</definedName>
    <definedName name="HKVI_Exclude" localSheetId="3">#REF!,#REF!</definedName>
    <definedName name="HKVI_Exclude" localSheetId="17">#REF!,#REF!</definedName>
    <definedName name="HKVI_Exclude" localSheetId="8">#REF!,#REF!</definedName>
    <definedName name="HKVI_Exclude" localSheetId="4">#REF!,#REF!</definedName>
    <definedName name="HKVI_Exclude" localSheetId="20">#REF!,#REF!</definedName>
    <definedName name="HKVI_Exclude">#REF!,#REF!</definedName>
    <definedName name="HM" localSheetId="7">#REF!</definedName>
    <definedName name="HM" localSheetId="15">#REF!</definedName>
    <definedName name="HM" localSheetId="1">#REF!</definedName>
    <definedName name="HM" localSheetId="18">#REF!</definedName>
    <definedName name="HM" localSheetId="16">#REF!</definedName>
    <definedName name="HM" localSheetId="6">#REF!</definedName>
    <definedName name="HM" localSheetId="3">#REF!</definedName>
    <definedName name="HM" localSheetId="17">#REF!</definedName>
    <definedName name="HM" localSheetId="8">#REF!</definedName>
    <definedName name="HM" localSheetId="4">#REF!</definedName>
    <definedName name="HM" localSheetId="20">#REF!</definedName>
    <definedName name="HM">#REF!</definedName>
    <definedName name="home">"'file:///A:/iaofsm-m/2000 Fcst/649 (12+0)/Cash Flow/nm_cash2000_649.xls'#$'NM Cash SUMMARY'.$#REF!$#REF!"</definedName>
    <definedName name="HOME_MANP" localSheetId="7">#REF!</definedName>
    <definedName name="HOME_MANP" localSheetId="15">#REF!</definedName>
    <definedName name="HOME_MANP" localSheetId="1">#REF!</definedName>
    <definedName name="HOME_MANP" localSheetId="18">#REF!</definedName>
    <definedName name="HOME_MANP" localSheetId="16">#REF!</definedName>
    <definedName name="HOME_MANP" localSheetId="6">#REF!</definedName>
    <definedName name="HOME_MANP" localSheetId="5">#REF!</definedName>
    <definedName name="HOME_MANP" localSheetId="3">#REF!</definedName>
    <definedName name="HOME_MANP" localSheetId="17">#REF!</definedName>
    <definedName name="HOME_MANP" localSheetId="8">#REF!</definedName>
    <definedName name="HOME_MANP" localSheetId="4">#REF!</definedName>
    <definedName name="HOME_MANP" localSheetId="20">#REF!</definedName>
    <definedName name="HOME_MANP">#REF!</definedName>
    <definedName name="HOMEOFFICE_COST" localSheetId="7">#REF!</definedName>
    <definedName name="HOMEOFFICE_COST" localSheetId="15">#REF!</definedName>
    <definedName name="HOMEOFFICE_COST" localSheetId="1">#REF!</definedName>
    <definedName name="HOMEOFFICE_COST" localSheetId="18">#REF!</definedName>
    <definedName name="HOMEOFFICE_COST" localSheetId="16">#REF!</definedName>
    <definedName name="HOMEOFFICE_COST" localSheetId="6">#REF!</definedName>
    <definedName name="HOMEOFFICE_COST" localSheetId="5">#REF!</definedName>
    <definedName name="HOMEOFFICE_COST" localSheetId="3">#REF!</definedName>
    <definedName name="HOMEOFFICE_COST" localSheetId="17">#REF!</definedName>
    <definedName name="HOMEOFFICE_COST" localSheetId="8">#REF!</definedName>
    <definedName name="HOMEOFFICE_COST" localSheetId="4">#REF!</definedName>
    <definedName name="HOMEOFFICE_COST" localSheetId="20">#REF!</definedName>
    <definedName name="HOMEOFFICE_COST">#REF!</definedName>
    <definedName name="hraehh" localSheetId="7">'2018-2022'!hraehh</definedName>
    <definedName name="hraehh" localSheetId="15">'2018-2022 SF'!hraehh</definedName>
    <definedName name="hraehh" localSheetId="16">B!hraehh</definedName>
    <definedName name="hraehh" localSheetId="5">[17]!hraehh</definedName>
    <definedName name="hraehh" localSheetId="3">[17]!hraehh</definedName>
    <definedName name="hraehh" localSheetId="17">[17]!hraehh</definedName>
    <definedName name="hraehh" localSheetId="8">[17]!hraehh</definedName>
    <definedName name="hraehh" localSheetId="4">Reconciliation!hraehh</definedName>
    <definedName name="hraehh" localSheetId="2">'Summary 2018 - MF'!hraehh</definedName>
    <definedName name="hraehh">[0]!hraehh</definedName>
    <definedName name="hraehh_10" localSheetId="7">'2018-2022'!hraehh_10</definedName>
    <definedName name="hraehh_10" localSheetId="15">'2018-2022 SF'!hraehh_10</definedName>
    <definedName name="hraehh_10" localSheetId="16">B!hraehh_10</definedName>
    <definedName name="hraehh_10" localSheetId="5">[17]!hraehh_10</definedName>
    <definedName name="hraehh_10" localSheetId="3">[17]!hraehh_10</definedName>
    <definedName name="hraehh_10" localSheetId="17">[17]!hraehh_10</definedName>
    <definedName name="hraehh_10" localSheetId="8">[17]!hraehh_10</definedName>
    <definedName name="hraehh_10" localSheetId="4">Reconciliation!hraehh_10</definedName>
    <definedName name="hraehh_10" localSheetId="2">'Summary 2018 - MF'!hraehh_10</definedName>
    <definedName name="hraehh_10">[0]!hraehh_10</definedName>
    <definedName name="hretetaesdf" localSheetId="7">'2018-2022'!hretetaesdf</definedName>
    <definedName name="hretetaesdf" localSheetId="15">'2018-2022 SF'!hretetaesdf</definedName>
    <definedName name="hretetaesdf" localSheetId="16">B!hretetaesdf</definedName>
    <definedName name="hretetaesdf" localSheetId="5">[17]!hretetaesdf</definedName>
    <definedName name="hretetaesdf" localSheetId="3">[17]!hretetaesdf</definedName>
    <definedName name="hretetaesdf" localSheetId="17">[17]!hretetaesdf</definedName>
    <definedName name="hretetaesdf" localSheetId="8">[17]!hretetaesdf</definedName>
    <definedName name="hretetaesdf" localSheetId="4">Reconciliation!hretetaesdf</definedName>
    <definedName name="hretetaesdf" localSheetId="2">'Summary 2018 - MF'!hretetaesdf</definedName>
    <definedName name="hretetaesdf">[0]!hretetaesdf</definedName>
    <definedName name="hretetaesdf_10" localSheetId="7">'2018-2022'!hretetaesdf_10</definedName>
    <definedName name="hretetaesdf_10" localSheetId="15">'2018-2022 SF'!hretetaesdf_10</definedName>
    <definedName name="hretetaesdf_10" localSheetId="16">B!hretetaesdf_10</definedName>
    <definedName name="hretetaesdf_10" localSheetId="5">[17]!hretetaesdf_10</definedName>
    <definedName name="hretetaesdf_10" localSheetId="3">[17]!hretetaesdf_10</definedName>
    <definedName name="hretetaesdf_10" localSheetId="17">[17]!hretetaesdf_10</definedName>
    <definedName name="hretetaesdf_10" localSheetId="8">[17]!hretetaesdf_10</definedName>
    <definedName name="hretetaesdf_10" localSheetId="4">Reconciliation!hretetaesdf_10</definedName>
    <definedName name="hretetaesdf_10" localSheetId="2">'Summary 2018 - MF'!hretetaesdf_10</definedName>
    <definedName name="hretetaesdf_10">[0]!hretetaesdf_10</definedName>
    <definedName name="hretyr" localSheetId="7">'2018-2022'!hretyr</definedName>
    <definedName name="hretyr" localSheetId="15">'2018-2022 SF'!hretyr</definedName>
    <definedName name="hretyr" localSheetId="16">B!hretyr</definedName>
    <definedName name="hretyr" localSheetId="5">[17]!hretyr</definedName>
    <definedName name="hretyr" localSheetId="3">[17]!hretyr</definedName>
    <definedName name="hretyr" localSheetId="17">[17]!hretyr</definedName>
    <definedName name="hretyr" localSheetId="8">[17]!hretyr</definedName>
    <definedName name="hretyr" localSheetId="4">Reconciliation!hretyr</definedName>
    <definedName name="hretyr" localSheetId="2">'Summary 2018 - MF'!hretyr</definedName>
    <definedName name="hretyr">[0]!hretyr</definedName>
    <definedName name="hretyr_10" localSheetId="7">'2018-2022'!hretyr_10</definedName>
    <definedName name="hretyr_10" localSheetId="15">'2018-2022 SF'!hretyr_10</definedName>
    <definedName name="hretyr_10" localSheetId="16">B!hretyr_10</definedName>
    <definedName name="hretyr_10" localSheetId="5">[17]!hretyr_10</definedName>
    <definedName name="hretyr_10" localSheetId="3">[17]!hretyr_10</definedName>
    <definedName name="hretyr_10" localSheetId="17">[17]!hretyr_10</definedName>
    <definedName name="hretyr_10" localSheetId="8">[17]!hretyr_10</definedName>
    <definedName name="hretyr_10" localSheetId="4">Reconciliation!hretyr_10</definedName>
    <definedName name="hretyr_10" localSheetId="2">'Summary 2018 - MF'!hretyr_10</definedName>
    <definedName name="hretyr_10">[0]!hretyr_10</definedName>
    <definedName name="HSCT3">0.1</definedName>
    <definedName name="HSDN">2.5</definedName>
    <definedName name="hsegment">"$#REF!.$#REF!$#REF!:$#REF!$#REF!"</definedName>
    <definedName name="HSLXH">1.7</definedName>
    <definedName name="HSVC3" localSheetId="7">#REF!</definedName>
    <definedName name="HSVC3" localSheetId="15">#REF!</definedName>
    <definedName name="HSVC3" localSheetId="1">#REF!</definedName>
    <definedName name="HSVC3" localSheetId="18">#REF!</definedName>
    <definedName name="HSVC3" localSheetId="16">#REF!</definedName>
    <definedName name="HSVC3" localSheetId="6">#REF!</definedName>
    <definedName name="HSVC3" localSheetId="3">#REF!</definedName>
    <definedName name="HSVC3" localSheetId="17">#REF!</definedName>
    <definedName name="HSVC3" localSheetId="8">#REF!</definedName>
    <definedName name="HSVC3" localSheetId="4">#REF!</definedName>
    <definedName name="HSVC3" localSheetId="20">#REF!</definedName>
    <definedName name="HSVC3">#REF!</definedName>
    <definedName name="HT_DMKYKT" localSheetId="5">[7]DMTH!$L$4:$L$27</definedName>
    <definedName name="HT_DMKYKT" localSheetId="3">[7]DMTH!$L$4:$L$27</definedName>
    <definedName name="HT_DMKYKT" localSheetId="17">[7]DMTH!$L$4:$L$27</definedName>
    <definedName name="HT_DMKYKT" localSheetId="8">[7]DMTH!$L$4:$L$27</definedName>
    <definedName name="HT_DMKYKT">[7]DMTH!$L$4:$L$27</definedName>
    <definedName name="HT_KYKT" localSheetId="7">[7]HT!#REF!</definedName>
    <definedName name="HT_KYKT" localSheetId="15">[7]HT!#REF!</definedName>
    <definedName name="HT_KYKT" localSheetId="1">[7]HT!#REF!</definedName>
    <definedName name="HT_KYKT" localSheetId="18">[7]HT!#REF!</definedName>
    <definedName name="HT_KYKT" localSheetId="16">[7]HT!#REF!</definedName>
    <definedName name="HT_KYKT" localSheetId="6">[7]HT!#REF!</definedName>
    <definedName name="HT_KYKT" localSheetId="10">[7]HT!#REF!</definedName>
    <definedName name="HT_KYKT" localSheetId="14">[7]HT!#REF!</definedName>
    <definedName name="HT_KYKT" localSheetId="5">[7]HT!#REF!</definedName>
    <definedName name="HT_KYKT" localSheetId="3">[7]HT!#REF!</definedName>
    <definedName name="HT_KYKT" localSheetId="17">[7]HT!#REF!</definedName>
    <definedName name="HT_KYKT" localSheetId="8">[7]HT!#REF!</definedName>
    <definedName name="HT_KYKT" localSheetId="4">[7]HT!#REF!</definedName>
    <definedName name="HT_KYKT" localSheetId="20">[7]HT!#REF!</definedName>
    <definedName name="HT_KYKT">[7]HT!#REF!</definedName>
    <definedName name="HTML_CodePage" hidden="1">950</definedName>
    <definedName name="HTML_Control" localSheetId="7" hidden="1">{"'Sheet1'!$L$16"}</definedName>
    <definedName name="HTML_Control" localSheetId="15" hidden="1">{"'Sheet1'!$L$16"}</definedName>
    <definedName name="HTML_Control" localSheetId="16" hidden="1">{"'Sheet1'!$L$16"}</definedName>
    <definedName name="HTML_Control" localSheetId="5" hidden="1">{"'Sheet1'!$L$16"}</definedName>
    <definedName name="HTML_Control" localSheetId="3" hidden="1">{"'Sheet1'!$L$16"}</definedName>
    <definedName name="HTML_Control" localSheetId="17" hidden="1">{"'Sheet1'!$L$16"}</definedName>
    <definedName name="HTML_Control" localSheetId="8"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localSheetId="5" hidden="1">"C:\2689\Q\國內\00q3961台化龍德PTA3建造\MyHTML.htm"</definedName>
    <definedName name="HTML_PathFile" localSheetId="3" hidden="1">"C:\2689\Q\國內\00q3961台化龍德PTA3建造\MyHTML.htm"</definedName>
    <definedName name="HTML_PathFile" localSheetId="17" hidden="1">"C:\2689\Q\國內\00q3961台化龍德PTA3建造\MyHTML.htm"</definedName>
    <definedName name="HTML_PathFile" localSheetId="8" hidden="1">"C:\2689\Q\國內\00q3961台化龍德PTA3建造\MyHTML.htm"</definedName>
    <definedName name="HTML_PathFile" hidden="1">"C:\2689\Q\??\00q3961????PTA3??\MyHTML.htm"</definedName>
    <definedName name="HTML_Title" hidden="1">"00Q3961-SUM"</definedName>
    <definedName name="HTNC" localSheetId="7">#REF!</definedName>
    <definedName name="HTNC" localSheetId="15">#REF!</definedName>
    <definedName name="HTNC" localSheetId="1">#REF!</definedName>
    <definedName name="HTNC" localSheetId="18">#REF!</definedName>
    <definedName name="HTNC" localSheetId="16">#REF!</definedName>
    <definedName name="HTNC" localSheetId="6">#REF!</definedName>
    <definedName name="HTNC" localSheetId="3">#REF!</definedName>
    <definedName name="HTNC" localSheetId="17">#REF!</definedName>
    <definedName name="HTNC" localSheetId="8">#REF!</definedName>
    <definedName name="HTNC" localSheetId="4">#REF!</definedName>
    <definedName name="HTNC" localSheetId="20">#REF!</definedName>
    <definedName name="HTNC">#REF!</definedName>
    <definedName name="HTTK_SHTK2" localSheetId="5">[7]HTTK!$B$5:$B$162</definedName>
    <definedName name="HTTK_SHTK2" localSheetId="3">[7]HTTK!$B$5:$B$162</definedName>
    <definedName name="HTTK_SHTK2" localSheetId="17">[7]HTTK!$B$5:$B$162</definedName>
    <definedName name="HTTK_SHTK2" localSheetId="8">[7]HTTK!$B$5:$B$162</definedName>
    <definedName name="HTTK_SHTK2">[7]HTTK!$B$5:$B$162</definedName>
    <definedName name="HTTK1" localSheetId="5">[7]HTTK!$B$5:$D$154</definedName>
    <definedName name="HTTK1" localSheetId="3">[7]HTTK!$B$5:$D$154</definedName>
    <definedName name="HTTK1" localSheetId="17">[7]HTTK!$B$5:$D$154</definedName>
    <definedName name="HTTK1" localSheetId="8">[7]HTTK!$B$5:$D$154</definedName>
    <definedName name="HTTK1">[7]HTTK!$B$5:$D$154</definedName>
    <definedName name="HTTK2" localSheetId="5">[7]HTTK!$B$5:$D$154</definedName>
    <definedName name="HTTK2" localSheetId="3">[7]HTTK!$B$5:$D$154</definedName>
    <definedName name="HTTK2" localSheetId="17">[7]HTTK!$B$5:$D$154</definedName>
    <definedName name="HTTK2" localSheetId="8">[7]HTTK!$B$5:$D$154</definedName>
    <definedName name="HTTK2">[7]HTTK!$B$5:$D$154</definedName>
    <definedName name="HTTKTH">"$#REF!.$A$3:$A$275"</definedName>
    <definedName name="HTVL" localSheetId="7">#REF!</definedName>
    <definedName name="HTVL" localSheetId="15">#REF!</definedName>
    <definedName name="HTVL" localSheetId="1">#REF!</definedName>
    <definedName name="HTVL" localSheetId="18">#REF!</definedName>
    <definedName name="HTVL" localSheetId="16">#REF!</definedName>
    <definedName name="HTVL" localSheetId="6">#REF!</definedName>
    <definedName name="HTVL" localSheetId="3">#REF!</definedName>
    <definedName name="HTVL" localSheetId="17">#REF!</definedName>
    <definedName name="HTVL" localSheetId="8">#REF!</definedName>
    <definedName name="HTVL" localSheetId="4">#REF!</definedName>
    <definedName name="HTVL" localSheetId="20">#REF!</definedName>
    <definedName name="HTVL">#REF!</definedName>
    <definedName name="huy" localSheetId="7" hidden="1">{"'Sheet1'!$L$16"}</definedName>
    <definedName name="huy" localSheetId="15" hidden="1">{"'Sheet1'!$L$16"}</definedName>
    <definedName name="huy" localSheetId="16" hidden="1">{"'Sheet1'!$L$16"}</definedName>
    <definedName name="huy" localSheetId="5" hidden="1">{"'Sheet1'!$L$16"}</definedName>
    <definedName name="huy" localSheetId="3" hidden="1">{"'Sheet1'!$L$16"}</definedName>
    <definedName name="huy" localSheetId="17" hidden="1">{"'Sheet1'!$L$16"}</definedName>
    <definedName name="huy" localSheetId="8" hidden="1">{"'Sheet1'!$L$16"}</definedName>
    <definedName name="huy" hidden="1">{"'Sheet1'!$L$16"}</definedName>
    <definedName name="I">"'file:///A:/DATA/98BP/Head-H.xls'#$End_H.$#REF!$#REF!:$#REF!$#REF!"</definedName>
    <definedName name="I_A" localSheetId="7">#REF!</definedName>
    <definedName name="I_A" localSheetId="15">#REF!</definedName>
    <definedName name="I_A" localSheetId="1">#REF!</definedName>
    <definedName name="I_A" localSheetId="18">#REF!</definedName>
    <definedName name="I_A" localSheetId="16">#REF!</definedName>
    <definedName name="I_A" localSheetId="6">#REF!</definedName>
    <definedName name="I_A" localSheetId="5">#REF!</definedName>
    <definedName name="I_A" localSheetId="3">#REF!</definedName>
    <definedName name="I_A" localSheetId="17">#REF!</definedName>
    <definedName name="I_A" localSheetId="8">#REF!</definedName>
    <definedName name="I_A" localSheetId="4">#REF!</definedName>
    <definedName name="I_A" localSheetId="20">#REF!</definedName>
    <definedName name="I_A">#REF!</definedName>
    <definedName name="I_B" localSheetId="7">#REF!</definedName>
    <definedName name="I_B" localSheetId="15">#REF!</definedName>
    <definedName name="I_B" localSheetId="1">#REF!</definedName>
    <definedName name="I_B" localSheetId="18">#REF!</definedName>
    <definedName name="I_B" localSheetId="16">#REF!</definedName>
    <definedName name="I_B" localSheetId="6">#REF!</definedName>
    <definedName name="I_B" localSheetId="5">#REF!</definedName>
    <definedName name="I_B" localSheetId="3">#REF!</definedName>
    <definedName name="I_B" localSheetId="17">#REF!</definedName>
    <definedName name="I_B" localSheetId="8">#REF!</definedName>
    <definedName name="I_B" localSheetId="4">#REF!</definedName>
    <definedName name="I_B" localSheetId="20">#REF!</definedName>
    <definedName name="I_B">#REF!</definedName>
    <definedName name="I_c" localSheetId="7">#REF!</definedName>
    <definedName name="I_c" localSheetId="15">#REF!</definedName>
    <definedName name="I_c" localSheetId="1">#REF!</definedName>
    <definedName name="I_c" localSheetId="18">#REF!</definedName>
    <definedName name="I_c" localSheetId="16">#REF!</definedName>
    <definedName name="I_c" localSheetId="6">#REF!</definedName>
    <definedName name="I_c" localSheetId="5">#REF!</definedName>
    <definedName name="I_c" localSheetId="3">#REF!</definedName>
    <definedName name="I_c" localSheetId="17">#REF!</definedName>
    <definedName name="I_c" localSheetId="8">#REF!</definedName>
    <definedName name="I_c" localSheetId="4">#REF!</definedName>
    <definedName name="I_c" localSheetId="20">#REF!</definedName>
    <definedName name="I_c">#REF!</definedName>
    <definedName name="IDLAB_COST" localSheetId="7">#REF!</definedName>
    <definedName name="IDLAB_COST" localSheetId="15">#REF!</definedName>
    <definedName name="IDLAB_COST" localSheetId="1">#REF!</definedName>
    <definedName name="IDLAB_COST" localSheetId="18">#REF!</definedName>
    <definedName name="IDLAB_COST" localSheetId="16">#REF!</definedName>
    <definedName name="IDLAB_COST" localSheetId="6">#REF!</definedName>
    <definedName name="IDLAB_COST" localSheetId="5">#REF!</definedName>
    <definedName name="IDLAB_COST" localSheetId="3">#REF!</definedName>
    <definedName name="IDLAB_COST" localSheetId="17">#REF!</definedName>
    <definedName name="IDLAB_COST" localSheetId="8">#REF!</definedName>
    <definedName name="IDLAB_COST" localSheetId="4">#REF!</definedName>
    <definedName name="IDLAB_COST" localSheetId="20">#REF!</definedName>
    <definedName name="IDLAB_COST">#REF!</definedName>
    <definedName name="II_A" localSheetId="7">#REF!</definedName>
    <definedName name="II_A" localSheetId="15">#REF!</definedName>
    <definedName name="II_A" localSheetId="1">#REF!</definedName>
    <definedName name="II_A" localSheetId="18">#REF!</definedName>
    <definedName name="II_A" localSheetId="16">#REF!</definedName>
    <definedName name="II_A" localSheetId="6">#REF!</definedName>
    <definedName name="II_A" localSheetId="5">#REF!</definedName>
    <definedName name="II_A" localSheetId="3">#REF!</definedName>
    <definedName name="II_A" localSheetId="17">#REF!</definedName>
    <definedName name="II_A" localSheetId="8">#REF!</definedName>
    <definedName name="II_A" localSheetId="4">#REF!</definedName>
    <definedName name="II_A" localSheetId="20">#REF!</definedName>
    <definedName name="II_A">#REF!</definedName>
    <definedName name="II_B" localSheetId="7">#REF!</definedName>
    <definedName name="II_B" localSheetId="15">#REF!</definedName>
    <definedName name="II_B" localSheetId="1">#REF!</definedName>
    <definedName name="II_B" localSheetId="18">#REF!</definedName>
    <definedName name="II_B" localSheetId="16">#REF!</definedName>
    <definedName name="II_B" localSheetId="6">#REF!</definedName>
    <definedName name="II_B" localSheetId="5">#REF!</definedName>
    <definedName name="II_B" localSheetId="3">#REF!</definedName>
    <definedName name="II_B" localSheetId="17">#REF!</definedName>
    <definedName name="II_B" localSheetId="8">#REF!</definedName>
    <definedName name="II_B" localSheetId="4">#REF!</definedName>
    <definedName name="II_B" localSheetId="20">#REF!</definedName>
    <definedName name="II_B">#REF!</definedName>
    <definedName name="II_c" localSheetId="7">#REF!</definedName>
    <definedName name="II_c" localSheetId="15">#REF!</definedName>
    <definedName name="II_c" localSheetId="1">#REF!</definedName>
    <definedName name="II_c" localSheetId="18">#REF!</definedName>
    <definedName name="II_c" localSheetId="16">#REF!</definedName>
    <definedName name="II_c" localSheetId="6">#REF!</definedName>
    <definedName name="II_c" localSheetId="5">#REF!</definedName>
    <definedName name="II_c" localSheetId="3">#REF!</definedName>
    <definedName name="II_c" localSheetId="17">#REF!</definedName>
    <definedName name="II_c" localSheetId="8">#REF!</definedName>
    <definedName name="II_c" localSheetId="4">#REF!</definedName>
    <definedName name="II_c" localSheetId="20">#REF!</definedName>
    <definedName name="II_c">#REF!</definedName>
    <definedName name="III_a" localSheetId="7">#REF!</definedName>
    <definedName name="III_a" localSheetId="15">#REF!</definedName>
    <definedName name="III_a" localSheetId="1">#REF!</definedName>
    <definedName name="III_a" localSheetId="18">#REF!</definedName>
    <definedName name="III_a" localSheetId="16">#REF!</definedName>
    <definedName name="III_a" localSheetId="6">#REF!</definedName>
    <definedName name="III_a" localSheetId="5">#REF!</definedName>
    <definedName name="III_a" localSheetId="3">#REF!</definedName>
    <definedName name="III_a" localSheetId="17">#REF!</definedName>
    <definedName name="III_a" localSheetId="8">#REF!</definedName>
    <definedName name="III_a" localSheetId="4">#REF!</definedName>
    <definedName name="III_a" localSheetId="20">#REF!</definedName>
    <definedName name="III_a">#REF!</definedName>
    <definedName name="III_B" localSheetId="7">#REF!</definedName>
    <definedName name="III_B" localSheetId="15">#REF!</definedName>
    <definedName name="III_B" localSheetId="1">#REF!</definedName>
    <definedName name="III_B" localSheetId="18">#REF!</definedName>
    <definedName name="III_B" localSheetId="16">#REF!</definedName>
    <definedName name="III_B" localSheetId="6">#REF!</definedName>
    <definedName name="III_B" localSheetId="5">#REF!</definedName>
    <definedName name="III_B" localSheetId="3">#REF!</definedName>
    <definedName name="III_B" localSheetId="17">#REF!</definedName>
    <definedName name="III_B" localSheetId="8">#REF!</definedName>
    <definedName name="III_B" localSheetId="4">#REF!</definedName>
    <definedName name="III_B" localSheetId="20">#REF!</definedName>
    <definedName name="III_B">#REF!</definedName>
    <definedName name="III_c" localSheetId="7">#REF!</definedName>
    <definedName name="III_c" localSheetId="15">#REF!</definedName>
    <definedName name="III_c" localSheetId="1">#REF!</definedName>
    <definedName name="III_c" localSheetId="18">#REF!</definedName>
    <definedName name="III_c" localSheetId="16">#REF!</definedName>
    <definedName name="III_c" localSheetId="6">#REF!</definedName>
    <definedName name="III_c" localSheetId="5">#REF!</definedName>
    <definedName name="III_c" localSheetId="3">#REF!</definedName>
    <definedName name="III_c" localSheetId="17">#REF!</definedName>
    <definedName name="III_c" localSheetId="8">#REF!</definedName>
    <definedName name="III_c" localSheetId="4">#REF!</definedName>
    <definedName name="III_c" localSheetId="20">#REF!</definedName>
    <definedName name="III_c">#REF!</definedName>
    <definedName name="IND_LAB" localSheetId="7">#REF!</definedName>
    <definedName name="IND_LAB" localSheetId="15">#REF!</definedName>
    <definedName name="IND_LAB" localSheetId="1">#REF!</definedName>
    <definedName name="IND_LAB" localSheetId="18">#REF!</definedName>
    <definedName name="IND_LAB" localSheetId="16">#REF!</definedName>
    <definedName name="IND_LAB" localSheetId="6">#REF!</definedName>
    <definedName name="IND_LAB" localSheetId="3">#REF!</definedName>
    <definedName name="IND_LAB" localSheetId="17">#REF!</definedName>
    <definedName name="IND_LAB" localSheetId="8">#REF!</definedName>
    <definedName name="IND_LAB" localSheetId="4">#REF!</definedName>
    <definedName name="IND_LAB" localSheetId="20">#REF!</definedName>
    <definedName name="IND_LAB">#REF!</definedName>
    <definedName name="INDMANP" localSheetId="7">#REF!</definedName>
    <definedName name="INDMANP" localSheetId="15">#REF!</definedName>
    <definedName name="INDMANP" localSheetId="1">#REF!</definedName>
    <definedName name="INDMANP" localSheetId="18">#REF!</definedName>
    <definedName name="INDMANP" localSheetId="16">#REF!</definedName>
    <definedName name="INDMANP" localSheetId="6">#REF!</definedName>
    <definedName name="INDMANP" localSheetId="5">#REF!</definedName>
    <definedName name="INDMANP" localSheetId="3">#REF!</definedName>
    <definedName name="INDMANP" localSheetId="17">#REF!</definedName>
    <definedName name="INDMANP" localSheetId="8">#REF!</definedName>
    <definedName name="INDMANP" localSheetId="4">#REF!</definedName>
    <definedName name="INDMANP" localSheetId="20">#REF!</definedName>
    <definedName name="INDMANP">#REF!</definedName>
    <definedName name="InNOK1" localSheetId="7">#REF!</definedName>
    <definedName name="InNOK1" localSheetId="15">#REF!</definedName>
    <definedName name="InNOK1" localSheetId="1">#REF!</definedName>
    <definedName name="InNOK1" localSheetId="18">#REF!</definedName>
    <definedName name="InNOK1" localSheetId="16">#REF!</definedName>
    <definedName name="InNOK1" localSheetId="6">#REF!</definedName>
    <definedName name="InNOK1" localSheetId="5">#REF!</definedName>
    <definedName name="InNOK1" localSheetId="3">#REF!</definedName>
    <definedName name="InNOK1" localSheetId="17">#REF!</definedName>
    <definedName name="InNOK1" localSheetId="13">#REF!</definedName>
    <definedName name="InNOK1" localSheetId="8">#REF!</definedName>
    <definedName name="InNOK1" localSheetId="4">#REF!</definedName>
    <definedName name="InNOK1" localSheetId="20">#REF!</definedName>
    <definedName name="InNOK1">#REF!</definedName>
    <definedName name="InNOK2" localSheetId="7">#REF!</definedName>
    <definedName name="InNOK2" localSheetId="15">#REF!</definedName>
    <definedName name="InNOK2" localSheetId="1">#REF!</definedName>
    <definedName name="InNOK2" localSheetId="18">#REF!</definedName>
    <definedName name="InNOK2" localSheetId="16">#REF!</definedName>
    <definedName name="InNOK2" localSheetId="6">#REF!</definedName>
    <definedName name="InNOK2" localSheetId="5">#REF!</definedName>
    <definedName name="InNOK2" localSheetId="3">#REF!</definedName>
    <definedName name="InNOK2" localSheetId="17">#REF!</definedName>
    <definedName name="InNOK2" localSheetId="13">#REF!</definedName>
    <definedName name="InNOK2" localSheetId="8">#REF!</definedName>
    <definedName name="InNOK2" localSheetId="4">#REF!</definedName>
    <definedName name="InNOK2" localSheetId="20">#REF!</definedName>
    <definedName name="InNOK2">#REF!</definedName>
    <definedName name="Input_forecast">"$#REF!.#REF!#REF!#REF!$#REF!"</definedName>
    <definedName name="Input_Forecat">"'file:///A:/Stsai2/STEPHEN/FORECAST/2001fcst/1+11/2001VOL1+11.xls'#$WS.$#REF!#REF!"</definedName>
    <definedName name="InstallationBonus_Real" localSheetId="7">#REF!</definedName>
    <definedName name="InstallationBonus_Real" localSheetId="15">#REF!</definedName>
    <definedName name="InstallationBonus_Real" localSheetId="1">#REF!</definedName>
    <definedName name="InstallationBonus_Real" localSheetId="18">#REF!</definedName>
    <definedName name="InstallationBonus_Real" localSheetId="16">#REF!</definedName>
    <definedName name="InstallationBonus_Real" localSheetId="6">#REF!</definedName>
    <definedName name="InstallationBonus_Real" localSheetId="5">#REF!</definedName>
    <definedName name="InstallationBonus_Real" localSheetId="3">#REF!</definedName>
    <definedName name="InstallationBonus_Real" localSheetId="17">#REF!</definedName>
    <definedName name="InstallationBonus_Real" localSheetId="8">#REF!</definedName>
    <definedName name="InstallationBonus_Real" localSheetId="4">#REF!</definedName>
    <definedName name="InstallationBonus_Real" localSheetId="20">#REF!</definedName>
    <definedName name="InstallationBonus_Real">#REF!</definedName>
    <definedName name="InstallationBonus_Real_PerPoint" localSheetId="7">#REF!</definedName>
    <definedName name="InstallationBonus_Real_PerPoint" localSheetId="15">#REF!</definedName>
    <definedName name="InstallationBonus_Real_PerPoint" localSheetId="1">#REF!</definedName>
    <definedName name="InstallationBonus_Real_PerPoint" localSheetId="18">#REF!</definedName>
    <definedName name="InstallationBonus_Real_PerPoint" localSheetId="16">#REF!</definedName>
    <definedName name="InstallationBonus_Real_PerPoint" localSheetId="6">#REF!</definedName>
    <definedName name="InstallationBonus_Real_PerPoint" localSheetId="5">#REF!</definedName>
    <definedName name="InstallationBonus_Real_PerPoint" localSheetId="3">#REF!</definedName>
    <definedName name="InstallationBonus_Real_PerPoint" localSheetId="17">#REF!</definedName>
    <definedName name="InstallationBonus_Real_PerPoint" localSheetId="8">#REF!</definedName>
    <definedName name="InstallationBonus_Real_PerPoint" localSheetId="4">#REF!</definedName>
    <definedName name="InstallationBonus_Real_PerPoint" localSheetId="20">#REF!</definedName>
    <definedName name="InstallationBonus_Real_PerPoint">#REF!</definedName>
    <definedName name="Instructions">[47]Instructions!$A$1:$C$67</definedName>
    <definedName name="INTC_SOPHIEU" localSheetId="5">[7]INTC!$L$2</definedName>
    <definedName name="INTC_SOPHIEU" localSheetId="3">[7]INTC!$L$2</definedName>
    <definedName name="INTC_SOPHIEU" localSheetId="17">[7]INTC!$L$2</definedName>
    <definedName name="INTC_SOPHIEU" localSheetId="8">[7]INTC!$L$2</definedName>
    <definedName name="INTC_SOPHIEU">[7]INTC!$L$2</definedName>
    <definedName name="intcurr" localSheetId="7">'[10]page 6'!#REF!</definedName>
    <definedName name="intcurr" localSheetId="15">'[10]page 6'!#REF!</definedName>
    <definedName name="intcurr" localSheetId="1">'[10]page 6'!#REF!</definedName>
    <definedName name="intcurr" localSheetId="18">'[10]page 6'!#REF!</definedName>
    <definedName name="intcurr" localSheetId="16">'[10]page 6'!#REF!</definedName>
    <definedName name="intcurr" localSheetId="6">'[10]page 6'!#REF!</definedName>
    <definedName name="intcurr" localSheetId="5">'[10]page 6'!#REF!</definedName>
    <definedName name="intcurr" localSheetId="3">'[10]page 6'!#REF!</definedName>
    <definedName name="intcurr" localSheetId="17">'[10]page 6'!#REF!</definedName>
    <definedName name="intcurr" localSheetId="8">'[10]page 6'!#REF!</definedName>
    <definedName name="intcurr" localSheetId="4">'[10]page 6'!#REF!</definedName>
    <definedName name="intcurr" localSheetId="20">'[10]page 6'!#REF!</definedName>
    <definedName name="intcurr">'[10]page 6'!#REF!</definedName>
    <definedName name="Intercompany_Payable">"$#REF!.$AL$61:$BA$120"</definedName>
    <definedName name="InUSD" localSheetId="7">#REF!</definedName>
    <definedName name="InUSD" localSheetId="15">#REF!</definedName>
    <definedName name="InUSD" localSheetId="1">#REF!</definedName>
    <definedName name="InUSD" localSheetId="18">#REF!</definedName>
    <definedName name="InUSD" localSheetId="16">#REF!</definedName>
    <definedName name="InUSD" localSheetId="6">#REF!</definedName>
    <definedName name="InUSD" localSheetId="5">#REF!</definedName>
    <definedName name="InUSD" localSheetId="3">#REF!</definedName>
    <definedName name="InUSD" localSheetId="17">#REF!</definedName>
    <definedName name="InUSD" localSheetId="13">#REF!</definedName>
    <definedName name="InUSD" localSheetId="8">#REF!</definedName>
    <definedName name="InUSD" localSheetId="4">#REF!</definedName>
    <definedName name="InUSD" localSheetId="20">#REF!</definedName>
    <definedName name="InUSD">#REF!</definedName>
    <definedName name="invcurr" localSheetId="7">'[10]page 6'!#REF!</definedName>
    <definedName name="invcurr" localSheetId="15">'[10]page 6'!#REF!</definedName>
    <definedName name="invcurr" localSheetId="1">'[10]page 6'!#REF!</definedName>
    <definedName name="invcurr" localSheetId="18">'[10]page 6'!#REF!</definedName>
    <definedName name="invcurr" localSheetId="16">'[10]page 6'!#REF!</definedName>
    <definedName name="invcurr" localSheetId="6">'[10]page 6'!#REF!</definedName>
    <definedName name="invcurr" localSheetId="5">'[10]page 6'!#REF!</definedName>
    <definedName name="invcurr" localSheetId="3">'[10]page 6'!#REF!</definedName>
    <definedName name="invcurr" localSheetId="17">'[10]page 6'!#REF!</definedName>
    <definedName name="invcurr" localSheetId="8">'[10]page 6'!#REF!</definedName>
    <definedName name="invcurr" localSheetId="4">'[10]page 6'!#REF!</definedName>
    <definedName name="invcurr" localSheetId="20">'[10]page 6'!#REF!</definedName>
    <definedName name="invcurr">'[10]page 6'!#REF!</definedName>
    <definedName name="InVND" localSheetId="7">#REF!</definedName>
    <definedName name="InVND" localSheetId="15">#REF!</definedName>
    <definedName name="InVND" localSheetId="1">#REF!</definedName>
    <definedName name="InVND" localSheetId="18">#REF!</definedName>
    <definedName name="InVND" localSheetId="16">#REF!</definedName>
    <definedName name="InVND" localSheetId="6">#REF!</definedName>
    <definedName name="InVND" localSheetId="5">#REF!</definedName>
    <definedName name="InVND" localSheetId="3">#REF!</definedName>
    <definedName name="InVND" localSheetId="17">#REF!</definedName>
    <definedName name="InVND" localSheetId="13">#REF!</definedName>
    <definedName name="InVND" localSheetId="8">#REF!</definedName>
    <definedName name="InVND" localSheetId="4">#REF!</definedName>
    <definedName name="InVND" localSheetId="20">#REF!</definedName>
    <definedName name="InVND">#REF!</definedName>
    <definedName name="INVST">"$#REF!.$E$35:$U$39"</definedName>
    <definedName name="Issue">"$#REF!.$A$1"</definedName>
    <definedName name="issue_issue">"$#REF!.$C$1:$F$79"</definedName>
    <definedName name="j356C8" localSheetId="7">#REF!</definedName>
    <definedName name="j356C8" localSheetId="15">#REF!</definedName>
    <definedName name="j356C8" localSheetId="1">#REF!</definedName>
    <definedName name="j356C8" localSheetId="18">#REF!</definedName>
    <definedName name="j356C8" localSheetId="16">#REF!</definedName>
    <definedName name="j356C8" localSheetId="6">#REF!</definedName>
    <definedName name="j356C8" localSheetId="5">#REF!</definedName>
    <definedName name="j356C8" localSheetId="3">#REF!</definedName>
    <definedName name="j356C8" localSheetId="17">#REF!</definedName>
    <definedName name="j356C8" localSheetId="8">#REF!</definedName>
    <definedName name="j356C8" localSheetId="4">#REF!</definedName>
    <definedName name="j356C8" localSheetId="20">#REF!</definedName>
    <definedName name="j356C8">#REF!</definedName>
    <definedName name="Jaguar">"#NAME?"</definedName>
    <definedName name="Jaguar_10">"#NAME?"</definedName>
    <definedName name="jpn">"$#REF!.$#REF!$#REF!:$#REF!$#REF!"</definedName>
    <definedName name="K" localSheetId="7">#REF!</definedName>
    <definedName name="K" localSheetId="15">#REF!</definedName>
    <definedName name="K" localSheetId="1">#REF!</definedName>
    <definedName name="K" localSheetId="18">#REF!</definedName>
    <definedName name="K" localSheetId="16">#REF!</definedName>
    <definedName name="K" localSheetId="6">#REF!</definedName>
    <definedName name="K" localSheetId="10">#REF!</definedName>
    <definedName name="K" localSheetId="14">#REF!</definedName>
    <definedName name="K" localSheetId="5">#REF!</definedName>
    <definedName name="K" localSheetId="3">#REF!</definedName>
    <definedName name="K" localSheetId="17">#REF!</definedName>
    <definedName name="K" localSheetId="8">#REF!</definedName>
    <definedName name="K" localSheetId="4">#REF!</definedName>
    <definedName name="K" localSheetId="20">#REF!</definedName>
    <definedName name="K">#REF!</definedName>
    <definedName name="k2b" localSheetId="7">#REF!</definedName>
    <definedName name="k2b" localSheetId="15">#REF!</definedName>
    <definedName name="k2b" localSheetId="1">#REF!</definedName>
    <definedName name="k2b" localSheetId="18">#REF!</definedName>
    <definedName name="k2b" localSheetId="16">#REF!</definedName>
    <definedName name="k2b" localSheetId="6">#REF!</definedName>
    <definedName name="k2b" localSheetId="3">#REF!</definedName>
    <definedName name="k2b" localSheetId="17">#REF!</definedName>
    <definedName name="k2b" localSheetId="8">#REF!</definedName>
    <definedName name="k2b" localSheetId="4">#REF!</definedName>
    <definedName name="k2b" localSheetId="20">#REF!</definedName>
    <definedName name="k2b">#REF!</definedName>
    <definedName name="katssip">"'smb://Stsai2/share/WINDOWS/xlsheet.xla'#$SSIP.$#REF!$#REF!"</definedName>
    <definedName name="kattesp">"'smb://Stsai2/share/WINDOWS/xlsheet.xla'#$SSIP.$#REF!$#REF!"</definedName>
    <definedName name="KC_LOAICT" localSheetId="7">'[7]Ket chuyen'!#REF!</definedName>
    <definedName name="KC_LOAICT" localSheetId="15">'[7]Ket chuyen'!#REF!</definedName>
    <definedName name="KC_LOAICT" localSheetId="1">'[7]Ket chuyen'!#REF!</definedName>
    <definedName name="KC_LOAICT" localSheetId="18">'[7]Ket chuyen'!#REF!</definedName>
    <definedName name="KC_LOAICT" localSheetId="16">'[7]Ket chuyen'!#REF!</definedName>
    <definedName name="KC_LOAICT" localSheetId="6">'[7]Ket chuyen'!#REF!</definedName>
    <definedName name="KC_LOAICT" localSheetId="10">'[7]Ket chuyen'!#REF!</definedName>
    <definedName name="KC_LOAICT" localSheetId="14">'[7]Ket chuyen'!#REF!</definedName>
    <definedName name="KC_LOAICT" localSheetId="5">'[7]Ket chuyen'!#REF!</definedName>
    <definedName name="KC_LOAICT" localSheetId="3">'[7]Ket chuyen'!#REF!</definedName>
    <definedName name="KC_LOAICT" localSheetId="17">'[7]Ket chuyen'!#REF!</definedName>
    <definedName name="KC_LOAICT" localSheetId="8">'[7]Ket chuyen'!#REF!</definedName>
    <definedName name="KC_LOAICT" localSheetId="4">'[7]Ket chuyen'!#REF!</definedName>
    <definedName name="KC_LOAICT" localSheetId="20">'[7]Ket chuyen'!#REF!</definedName>
    <definedName name="KC_LOAICT">'[7]Ket chuyen'!#REF!</definedName>
    <definedName name="KC_MABT" localSheetId="7">'[7]Ket chuyen'!#REF!</definedName>
    <definedName name="KC_MABT" localSheetId="15">'[7]Ket chuyen'!#REF!</definedName>
    <definedName name="KC_MABT" localSheetId="1">'[7]Ket chuyen'!#REF!</definedName>
    <definedName name="KC_MABT" localSheetId="18">'[7]Ket chuyen'!#REF!</definedName>
    <definedName name="KC_MABT" localSheetId="16">'[7]Ket chuyen'!#REF!</definedName>
    <definedName name="KC_MABT" localSheetId="6">'[7]Ket chuyen'!#REF!</definedName>
    <definedName name="KC_MABT" localSheetId="10">'[7]Ket chuyen'!#REF!</definedName>
    <definedName name="KC_MABT" localSheetId="14">'[7]Ket chuyen'!#REF!</definedName>
    <definedName name="KC_MABT" localSheetId="5">'[7]Ket chuyen'!#REF!</definedName>
    <definedName name="KC_MABT" localSheetId="3">'[7]Ket chuyen'!#REF!</definedName>
    <definedName name="KC_MABT" localSheetId="17">'[7]Ket chuyen'!#REF!</definedName>
    <definedName name="KC_MABT" localSheetId="8">'[7]Ket chuyen'!#REF!</definedName>
    <definedName name="KC_MABT" localSheetId="4">'[7]Ket chuyen'!#REF!</definedName>
    <definedName name="KC_MABT" localSheetId="20">'[7]Ket chuyen'!#REF!</definedName>
    <definedName name="KC_MABT">'[7]Ket chuyen'!#REF!</definedName>
    <definedName name="kd">"$#REF!.$A$1:$R$55"</definedName>
    <definedName name="kdprint">"$#REF!.$A$1:$R$55"</definedName>
    <definedName name="KeepRows_1_tk" localSheetId="7">#REF!</definedName>
    <definedName name="KeepRows_1_tk" localSheetId="15">#REF!</definedName>
    <definedName name="KeepRows_1_tk" localSheetId="1">#REF!</definedName>
    <definedName name="KeepRows_1_tk" localSheetId="18">#REF!</definedName>
    <definedName name="KeepRows_1_tk" localSheetId="16">#REF!</definedName>
    <definedName name="KeepRows_1_tk" localSheetId="6">#REF!</definedName>
    <definedName name="KeepRows_1_tk" localSheetId="5">#REF!</definedName>
    <definedName name="KeepRows_1_tk" localSheetId="3">#REF!</definedName>
    <definedName name="KeepRows_1_tk" localSheetId="17">#REF!</definedName>
    <definedName name="KeepRows_1_tk" localSheetId="8">#REF!</definedName>
    <definedName name="KeepRows_1_tk" localSheetId="4">#REF!</definedName>
    <definedName name="KeepRows_1_tk" localSheetId="20">#REF!</definedName>
    <definedName name="KeepRows_1_tk">#REF!</definedName>
    <definedName name="KeyData">"$#REF!.$A$1:$L$77"</definedName>
    <definedName name="KHO_KT" localSheetId="5">[7]DMHTK!$G$4</definedName>
    <definedName name="KHO_KT" localSheetId="3">[7]DMHTK!$G$4</definedName>
    <definedName name="KHO_KT" localSheetId="17">[7]DMHTK!$G$4</definedName>
    <definedName name="KHO_KT" localSheetId="8">[7]DMHTK!$G$4</definedName>
    <definedName name="KHO_KT">[7]DMHTK!$G$4</definedName>
    <definedName name="KHO_MH" localSheetId="5">[7]XEMTONKHO!$B$3</definedName>
    <definedName name="KHO_MH" localSheetId="3">[7]XEMTONKHO!$B$3</definedName>
    <definedName name="KHO_MH" localSheetId="17">[7]XEMTONKHO!$B$3</definedName>
    <definedName name="KHO_MH" localSheetId="8">[7]XEMTONKHO!$B$3</definedName>
    <definedName name="KHO_MH">[7]XEMTONKHO!$B$3</definedName>
    <definedName name="KHOÂI___LYÙ_TÖÏ_TROÏNG" localSheetId="11">#REF!</definedName>
    <definedName name="KHOÂI___LYÙ_TÖÏ_TROÏNG" localSheetId="7">#REF!</definedName>
    <definedName name="KHOÂI___LYÙ_TÖÏ_TROÏNG" localSheetId="15">#REF!</definedName>
    <definedName name="KHOÂI___LYÙ_TÖÏ_TROÏNG" localSheetId="1">#REF!</definedName>
    <definedName name="KHOÂI___LYÙ_TÖÏ_TROÏNG" localSheetId="18">#REF!</definedName>
    <definedName name="KHOÂI___LYÙ_TÖÏ_TROÏNG" localSheetId="16">#REF!</definedName>
    <definedName name="KHOÂI___LYÙ_TÖÏ_TROÏNG" localSheetId="6">#REF!</definedName>
    <definedName name="KHOÂI___LYÙ_TÖÏ_TROÏNG" localSheetId="10">#REF!</definedName>
    <definedName name="KHOÂI___LYÙ_TÖÏ_TROÏNG" localSheetId="14">#REF!</definedName>
    <definedName name="KHOÂI___LYÙ_TÖÏ_TROÏNG" localSheetId="5">#REF!</definedName>
    <definedName name="KHOÂI___LYÙ_TÖÏ_TROÏNG" localSheetId="3">#REF!</definedName>
    <definedName name="KHOÂI___LYÙ_TÖÏ_TROÏNG" localSheetId="17">#REF!</definedName>
    <definedName name="KHOÂI___LYÙ_TÖÏ_TROÏNG" localSheetId="13">#REF!</definedName>
    <definedName name="KHOÂI___LYÙ_TÖÏ_TROÏNG" localSheetId="8">#REF!</definedName>
    <definedName name="KHOÂI___LYÙ_TÖÏ_TROÏNG" localSheetId="4">#REF!</definedName>
    <definedName name="KHOÂI___LYÙ_TÖÏ_TROÏNG" localSheetId="20">#REF!</definedName>
    <definedName name="KHOÂI___LYÙ_TÖÏ_TROÏNG">#REF!</definedName>
    <definedName name="kht" localSheetId="7">#REF!</definedName>
    <definedName name="kht" localSheetId="15">#REF!</definedName>
    <definedName name="kht" localSheetId="1">#REF!</definedName>
    <definedName name="kht" localSheetId="18">#REF!</definedName>
    <definedName name="kht" localSheetId="16">#REF!</definedName>
    <definedName name="kht" localSheetId="6">#REF!</definedName>
    <definedName name="kht" localSheetId="3">#REF!</definedName>
    <definedName name="kht" localSheetId="17">#REF!</definedName>
    <definedName name="kht" localSheetId="8">#REF!</definedName>
    <definedName name="kht" localSheetId="4">#REF!</definedName>
    <definedName name="kht" localSheetId="20">#REF!</definedName>
    <definedName name="kht">#REF!</definedName>
    <definedName name="KHTS1" localSheetId="7">#REF!</definedName>
    <definedName name="KHTS1" localSheetId="15">#REF!</definedName>
    <definedName name="KHTS1" localSheetId="1">#REF!</definedName>
    <definedName name="KHTS1" localSheetId="18">#REF!</definedName>
    <definedName name="KHTS1" localSheetId="16">#REF!</definedName>
    <definedName name="KHTS1" localSheetId="6">#REF!</definedName>
    <definedName name="KHTS1" localSheetId="3">#REF!</definedName>
    <definedName name="KHTS1" localSheetId="17">#REF!</definedName>
    <definedName name="KHTS1" localSheetId="8">#REF!</definedName>
    <definedName name="KHTS1" localSheetId="4">#REF!</definedName>
    <definedName name="KHTS1" localSheetId="20">#REF!</definedName>
    <definedName name="KHTS1">#REF!</definedName>
    <definedName name="khtsn" localSheetId="7">#REF!</definedName>
    <definedName name="khtsn" localSheetId="15">#REF!</definedName>
    <definedName name="khtsn" localSheetId="1">#REF!</definedName>
    <definedName name="khtsn" localSheetId="18">#REF!</definedName>
    <definedName name="khtsn" localSheetId="16">#REF!</definedName>
    <definedName name="khtsn" localSheetId="6">#REF!</definedName>
    <definedName name="khtsn" localSheetId="3">#REF!</definedName>
    <definedName name="khtsn" localSheetId="17">#REF!</definedName>
    <definedName name="khtsn" localSheetId="8">#REF!</definedName>
    <definedName name="khtsn" localSheetId="4">#REF!</definedName>
    <definedName name="khtsn" localSheetId="20">#REF!</definedName>
    <definedName name="khtsn">#REF!</definedName>
    <definedName name="khtst" localSheetId="7">#REF!</definedName>
    <definedName name="khtst" localSheetId="15">#REF!</definedName>
    <definedName name="khtst" localSheetId="1">#REF!</definedName>
    <definedName name="khtst" localSheetId="18">#REF!</definedName>
    <definedName name="khtst" localSheetId="16">#REF!</definedName>
    <definedName name="khtst" localSheetId="6">#REF!</definedName>
    <definedName name="khtst" localSheetId="3">#REF!</definedName>
    <definedName name="khtst" localSheetId="17">#REF!</definedName>
    <definedName name="khtst" localSheetId="8">#REF!</definedName>
    <definedName name="khtst" localSheetId="4">#REF!</definedName>
    <definedName name="khtst" localSheetId="20">#REF!</definedName>
    <definedName name="khtst">#REF!</definedName>
    <definedName name="kkk">"$#REF!.$A$11:$R$52"</definedName>
    <definedName name="kkkkk" localSheetId="7">'[50]인원계획-미화'!#REF!</definedName>
    <definedName name="kkkkk" localSheetId="15">'[50]인원계획-미화'!#REF!</definedName>
    <definedName name="kkkkk" localSheetId="1">'[50]인원계획-미화'!#REF!</definedName>
    <definedName name="kkkkk" localSheetId="18">'[50]인원계획-미화'!#REF!</definedName>
    <definedName name="kkkkk" localSheetId="16">'[50]인원계획-미화'!#REF!</definedName>
    <definedName name="kkkkk" localSheetId="6">'[50]인원계획-미화'!#REF!</definedName>
    <definedName name="kkkkk" localSheetId="5">'[50]인원계획-미화'!#REF!</definedName>
    <definedName name="kkkkk" localSheetId="3">'[50]인원계획-미화'!#REF!</definedName>
    <definedName name="kkkkk" localSheetId="17">'[50]인원계획-미화'!#REF!</definedName>
    <definedName name="kkkkk" localSheetId="8">'[50]인원계획-미화'!#REF!</definedName>
    <definedName name="kkkkk" localSheetId="4">'[50]인원계획-미화'!#REF!</definedName>
    <definedName name="kkkkk" localSheetId="20">'[50]인원계획-미화'!#REF!</definedName>
    <definedName name="kkkkk">'[50]인원계획-미화'!#REF!</definedName>
    <definedName name="kl" localSheetId="7">[29]노무비!#REF!</definedName>
    <definedName name="kl" localSheetId="15">[29]노무비!#REF!</definedName>
    <definedName name="kl" localSheetId="1">[29]노무비!#REF!</definedName>
    <definedName name="kl" localSheetId="18">[29]노무비!#REF!</definedName>
    <definedName name="kl" localSheetId="16">[29]노무비!#REF!</definedName>
    <definedName name="kl" localSheetId="6">[29]노무비!#REF!</definedName>
    <definedName name="kl" localSheetId="5">[29]노무비!#REF!</definedName>
    <definedName name="kl" localSheetId="3">[29]노무비!#REF!</definedName>
    <definedName name="kl" localSheetId="17">[29]노무비!#REF!</definedName>
    <definedName name="kl" localSheetId="8">[29]노무비!#REF!</definedName>
    <definedName name="kl" localSheetId="4">[29]노무비!#REF!</definedName>
    <definedName name="kl" localSheetId="20">[29]노무비!#REF!</definedName>
    <definedName name="kl">[29]노무비!#REF!</definedName>
    <definedName name="kno">[32]gvl!$Q$48</definedName>
    <definedName name="kowcurr" localSheetId="7">'[10]page 6'!#REF!</definedName>
    <definedName name="kowcurr" localSheetId="15">'[10]page 6'!#REF!</definedName>
    <definedName name="kowcurr" localSheetId="1">'[10]page 6'!#REF!</definedName>
    <definedName name="kowcurr" localSheetId="18">'[10]page 6'!#REF!</definedName>
    <definedName name="kowcurr" localSheetId="16">'[10]page 6'!#REF!</definedName>
    <definedName name="kowcurr" localSheetId="6">'[10]page 6'!#REF!</definedName>
    <definedName name="kowcurr" localSheetId="5">'[10]page 6'!#REF!</definedName>
    <definedName name="kowcurr" localSheetId="3">'[10]page 6'!#REF!</definedName>
    <definedName name="kowcurr" localSheetId="17">'[10]page 6'!#REF!</definedName>
    <definedName name="kowcurr" localSheetId="8">'[10]page 6'!#REF!</definedName>
    <definedName name="kowcurr" localSheetId="4">'[10]page 6'!#REF!</definedName>
    <definedName name="kowcurr" localSheetId="20">'[10]page 6'!#REF!</definedName>
    <definedName name="kowcurr">'[10]page 6'!#REF!</definedName>
    <definedName name="kp1ph" localSheetId="7">#REF!</definedName>
    <definedName name="kp1ph" localSheetId="15">#REF!</definedName>
    <definedName name="kp1ph" localSheetId="1">#REF!</definedName>
    <definedName name="kp1ph" localSheetId="18">#REF!</definedName>
    <definedName name="kp1ph" localSheetId="16">#REF!</definedName>
    <definedName name="kp1ph" localSheetId="6">#REF!</definedName>
    <definedName name="kp1ph" localSheetId="3">#REF!</definedName>
    <definedName name="kp1ph" localSheetId="17">#REF!</definedName>
    <definedName name="kp1ph" localSheetId="8">#REF!</definedName>
    <definedName name="kp1ph" localSheetId="4">#REF!</definedName>
    <definedName name="kp1ph" localSheetId="20">#REF!</definedName>
    <definedName name="kp1ph">#REF!</definedName>
    <definedName name="KSTK" localSheetId="7">#REF!</definedName>
    <definedName name="KSTK" localSheetId="15">#REF!</definedName>
    <definedName name="KSTK" localSheetId="1">#REF!</definedName>
    <definedName name="KSTK" localSheetId="18">#REF!</definedName>
    <definedName name="KSTK" localSheetId="16">#REF!</definedName>
    <definedName name="KSTK" localSheetId="6">#REF!</definedName>
    <definedName name="KSTK" localSheetId="3">#REF!</definedName>
    <definedName name="KSTK" localSheetId="17">#REF!</definedName>
    <definedName name="KSTK" localSheetId="8">#REF!</definedName>
    <definedName name="KSTK" localSheetId="4">#REF!</definedName>
    <definedName name="KSTK" localSheetId="20">#REF!</definedName>
    <definedName name="KSTK">#REF!</definedName>
    <definedName name="ktt" localSheetId="5">[7]HT!$C$9</definedName>
    <definedName name="ktt" localSheetId="3">[7]HT!$C$9</definedName>
    <definedName name="ktt" localSheetId="17">[7]HT!$C$9</definedName>
    <definedName name="ktt" localSheetId="8">[7]HT!$C$9</definedName>
    <definedName name="ktt">[7]HT!$C$9</definedName>
    <definedName name="largehvysegment">"$#REF!.$#REF!$#REF!:$#REF!$#REF!"</definedName>
    <definedName name="LASTMTH" localSheetId="7">#REF!</definedName>
    <definedName name="LASTMTH" localSheetId="15">#REF!</definedName>
    <definedName name="LASTMTH" localSheetId="1">#REF!</definedName>
    <definedName name="LASTMTH" localSheetId="18">#REF!</definedName>
    <definedName name="LASTMTH" localSheetId="16">#REF!</definedName>
    <definedName name="LASTMTH" localSheetId="6">#REF!</definedName>
    <definedName name="LASTMTH" localSheetId="5">#REF!</definedName>
    <definedName name="LASTMTH" localSheetId="3">#REF!</definedName>
    <definedName name="LASTMTH" localSheetId="17">#REF!</definedName>
    <definedName name="LASTMTH" localSheetId="8">#REF!</definedName>
    <definedName name="LASTMTH" localSheetId="4">#REF!</definedName>
    <definedName name="LASTMTH" localSheetId="20">#REF!</definedName>
    <definedName name="LASTMTH">#REF!</definedName>
    <definedName name="lc45p" localSheetId="5">[4]BangLuongMOI!$K$28</definedName>
    <definedName name="lc45p" localSheetId="3">[4]BangLuongMOI!$K$28</definedName>
    <definedName name="lc45p" localSheetId="17">[4]BangLuongMOI!$K$28</definedName>
    <definedName name="lc45p" localSheetId="8">[4]BangLuongMOI!$K$28</definedName>
    <definedName name="lc45p">[4]BangLuongMOI!$K$28</definedName>
    <definedName name="ld15p" localSheetId="5">[4]BangLuongMOI!$O$10</definedName>
    <definedName name="ld15p" localSheetId="3">[4]BangLuongMOI!$O$10</definedName>
    <definedName name="ld15p" localSheetId="17">[4]BangLuongMOI!$O$10</definedName>
    <definedName name="ld15p" localSheetId="8">[4]BangLuongMOI!$O$10</definedName>
    <definedName name="ld15p">[4]BangLuongMOI!$O$10</definedName>
    <definedName name="ld25p" localSheetId="5">[4]BangLuongMOI!$O$16</definedName>
    <definedName name="ld25p" localSheetId="3">[4]BangLuongMOI!$O$16</definedName>
    <definedName name="ld25p" localSheetId="17">[4]BangLuongMOI!$O$16</definedName>
    <definedName name="ld25p" localSheetId="8">[4]BangLuongMOI!$O$16</definedName>
    <definedName name="ld25p">[4]BangLuongMOI!$O$16</definedName>
    <definedName name="ld35p" localSheetId="5">[4]BangLuongMOI!$O$22</definedName>
    <definedName name="ld35p" localSheetId="3">[4]BangLuongMOI!$O$22</definedName>
    <definedName name="ld35p" localSheetId="17">[4]BangLuongMOI!$O$22</definedName>
    <definedName name="ld35p" localSheetId="8">[4]BangLuongMOI!$O$22</definedName>
    <definedName name="ld35p">[4]BangLuongMOI!$O$22</definedName>
    <definedName name="ld45p" localSheetId="5">[4]BangLuongMOI!$O$28</definedName>
    <definedName name="ld45p" localSheetId="3">[4]BangLuongMOI!$O$28</definedName>
    <definedName name="ld45p" localSheetId="17">[4]BangLuongMOI!$O$28</definedName>
    <definedName name="ld45p" localSheetId="8">[4]BangLuongMOI!$O$28</definedName>
    <definedName name="ld45p">[4]BangLuongMOI!$O$28</definedName>
    <definedName name="LE25P" localSheetId="5">[4]BangLuongMOI!$S$16</definedName>
    <definedName name="LE25P" localSheetId="3">[4]BangLuongMOI!$S$16</definedName>
    <definedName name="LE25P" localSheetId="17">[4]BangLuongMOI!$S$16</definedName>
    <definedName name="LE25P" localSheetId="8">[4]BangLuongMOI!$S$16</definedName>
    <definedName name="LE25P">[4]BangLuongMOI!$S$16</definedName>
    <definedName name="le35p" localSheetId="5">[4]BangLuongMOI!$S$22</definedName>
    <definedName name="le35p" localSheetId="3">[4]BangLuongMOI!$S$22</definedName>
    <definedName name="le35p" localSheetId="17">[4]BangLuongMOI!$S$22</definedName>
    <definedName name="le35p" localSheetId="8">[4]BangLuongMOI!$S$22</definedName>
    <definedName name="le35p">[4]BangLuongMOI!$S$22</definedName>
    <definedName name="le45p" localSheetId="5">[4]BangLuongMOI!$S$28</definedName>
    <definedName name="le45p" localSheetId="3">[4]BangLuongMOI!$S$28</definedName>
    <definedName name="le45p" localSheetId="17">[4]BangLuongMOI!$S$28</definedName>
    <definedName name="le45p" localSheetId="8">[4]BangLuongMOI!$S$28</definedName>
    <definedName name="le45p">[4]BangLuongMOI!$S$28</definedName>
    <definedName name="Leâ_Coâng_Minh" localSheetId="7">#REF!</definedName>
    <definedName name="Leâ_Coâng_Minh" localSheetId="15">#REF!</definedName>
    <definedName name="Leâ_Coâng_Minh" localSheetId="1">#REF!</definedName>
    <definedName name="Leâ_Coâng_Minh" localSheetId="18">#REF!</definedName>
    <definedName name="Leâ_Coâng_Minh" localSheetId="16">#REF!</definedName>
    <definedName name="Leâ_Coâng_Minh" localSheetId="6">#REF!</definedName>
    <definedName name="Leâ_Coâng_Minh" localSheetId="3">#REF!</definedName>
    <definedName name="Leâ_Coâng_Minh" localSheetId="17">#REF!</definedName>
    <definedName name="Leâ_Coâng_Minh" localSheetId="8">#REF!</definedName>
    <definedName name="Leâ_Coâng_Minh" localSheetId="4">#REF!</definedName>
    <definedName name="Leâ_Coâng_Minh" localSheetId="20">#REF!</definedName>
    <definedName name="Leâ_Coâng_Minh">#REF!</definedName>
    <definedName name="LEÄ_MY" localSheetId="11">#REF!</definedName>
    <definedName name="LEÄ_MY" localSheetId="7">#REF!</definedName>
    <definedName name="LEÄ_MY" localSheetId="15">#REF!</definedName>
    <definedName name="LEÄ_MY" localSheetId="1">#REF!</definedName>
    <definedName name="LEÄ_MY" localSheetId="18">#REF!</definedName>
    <definedName name="LEÄ_MY" localSheetId="16">#REF!</definedName>
    <definedName name="LEÄ_MY" localSheetId="6">#REF!</definedName>
    <definedName name="LEÄ_MY" localSheetId="10">#REF!</definedName>
    <definedName name="LEÄ_MY" localSheetId="14">#REF!</definedName>
    <definedName name="LEÄ_MY" localSheetId="5">#REF!</definedName>
    <definedName name="LEÄ_MY" localSheetId="3">#REF!</definedName>
    <definedName name="LEÄ_MY" localSheetId="17">#REF!</definedName>
    <definedName name="LEÄ_MY" localSheetId="13">#REF!</definedName>
    <definedName name="LEÄ_MY" localSheetId="8">#REF!</definedName>
    <definedName name="LEÄ_MY" localSheetId="4">#REF!</definedName>
    <definedName name="LEÄ_MY" localSheetId="20">#REF!</definedName>
    <definedName name="LEÄ_MY">#REF!</definedName>
    <definedName name="Leasing" localSheetId="7">#REF!</definedName>
    <definedName name="Leasing" localSheetId="15">#REF!</definedName>
    <definedName name="Leasing" localSheetId="1">#REF!</definedName>
    <definedName name="Leasing" localSheetId="18">#REF!</definedName>
    <definedName name="Leasing" localSheetId="16">#REF!</definedName>
    <definedName name="Leasing" localSheetId="6">#REF!</definedName>
    <definedName name="Leasing" localSheetId="5">#REF!</definedName>
    <definedName name="Leasing" localSheetId="3">#REF!</definedName>
    <definedName name="Leasing" localSheetId="17">#REF!</definedName>
    <definedName name="Leasing" localSheetId="8">#REF!</definedName>
    <definedName name="Leasing" localSheetId="4">#REF!</definedName>
    <definedName name="Leasing" localSheetId="20">#REF!</definedName>
    <definedName name="Leasing">#REF!</definedName>
    <definedName name="lighthvysegment">"$#REF!.$#REF!$#REF!:$#REF!$#REF!"</definedName>
    <definedName name="lighttruckindustry">"$#REF!.$#REF!$#REF!:$#REF!$#REF!"</definedName>
    <definedName name="lightvansegment">"$#REF!.$#REF!$#REF!:$#REF!$#REF!"</definedName>
    <definedName name="lll">"$#REF!.$A$1:$IV$65536"</definedName>
    <definedName name="lock" localSheetId="11">#REF!</definedName>
    <definedName name="lock" localSheetId="7">#REF!</definedName>
    <definedName name="lock" localSheetId="15">#REF!</definedName>
    <definedName name="lock" localSheetId="1">#REF!</definedName>
    <definedName name="lock" localSheetId="18">#REF!</definedName>
    <definedName name="lock" localSheetId="16">#REF!</definedName>
    <definedName name="lock" localSheetId="6">#REF!</definedName>
    <definedName name="lock" localSheetId="3">#REF!</definedName>
    <definedName name="lock" localSheetId="17">#REF!</definedName>
    <definedName name="lock" localSheetId="8">#REF!</definedName>
    <definedName name="lock" localSheetId="4">#REF!</definedName>
    <definedName name="lock" localSheetId="20">#REF!</definedName>
    <definedName name="lock">#REF!</definedName>
    <definedName name="LONRES" localSheetId="7">'[18]#REF'!#REF!</definedName>
    <definedName name="LONRES" localSheetId="15">'[18]#REF'!#REF!</definedName>
    <definedName name="LONRES" localSheetId="1">'[18]#REF'!#REF!</definedName>
    <definedName name="LONRES" localSheetId="18">'[18]#REF'!#REF!</definedName>
    <definedName name="LONRES" localSheetId="16">'[18]#REF'!#REF!</definedName>
    <definedName name="LONRES" localSheetId="6">'[18]#REF'!#REF!</definedName>
    <definedName name="LONRES" localSheetId="5">'[18]#REF'!#REF!</definedName>
    <definedName name="LONRES" localSheetId="3">'[18]#REF'!#REF!</definedName>
    <definedName name="LONRES" localSheetId="17">'[18]#REF'!#REF!</definedName>
    <definedName name="LONRES" localSheetId="8">'[18]#REF'!#REF!</definedName>
    <definedName name="LONRES" localSheetId="4">'[18]#REF'!#REF!</definedName>
    <definedName name="LONRES" localSheetId="20">'[18]#REF'!#REF!</definedName>
    <definedName name="LONRES">'[18]#REF'!#REF!</definedName>
    <definedName name="LONRES2" localSheetId="7">'[18]#REF'!#REF!</definedName>
    <definedName name="LONRES2" localSheetId="15">'[18]#REF'!#REF!</definedName>
    <definedName name="LONRES2" localSheetId="1">'[18]#REF'!#REF!</definedName>
    <definedName name="LONRES2" localSheetId="18">'[18]#REF'!#REF!</definedName>
    <definedName name="LONRES2" localSheetId="16">'[18]#REF'!#REF!</definedName>
    <definedName name="LONRES2" localSheetId="6">'[18]#REF'!#REF!</definedName>
    <definedName name="LONRES2" localSheetId="5">'[18]#REF'!#REF!</definedName>
    <definedName name="LONRES2" localSheetId="3">'[18]#REF'!#REF!</definedName>
    <definedName name="LONRES2" localSheetId="17">'[18]#REF'!#REF!</definedName>
    <definedName name="LONRES2" localSheetId="8">'[18]#REF'!#REF!</definedName>
    <definedName name="LONRES2" localSheetId="4">'[18]#REF'!#REF!</definedName>
    <definedName name="LONRES2" localSheetId="20">'[18]#REF'!#REF!</definedName>
    <definedName name="LONRES2">'[18]#REF'!#REF!</definedName>
    <definedName name="lp">"'file:///A:/iaofsm-m/2000 Fcst/649 (12+0)/Cash Flow/nm_cash2000_649.xls'#$'NM Cash SUMMARY'.$#REF!$#REF!"</definedName>
    <definedName name="lstOrganization">"List Box 4"</definedName>
    <definedName name="lstRegion">"List Box 5"</definedName>
    <definedName name="LT_FRBA">"$#REF!.$A$1:$V$10"</definedName>
    <definedName name="LUÕ___LYÙ_TÖÏ_TROÏNG" localSheetId="11">#REF!</definedName>
    <definedName name="LUÕ___LYÙ_TÖÏ_TROÏNG" localSheetId="7">#REF!</definedName>
    <definedName name="LUÕ___LYÙ_TÖÏ_TROÏNG" localSheetId="15">#REF!</definedName>
    <definedName name="LUÕ___LYÙ_TÖÏ_TROÏNG" localSheetId="1">#REF!</definedName>
    <definedName name="LUÕ___LYÙ_TÖÏ_TROÏNG" localSheetId="18">#REF!</definedName>
    <definedName name="LUÕ___LYÙ_TÖÏ_TROÏNG" localSheetId="16">#REF!</definedName>
    <definedName name="LUÕ___LYÙ_TÖÏ_TROÏNG" localSheetId="6">#REF!</definedName>
    <definedName name="LUÕ___LYÙ_TÖÏ_TROÏNG" localSheetId="10">#REF!</definedName>
    <definedName name="LUÕ___LYÙ_TÖÏ_TROÏNG" localSheetId="14">#REF!</definedName>
    <definedName name="LUÕ___LYÙ_TÖÏ_TROÏNG" localSheetId="5">#REF!</definedName>
    <definedName name="LUÕ___LYÙ_TÖÏ_TROÏNG" localSheetId="3">#REF!</definedName>
    <definedName name="LUÕ___LYÙ_TÖÏ_TROÏNG" localSheetId="17">#REF!</definedName>
    <definedName name="LUÕ___LYÙ_TÖÏ_TROÏNG" localSheetId="13">#REF!</definedName>
    <definedName name="LUÕ___LYÙ_TÖÏ_TROÏNG" localSheetId="8">#REF!</definedName>
    <definedName name="LUÕ___LYÙ_TÖÏ_TROÏNG" localSheetId="4">#REF!</definedName>
    <definedName name="LUÕ___LYÙ_TÖÏ_TROÏNG" localSheetId="20">#REF!</definedName>
    <definedName name="LUÕ___LYÙ_TÖÏ_TROÏNG">#REF!</definedName>
    <definedName name="Luong" localSheetId="7">#REF!</definedName>
    <definedName name="Luong" localSheetId="15">#REF!</definedName>
    <definedName name="Luong" localSheetId="1">#REF!</definedName>
    <definedName name="Luong" localSheetId="18">#REF!</definedName>
    <definedName name="Luong" localSheetId="16">#REF!</definedName>
    <definedName name="Luong" localSheetId="6">#REF!</definedName>
    <definedName name="Luong" localSheetId="5">#REF!</definedName>
    <definedName name="Luong" localSheetId="3">#REF!</definedName>
    <definedName name="Luong" localSheetId="17">#REF!</definedName>
    <definedName name="Luong" localSheetId="8">#REF!</definedName>
    <definedName name="Luong" localSheetId="4">#REF!</definedName>
    <definedName name="Luong" localSheetId="20">#REF!</definedName>
    <definedName name="Luong">#REF!</definedName>
    <definedName name="LuongTB" localSheetId="7">[51]Nhansu_Luong!#REF!</definedName>
    <definedName name="LuongTB" localSheetId="15">[51]Nhansu_Luong!#REF!</definedName>
    <definedName name="LuongTB" localSheetId="1">[51]Nhansu_Luong!#REF!</definedName>
    <definedName name="LuongTB" localSheetId="18">[51]Nhansu_Luong!#REF!</definedName>
    <definedName name="LuongTB" localSheetId="16">[51]Nhansu_Luong!#REF!</definedName>
    <definedName name="LuongTB" localSheetId="6">[51]Nhansu_Luong!#REF!</definedName>
    <definedName name="LuongTB" localSheetId="5">[51]Nhansu_Luong!#REF!</definedName>
    <definedName name="LuongTB" localSheetId="3">[51]Nhansu_Luong!#REF!</definedName>
    <definedName name="LuongTB" localSheetId="17">[51]Nhansu_Luong!#REF!</definedName>
    <definedName name="LuongTB" localSheetId="8">[51]Nhansu_Luong!#REF!</definedName>
    <definedName name="LuongTB" localSheetId="4">[51]Nhansu_Luong!#REF!</definedName>
    <definedName name="LuongTB" localSheetId="20">[51]Nhansu_Luong!#REF!</definedName>
    <definedName name="LuongTB">[51]Nhansu_Luong!#REF!</definedName>
    <definedName name="m" localSheetId="7">#REF!</definedName>
    <definedName name="m" localSheetId="15">#REF!</definedName>
    <definedName name="m" localSheetId="1">#REF!</definedName>
    <definedName name="m" localSheetId="18">#REF!</definedName>
    <definedName name="m" localSheetId="16">#REF!</definedName>
    <definedName name="m" localSheetId="6">#REF!</definedName>
    <definedName name="m" localSheetId="5">#REF!</definedName>
    <definedName name="m" localSheetId="3">#REF!</definedName>
    <definedName name="m" localSheetId="17">#REF!</definedName>
    <definedName name="m" localSheetId="8">#REF!</definedName>
    <definedName name="m" localSheetId="4">#REF!</definedName>
    <definedName name="m" localSheetId="20">#REF!</definedName>
    <definedName name="m">#REF!</definedName>
    <definedName name="M8a" localSheetId="7">#REF!</definedName>
    <definedName name="M8a" localSheetId="15">#REF!</definedName>
    <definedName name="M8a" localSheetId="1">#REF!</definedName>
    <definedName name="M8a" localSheetId="18">#REF!</definedName>
    <definedName name="M8a" localSheetId="16">#REF!</definedName>
    <definedName name="M8a" localSheetId="6">#REF!</definedName>
    <definedName name="M8a" localSheetId="3">#REF!</definedName>
    <definedName name="M8a" localSheetId="17">#REF!</definedName>
    <definedName name="M8a" localSheetId="8">#REF!</definedName>
    <definedName name="M8a" localSheetId="4">#REF!</definedName>
    <definedName name="M8a" localSheetId="20">#REF!</definedName>
    <definedName name="M8a">#REF!</definedName>
    <definedName name="M8aa" localSheetId="7">#REF!</definedName>
    <definedName name="M8aa" localSheetId="15">#REF!</definedName>
    <definedName name="M8aa" localSheetId="1">#REF!</definedName>
    <definedName name="M8aa" localSheetId="18">#REF!</definedName>
    <definedName name="M8aa" localSheetId="16">#REF!</definedName>
    <definedName name="M8aa" localSheetId="6">#REF!</definedName>
    <definedName name="M8aa" localSheetId="3">#REF!</definedName>
    <definedName name="M8aa" localSheetId="17">#REF!</definedName>
    <definedName name="M8aa" localSheetId="8">#REF!</definedName>
    <definedName name="M8aa" localSheetId="4">#REF!</definedName>
    <definedName name="M8aa" localSheetId="20">#REF!</definedName>
    <definedName name="M8aa">#REF!</definedName>
    <definedName name="MA" localSheetId="7">#REF!</definedName>
    <definedName name="MA" localSheetId="15">#REF!</definedName>
    <definedName name="MA" localSheetId="1">#REF!</definedName>
    <definedName name="MA" localSheetId="18">#REF!</definedName>
    <definedName name="MA" localSheetId="16">#REF!</definedName>
    <definedName name="MA" localSheetId="6">#REF!</definedName>
    <definedName name="MA" localSheetId="3">#REF!</definedName>
    <definedName name="MA" localSheetId="17">#REF!</definedName>
    <definedName name="MA" localSheetId="8">#REF!</definedName>
    <definedName name="MA" localSheetId="4">#REF!</definedName>
    <definedName name="MA" localSheetId="20">#REF!</definedName>
    <definedName name="MA">#REF!</definedName>
    <definedName name="MADT" localSheetId="5">[7]DMDoiTuong!$B$6:$B$1000</definedName>
    <definedName name="MADT" localSheetId="3">[7]DMDoiTuong!$B$6:$B$1000</definedName>
    <definedName name="MADT" localSheetId="17">[7]DMDoiTuong!$B$6:$B$1000</definedName>
    <definedName name="MADT" localSheetId="8">[7]DMDoiTuong!$B$6:$B$1000</definedName>
    <definedName name="MADT">[7]DMDoiTuong!$B$6:$B$1000</definedName>
    <definedName name="MAJ_CON_EQP" localSheetId="7">#REF!</definedName>
    <definedName name="MAJ_CON_EQP" localSheetId="15">#REF!</definedName>
    <definedName name="MAJ_CON_EQP" localSheetId="1">#REF!</definedName>
    <definedName name="MAJ_CON_EQP" localSheetId="18">#REF!</definedName>
    <definedName name="MAJ_CON_EQP" localSheetId="16">#REF!</definedName>
    <definedName name="MAJ_CON_EQP" localSheetId="6">#REF!</definedName>
    <definedName name="MAJ_CON_EQP" localSheetId="5">#REF!</definedName>
    <definedName name="MAJ_CON_EQP" localSheetId="3">#REF!</definedName>
    <definedName name="MAJ_CON_EQP" localSheetId="17">#REF!</definedName>
    <definedName name="MAJ_CON_EQP" localSheetId="8">#REF!</definedName>
    <definedName name="MAJ_CON_EQP" localSheetId="4">#REF!</definedName>
    <definedName name="MAJ_CON_EQP" localSheetId="20">#REF!</definedName>
    <definedName name="MAJ_CON_EQP">#REF!</definedName>
    <definedName name="MAMOC" localSheetId="7">#REF!</definedName>
    <definedName name="MAMOC" localSheetId="15">#REF!</definedName>
    <definedName name="MAMOC" localSheetId="1">#REF!</definedName>
    <definedName name="MAMOC" localSheetId="18">#REF!</definedName>
    <definedName name="MAMOC" localSheetId="16">#REF!</definedName>
    <definedName name="MAMOC" localSheetId="6">#REF!</definedName>
    <definedName name="MAMOC" localSheetId="3">#REF!</definedName>
    <definedName name="MAMOC" localSheetId="17">#REF!</definedName>
    <definedName name="MAMOC" localSheetId="8">#REF!</definedName>
    <definedName name="MAMOC" localSheetId="4">#REF!</definedName>
    <definedName name="MAMOC" localSheetId="20">#REF!</definedName>
    <definedName name="MAMOC">#REF!</definedName>
    <definedName name="MAMOCNHAP" localSheetId="7">#REF!</definedName>
    <definedName name="MAMOCNHAP" localSheetId="15">#REF!</definedName>
    <definedName name="MAMOCNHAP" localSheetId="1">#REF!</definedName>
    <definedName name="MAMOCNHAP" localSheetId="18">#REF!</definedName>
    <definedName name="MAMOCNHAP" localSheetId="16">#REF!</definedName>
    <definedName name="MAMOCNHAP" localSheetId="6">#REF!</definedName>
    <definedName name="MAMOCNHAP" localSheetId="3">#REF!</definedName>
    <definedName name="MAMOCNHAP" localSheetId="17">#REF!</definedName>
    <definedName name="MAMOCNHAP" localSheetId="8">#REF!</definedName>
    <definedName name="MAMOCNHAP" localSheetId="4">#REF!</definedName>
    <definedName name="MAMOCNHAP" localSheetId="20">#REF!</definedName>
    <definedName name="MAMOCNHAP">#REF!</definedName>
    <definedName name="MAMOCXUAT" localSheetId="7">#REF!</definedName>
    <definedName name="MAMOCXUAT" localSheetId="15">#REF!</definedName>
    <definedName name="MAMOCXUAT" localSheetId="1">#REF!</definedName>
    <definedName name="MAMOCXUAT" localSheetId="18">#REF!</definedName>
    <definedName name="MAMOCXUAT" localSheetId="16">#REF!</definedName>
    <definedName name="MAMOCXUAT" localSheetId="6">#REF!</definedName>
    <definedName name="MAMOCXUAT" localSheetId="3">#REF!</definedName>
    <definedName name="MAMOCXUAT" localSheetId="17">#REF!</definedName>
    <definedName name="MAMOCXUAT" localSheetId="8">#REF!</definedName>
    <definedName name="MAMOCXUAT" localSheetId="4">#REF!</definedName>
    <definedName name="MAMOCXUAT" localSheetId="20">#REF!</definedName>
    <definedName name="MAMOCXUAT">#REF!</definedName>
    <definedName name="Manday_Rate2003" localSheetId="7">#REF!</definedName>
    <definedName name="Manday_Rate2003" localSheetId="15">#REF!</definedName>
    <definedName name="Manday_Rate2003" localSheetId="1">#REF!</definedName>
    <definedName name="Manday_Rate2003" localSheetId="18">#REF!</definedName>
    <definedName name="Manday_Rate2003" localSheetId="16">#REF!</definedName>
    <definedName name="Manday_Rate2003" localSheetId="6">#REF!</definedName>
    <definedName name="Manday_Rate2003" localSheetId="5">#REF!</definedName>
    <definedName name="Manday_Rate2003" localSheetId="3">#REF!</definedName>
    <definedName name="Manday_Rate2003" localSheetId="17">#REF!</definedName>
    <definedName name="Manday_Rate2003" localSheetId="8">#REF!</definedName>
    <definedName name="Manday_Rate2003" localSheetId="4">#REF!</definedName>
    <definedName name="Manday_Rate2003" localSheetId="20">#REF!</definedName>
    <definedName name="Manday_Rate2003">#REF!</definedName>
    <definedName name="Mar" localSheetId="7">[52]노무비!#REF!</definedName>
    <definedName name="Mar" localSheetId="15">[52]노무비!#REF!</definedName>
    <definedName name="Mar" localSheetId="1">[52]노무비!#REF!</definedName>
    <definedName name="Mar" localSheetId="18">[52]노무비!#REF!</definedName>
    <definedName name="Mar" localSheetId="16">[52]노무비!#REF!</definedName>
    <definedName name="Mar" localSheetId="6">[52]노무비!#REF!</definedName>
    <definedName name="Mar" localSheetId="5">[52]노무비!#REF!</definedName>
    <definedName name="Mar" localSheetId="3">[52]노무비!#REF!</definedName>
    <definedName name="Mar" localSheetId="17">[52]노무비!#REF!</definedName>
    <definedName name="Mar" localSheetId="8">[52]노무비!#REF!</definedName>
    <definedName name="Mar" localSheetId="4">[52]노무비!#REF!</definedName>
    <definedName name="Mar" localSheetId="20">[52]노무비!#REF!</definedName>
    <definedName name="Mar">[52]노무비!#REF!</definedName>
    <definedName name="MATK_CDSPS">"$#REF!.$A$8:$A$107"</definedName>
    <definedName name="MAX" localSheetId="7">#REF!</definedName>
    <definedName name="MAX" localSheetId="15">#REF!</definedName>
    <definedName name="MAX" localSheetId="1">#REF!</definedName>
    <definedName name="MAX" localSheetId="18">#REF!</definedName>
    <definedName name="MAX" localSheetId="16">#REF!</definedName>
    <definedName name="MAX" localSheetId="6">#REF!</definedName>
    <definedName name="MAX" localSheetId="3">#REF!</definedName>
    <definedName name="MAX" localSheetId="17">#REF!</definedName>
    <definedName name="MAX" localSheetId="8">#REF!</definedName>
    <definedName name="MAX" localSheetId="4">#REF!</definedName>
    <definedName name="MAX" localSheetId="20">#REF!</definedName>
    <definedName name="MAX">#REF!</definedName>
    <definedName name="Mazda">"#NAME?"</definedName>
    <definedName name="Mazda_10">"#NAME?"</definedName>
    <definedName name="Mbr_Select_Change" localSheetId="7">'2018-2022'!Mbr_Select_Change</definedName>
    <definedName name="Mbr_Select_Change" localSheetId="15">'2018-2022 SF'!Mbr_Select_Change</definedName>
    <definedName name="Mbr_Select_Change" localSheetId="16">B!Mbr_Select_Change</definedName>
    <definedName name="Mbr_Select_Change" localSheetId="5">[17]!Mbr_Select_Change</definedName>
    <definedName name="Mbr_Select_Change" localSheetId="3">[17]!Mbr_Select_Change</definedName>
    <definedName name="Mbr_Select_Change" localSheetId="17">[17]!Mbr_Select_Change</definedName>
    <definedName name="Mbr_Select_Change" localSheetId="8">[17]!Mbr_Select_Change</definedName>
    <definedName name="Mbr_Select_Change" localSheetId="4">Reconciliation!Mbr_Select_Change</definedName>
    <definedName name="Mbr_Select_Change" localSheetId="2">'Summary 2018 - MF'!Mbr_Select_Change</definedName>
    <definedName name="Mbr_Select_Change">[0]!Mbr_Select_Change</definedName>
    <definedName name="Mbr_Select_Change_10" localSheetId="7">'2018-2022'!Mbr_Select_Change_10</definedName>
    <definedName name="Mbr_Select_Change_10" localSheetId="15">'2018-2022 SF'!Mbr_Select_Change_10</definedName>
    <definedName name="Mbr_Select_Change_10" localSheetId="16">B!Mbr_Select_Change_10</definedName>
    <definedName name="Mbr_Select_Change_10" localSheetId="5">[17]!Mbr_Select_Change_10</definedName>
    <definedName name="Mbr_Select_Change_10" localSheetId="3">[17]!Mbr_Select_Change_10</definedName>
    <definedName name="Mbr_Select_Change_10" localSheetId="17">[17]!Mbr_Select_Change_10</definedName>
    <definedName name="Mbr_Select_Change_10" localSheetId="8">[17]!Mbr_Select_Change_10</definedName>
    <definedName name="Mbr_Select_Change_10" localSheetId="4">Reconciliation!Mbr_Select_Change_10</definedName>
    <definedName name="Mbr_Select_Change_10" localSheetId="2">'Summary 2018 - MF'!Mbr_Select_Change_10</definedName>
    <definedName name="Mbr_Select_Change_10">[0]!Mbr_Select_Change_10</definedName>
    <definedName name="Mbr_Select_org_Change" localSheetId="7">'2018-2022'!Mbr_Select_org_Change</definedName>
    <definedName name="Mbr_Select_org_Change" localSheetId="15">'2018-2022 SF'!Mbr_Select_org_Change</definedName>
    <definedName name="Mbr_Select_org_Change" localSheetId="16">B!Mbr_Select_org_Change</definedName>
    <definedName name="Mbr_Select_org_Change" localSheetId="5">[17]!Mbr_Select_org_Change</definedName>
    <definedName name="Mbr_Select_org_Change" localSheetId="3">[17]!Mbr_Select_org_Change</definedName>
    <definedName name="Mbr_Select_org_Change" localSheetId="17">[17]!Mbr_Select_org_Change</definedName>
    <definedName name="Mbr_Select_org_Change" localSheetId="8">[17]!Mbr_Select_org_Change</definedName>
    <definedName name="Mbr_Select_org_Change" localSheetId="4">Reconciliation!Mbr_Select_org_Change</definedName>
    <definedName name="Mbr_Select_org_Change" localSheetId="2">'Summary 2018 - MF'!Mbr_Select_org_Change</definedName>
    <definedName name="Mbr_Select_org_Change">[0]!Mbr_Select_org_Change</definedName>
    <definedName name="Mbr_Select_org_Change_10" localSheetId="7">'2018-2022'!Mbr_Select_org_Change_10</definedName>
    <definedName name="Mbr_Select_org_Change_10" localSheetId="15">'2018-2022 SF'!Mbr_Select_org_Change_10</definedName>
    <definedName name="Mbr_Select_org_Change_10" localSheetId="16">B!Mbr_Select_org_Change_10</definedName>
    <definedName name="Mbr_Select_org_Change_10" localSheetId="5">[17]!Mbr_Select_org_Change_10</definedName>
    <definedName name="Mbr_Select_org_Change_10" localSheetId="3">[17]!Mbr_Select_org_Change_10</definedName>
    <definedName name="Mbr_Select_org_Change_10" localSheetId="17">[17]!Mbr_Select_org_Change_10</definedName>
    <definedName name="Mbr_Select_org_Change_10" localSheetId="8">[17]!Mbr_Select_org_Change_10</definedName>
    <definedName name="Mbr_Select_org_Change_10" localSheetId="4">Reconciliation!Mbr_Select_org_Change_10</definedName>
    <definedName name="Mbr_Select_org_Change_10" localSheetId="2">'Summary 2018 - MF'!Mbr_Select_org_Change_10</definedName>
    <definedName name="Mbr_Select_org_Change_10">[0]!Mbr_Select_org_Change_10</definedName>
    <definedName name="Mbr_Select_reg_Change" localSheetId="7">'2018-2022'!Mbr_Select_reg_Change</definedName>
    <definedName name="Mbr_Select_reg_Change" localSheetId="15">'2018-2022 SF'!Mbr_Select_reg_Change</definedName>
    <definedName name="Mbr_Select_reg_Change" localSheetId="16">B!Mbr_Select_reg_Change</definedName>
    <definedName name="Mbr_Select_reg_Change" localSheetId="5">[17]!Mbr_Select_reg_Change</definedName>
    <definedName name="Mbr_Select_reg_Change" localSheetId="3">[17]!Mbr_Select_reg_Change</definedName>
    <definedName name="Mbr_Select_reg_Change" localSheetId="17">[17]!Mbr_Select_reg_Change</definedName>
    <definedName name="Mbr_Select_reg_Change" localSheetId="8">[17]!Mbr_Select_reg_Change</definedName>
    <definedName name="Mbr_Select_reg_Change" localSheetId="4">Reconciliation!Mbr_Select_reg_Change</definedName>
    <definedName name="Mbr_Select_reg_Change" localSheetId="2">'Summary 2018 - MF'!Mbr_Select_reg_Change</definedName>
    <definedName name="Mbr_Select_reg_Change">[0]!Mbr_Select_reg_Change</definedName>
    <definedName name="Mbr_Select_reg_Change_10" localSheetId="7">'2018-2022'!Mbr_Select_reg_Change_10</definedName>
    <definedName name="Mbr_Select_reg_Change_10" localSheetId="15">'2018-2022 SF'!Mbr_Select_reg_Change_10</definedName>
    <definedName name="Mbr_Select_reg_Change_10" localSheetId="16">B!Mbr_Select_reg_Change_10</definedName>
    <definedName name="Mbr_Select_reg_Change_10" localSheetId="5">[17]!Mbr_Select_reg_Change_10</definedName>
    <definedName name="Mbr_Select_reg_Change_10" localSheetId="3">[17]!Mbr_Select_reg_Change_10</definedName>
    <definedName name="Mbr_Select_reg_Change_10" localSheetId="17">[17]!Mbr_Select_reg_Change_10</definedName>
    <definedName name="Mbr_Select_reg_Change_10" localSheetId="8">[17]!Mbr_Select_reg_Change_10</definedName>
    <definedName name="Mbr_Select_reg_Change_10" localSheetId="4">Reconciliation!Mbr_Select_reg_Change_10</definedName>
    <definedName name="Mbr_Select_reg_Change_10" localSheetId="2">'Summary 2018 - MF'!Mbr_Select_reg_Change_10</definedName>
    <definedName name="Mbr_Select_reg_Change_10">[0]!Mbr_Select_reg_Change_10</definedName>
    <definedName name="Mbr_Select_sce_Change" localSheetId="7">'2018-2022'!Mbr_Select_sce_Change</definedName>
    <definedName name="Mbr_Select_sce_Change" localSheetId="15">'2018-2022 SF'!Mbr_Select_sce_Change</definedName>
    <definedName name="Mbr_Select_sce_Change" localSheetId="16">B!Mbr_Select_sce_Change</definedName>
    <definedName name="Mbr_Select_sce_Change" localSheetId="5">[17]!Mbr_Select_sce_Change</definedName>
    <definedName name="Mbr_Select_sce_Change" localSheetId="3">[17]!Mbr_Select_sce_Change</definedName>
    <definedName name="Mbr_Select_sce_Change" localSheetId="17">[17]!Mbr_Select_sce_Change</definedName>
    <definedName name="Mbr_Select_sce_Change" localSheetId="8">[17]!Mbr_Select_sce_Change</definedName>
    <definedName name="Mbr_Select_sce_Change" localSheetId="4">Reconciliation!Mbr_Select_sce_Change</definedName>
    <definedName name="Mbr_Select_sce_Change" localSheetId="2">'Summary 2018 - MF'!Mbr_Select_sce_Change</definedName>
    <definedName name="Mbr_Select_sce_Change">[0]!Mbr_Select_sce_Change</definedName>
    <definedName name="Mbr_Select_sce_Change_10" localSheetId="7">'2018-2022'!Mbr_Select_sce_Change_10</definedName>
    <definedName name="Mbr_Select_sce_Change_10" localSheetId="15">'2018-2022 SF'!Mbr_Select_sce_Change_10</definedName>
    <definedName name="Mbr_Select_sce_Change_10" localSheetId="16">B!Mbr_Select_sce_Change_10</definedName>
    <definedName name="Mbr_Select_sce_Change_10" localSheetId="5">[17]!Mbr_Select_sce_Change_10</definedName>
    <definedName name="Mbr_Select_sce_Change_10" localSheetId="3">[17]!Mbr_Select_sce_Change_10</definedName>
    <definedName name="Mbr_Select_sce_Change_10" localSheetId="17">[17]!Mbr_Select_sce_Change_10</definedName>
    <definedName name="Mbr_Select_sce_Change_10" localSheetId="8">[17]!Mbr_Select_sce_Change_10</definedName>
    <definedName name="Mbr_Select_sce_Change_10" localSheetId="4">Reconciliation!Mbr_Select_sce_Change_10</definedName>
    <definedName name="Mbr_Select_sce_Change_10" localSheetId="2">'Summary 2018 - MF'!Mbr_Select_sce_Change_10</definedName>
    <definedName name="Mbr_Select_sce_Change_10">[0]!Mbr_Select_sce_Change_10</definedName>
    <definedName name="MbrSelOk_Click" localSheetId="7">'2018-2022'!MbrSelOk_Click</definedName>
    <definedName name="MbrSelOk_Click" localSheetId="15">'2018-2022 SF'!MbrSelOk_Click</definedName>
    <definedName name="MbrSelOk_Click" localSheetId="16">B!MbrSelOk_Click</definedName>
    <definedName name="MbrSelOk_Click" localSheetId="5">[17]!MbrSelOk_Click</definedName>
    <definedName name="MbrSelOk_Click" localSheetId="3">[17]!MbrSelOk_Click</definedName>
    <definedName name="MbrSelOk_Click" localSheetId="17">[17]!MbrSelOk_Click</definedName>
    <definedName name="MbrSelOk_Click" localSheetId="8">[17]!MbrSelOk_Click</definedName>
    <definedName name="MbrSelOk_Click" localSheetId="4">Reconciliation!MbrSelOk_Click</definedName>
    <definedName name="MbrSelOk_Click" localSheetId="2">'Summary 2018 - MF'!MbrSelOk_Click</definedName>
    <definedName name="MbrSelOk_Click">[0]!MbrSelOk_Click</definedName>
    <definedName name="MbrSelOk_Click_10" localSheetId="7">'2018-2022'!MbrSelOk_Click_10</definedName>
    <definedName name="MbrSelOk_Click_10" localSheetId="15">'2018-2022 SF'!MbrSelOk_Click_10</definedName>
    <definedName name="MbrSelOk_Click_10" localSheetId="16">B!MbrSelOk_Click_10</definedName>
    <definedName name="MbrSelOk_Click_10" localSheetId="5">[17]!MbrSelOk_Click_10</definedName>
    <definedName name="MbrSelOk_Click_10" localSheetId="3">[17]!MbrSelOk_Click_10</definedName>
    <definedName name="MbrSelOk_Click_10" localSheetId="17">[17]!MbrSelOk_Click_10</definedName>
    <definedName name="MbrSelOk_Click_10" localSheetId="8">[17]!MbrSelOk_Click_10</definedName>
    <definedName name="MbrSelOk_Click_10" localSheetId="4">Reconciliation!MbrSelOk_Click_10</definedName>
    <definedName name="MbrSelOk_Click_10" localSheetId="2">'Summary 2018 - MF'!MbrSelOk_Click_10</definedName>
    <definedName name="MbrSelOk_Click_10">[0]!MbrSelOk_Click_10</definedName>
    <definedName name="MDPC" localSheetId="7">#REF!</definedName>
    <definedName name="MDPC" localSheetId="15">#REF!</definedName>
    <definedName name="MDPC" localSheetId="1">#REF!</definedName>
    <definedName name="MDPC" localSheetId="18">#REF!</definedName>
    <definedName name="MDPC" localSheetId="16">#REF!</definedName>
    <definedName name="MDPC" localSheetId="6">#REF!</definedName>
    <definedName name="MDPC" localSheetId="5">#REF!</definedName>
    <definedName name="MDPC" localSheetId="3">#REF!</definedName>
    <definedName name="MDPC" localSheetId="17">#REF!</definedName>
    <definedName name="MDPC" localSheetId="8">#REF!</definedName>
    <definedName name="MDPC" localSheetId="4">#REF!</definedName>
    <definedName name="MDPC" localSheetId="20">#REF!</definedName>
    <definedName name="MDPC">#REF!</definedName>
    <definedName name="medhvysegment">"$#REF!.$#REF!$#REF!:$#REF!$#REF!"</definedName>
    <definedName name="MENU">"'file:///home/hannes/Documents/CBRE Projects/Bitexco/RetailManagement/%06profit/EXCEL/99FCAST/INVENTOR/3P9input_1.XLS'#$Jan.$#REF!$#REF!:$#REF!$#REF!"</definedName>
    <definedName name="MENU2" localSheetId="7">#REF!</definedName>
    <definedName name="MENU2" localSheetId="15">#REF!</definedName>
    <definedName name="MENU2" localSheetId="1">#REF!</definedName>
    <definedName name="MENU2" localSheetId="18">#REF!</definedName>
    <definedName name="MENU2" localSheetId="16">#REF!</definedName>
    <definedName name="MENU2" localSheetId="6">#REF!</definedName>
    <definedName name="MENU2" localSheetId="10">#REF!</definedName>
    <definedName name="MENU2" localSheetId="14">#REF!</definedName>
    <definedName name="MENU2" localSheetId="5">#REF!</definedName>
    <definedName name="MENU2" localSheetId="3">#REF!</definedName>
    <definedName name="MENU2" localSheetId="17">#REF!</definedName>
    <definedName name="MENU2" localSheetId="8">#REF!</definedName>
    <definedName name="MENU2" localSheetId="4">#REF!</definedName>
    <definedName name="MENU2" localSheetId="20">#REF!</definedName>
    <definedName name="MENU2">#REF!</definedName>
    <definedName name="mf" localSheetId="7">#REF!</definedName>
    <definedName name="mf" localSheetId="15">#REF!</definedName>
    <definedName name="mf" localSheetId="1">#REF!</definedName>
    <definedName name="mf" localSheetId="18">#REF!</definedName>
    <definedName name="mf" localSheetId="16">#REF!</definedName>
    <definedName name="mf" localSheetId="6">#REF!</definedName>
    <definedName name="mf" localSheetId="5">#REF!</definedName>
    <definedName name="mf" localSheetId="3">#REF!</definedName>
    <definedName name="mf" localSheetId="17">#REF!</definedName>
    <definedName name="mf" localSheetId="8">#REF!</definedName>
    <definedName name="mf" localSheetId="4">#REF!</definedName>
    <definedName name="mf" localSheetId="20">#REF!</definedName>
    <definedName name="mf">#REF!</definedName>
    <definedName name="MG_A" localSheetId="7">#REF!</definedName>
    <definedName name="MG_A" localSheetId="15">#REF!</definedName>
    <definedName name="MG_A" localSheetId="1">#REF!</definedName>
    <definedName name="MG_A" localSheetId="18">#REF!</definedName>
    <definedName name="MG_A" localSheetId="16">#REF!</definedName>
    <definedName name="MG_A" localSheetId="6">#REF!</definedName>
    <definedName name="MG_A" localSheetId="5">#REF!</definedName>
    <definedName name="MG_A" localSheetId="3">#REF!</definedName>
    <definedName name="MG_A" localSheetId="17">#REF!</definedName>
    <definedName name="MG_A" localSheetId="8">#REF!</definedName>
    <definedName name="MG_A" localSheetId="4">#REF!</definedName>
    <definedName name="MG_A" localSheetId="20">#REF!</definedName>
    <definedName name="MG_A">#REF!</definedName>
    <definedName name="mgmt">"#NAME?"</definedName>
    <definedName name="mgmt_10">"#NAME?"</definedName>
    <definedName name="Mgr" localSheetId="7">#REF!</definedName>
    <definedName name="Mgr" localSheetId="15">#REF!</definedName>
    <definedName name="Mgr" localSheetId="1">#REF!</definedName>
    <definedName name="Mgr" localSheetId="18">#REF!</definedName>
    <definedName name="Mgr" localSheetId="16">#REF!</definedName>
    <definedName name="Mgr" localSheetId="6">#REF!</definedName>
    <definedName name="Mgr" localSheetId="5">#REF!</definedName>
    <definedName name="Mgr" localSheetId="3">#REF!</definedName>
    <definedName name="Mgr" localSheetId="17">#REF!</definedName>
    <definedName name="Mgr" localSheetId="8">#REF!</definedName>
    <definedName name="Mgr" localSheetId="4">#REF!</definedName>
    <definedName name="Mgr" localSheetId="20">#REF!</definedName>
    <definedName name="Mgr">#REF!</definedName>
    <definedName name="MgrF" localSheetId="7">#REF!</definedName>
    <definedName name="MgrF" localSheetId="15">#REF!</definedName>
    <definedName name="MgrF" localSheetId="1">#REF!</definedName>
    <definedName name="MgrF" localSheetId="18">#REF!</definedName>
    <definedName name="MgrF" localSheetId="16">#REF!</definedName>
    <definedName name="MgrF" localSheetId="6">#REF!</definedName>
    <definedName name="MgrF" localSheetId="5">#REF!</definedName>
    <definedName name="MgrF" localSheetId="3">#REF!</definedName>
    <definedName name="MgrF" localSheetId="17">#REF!</definedName>
    <definedName name="MgrF" localSheetId="8">#REF!</definedName>
    <definedName name="MgrF" localSheetId="4">#REF!</definedName>
    <definedName name="MgrF" localSheetId="20">#REF!</definedName>
    <definedName name="MgrF">#REF!</definedName>
    <definedName name="MgrS" localSheetId="7">#REF!</definedName>
    <definedName name="MgrS" localSheetId="15">#REF!</definedName>
    <definedName name="MgrS" localSheetId="1">#REF!</definedName>
    <definedName name="MgrS" localSheetId="18">#REF!</definedName>
    <definedName name="MgrS" localSheetId="16">#REF!</definedName>
    <definedName name="MgrS" localSheetId="6">#REF!</definedName>
    <definedName name="MgrS" localSheetId="5">#REF!</definedName>
    <definedName name="MgrS" localSheetId="3">#REF!</definedName>
    <definedName name="MgrS" localSheetId="17">#REF!</definedName>
    <definedName name="MgrS" localSheetId="8">#REF!</definedName>
    <definedName name="MgrS" localSheetId="4">#REF!</definedName>
    <definedName name="MgrS" localSheetId="20">#REF!</definedName>
    <definedName name="MgrS">#REF!</definedName>
    <definedName name="misc" localSheetId="7">#REF!</definedName>
    <definedName name="misc" localSheetId="15">#REF!</definedName>
    <definedName name="misc" localSheetId="1">#REF!</definedName>
    <definedName name="misc" localSheetId="18">#REF!</definedName>
    <definedName name="misc" localSheetId="16">#REF!</definedName>
    <definedName name="misc" localSheetId="6">#REF!</definedName>
    <definedName name="misc" localSheetId="5">#REF!</definedName>
    <definedName name="misc" localSheetId="3">#REF!</definedName>
    <definedName name="misc" localSheetId="17">#REF!</definedName>
    <definedName name="misc" localSheetId="8">#REF!</definedName>
    <definedName name="misc" localSheetId="4">#REF!</definedName>
    <definedName name="misc" localSheetId="20">#REF!</definedName>
    <definedName name="misc">#REF!</definedName>
    <definedName name="mktshare">"'file:///A:/KHIROSAW/WINXL/FPV/95FPV/PACKAGE/INDSEG1.XLS'#$'VARIANCE ANALYSIS'.$#REF!$#REF!:$#REF!$#REF!"</definedName>
    <definedName name="MobilePhone" localSheetId="11">#REF!</definedName>
    <definedName name="MobilePhone" localSheetId="7">#REF!</definedName>
    <definedName name="MobilePhone" localSheetId="15">#REF!</definedName>
    <definedName name="MobilePhone" localSheetId="1">#REF!</definedName>
    <definedName name="MobilePhone" localSheetId="18">#REF!</definedName>
    <definedName name="MobilePhone" localSheetId="16">#REF!</definedName>
    <definedName name="MobilePhone" localSheetId="6">#REF!</definedName>
    <definedName name="MobilePhone" localSheetId="10">#REF!</definedName>
    <definedName name="MobilePhone" localSheetId="14">#REF!</definedName>
    <definedName name="MobilePhone" localSheetId="5">#REF!</definedName>
    <definedName name="MobilePhone" localSheetId="3">#REF!</definedName>
    <definedName name="MobilePhone" localSheetId="17">#REF!</definedName>
    <definedName name="MobilePhone" localSheetId="8">#REF!</definedName>
    <definedName name="MobilePhone" localSheetId="4">#REF!</definedName>
    <definedName name="MobilePhone" localSheetId="20">#REF!</definedName>
    <definedName name="MobilePhone">#REF!</definedName>
    <definedName name="Mon_OEM15i">[53]Data_Cost!$E$226</definedName>
    <definedName name="Mondeo_Average__Per_Unit">"$#REF!.$B$930:$U$960"</definedName>
    <definedName name="Mondeo_Sedan_1.8_LX_AT_Gas__Per_Unit">"$#REF!.$B$1026:$U$1056"</definedName>
    <definedName name="Mondeo_Sedan_1.8_LX_Media_MT_Gas__Per_Unit">"$#REF!.$B$962:$U$992"</definedName>
    <definedName name="Mondeo_Sedan_1.8_LX_MT_Diesel__Per_Unit">"$#REF!.$B$1059:$U$1089"</definedName>
    <definedName name="Mondeo_Sedan_1.8_LX_MT_Gas__Per_Unit">"$#REF!.$B$994:$U$1024"</definedName>
    <definedName name="Mondeo_Sedan_2.0_Ghia_AT_Gas__Per_Unit">"$#REF!.$B$1123:$U$1153"</definedName>
    <definedName name="Mondeo_Sedan_2.0_GLX_AT_Gas__Per_Unit">"$#REF!.$B$1091:$U$1121"</definedName>
    <definedName name="Mondeo_Sedan_2.5_Ghia_AT_Gas__Per_Unit">"$#REF!.$B$1155:$U$1185"</definedName>
    <definedName name="Mondeo_Wagon_1.8_LX_AT_Gas__Per_Unit">"$#REF!.$B$1219:$U$1249"</definedName>
    <definedName name="Mondeo_Wagon_1.8_LX_MT_Diesel__Per_Unit">"$#REF!.$B$1187:$U$1217"</definedName>
    <definedName name="Mondeo_Wagon_2.0_Ghia_AT_Gas__Per_Unit">"$#REF!.$B$1283:$U$1313"</definedName>
    <definedName name="Mondeo_Wagon_2.0_GLX_AT_Gas__Per_Unit">"$#REF!.$B$1251:$U$1281"</definedName>
    <definedName name="Mondeo_Wagon_2.5_Ghia_AT_Gas__Per_Unit">"$#REF!.$B$1315:$U$1345"</definedName>
    <definedName name="month" localSheetId="7">#REF!</definedName>
    <definedName name="month" localSheetId="15">#REF!</definedName>
    <definedName name="month" localSheetId="1">#REF!</definedName>
    <definedName name="month" localSheetId="18">#REF!</definedName>
    <definedName name="month" localSheetId="16">#REF!</definedName>
    <definedName name="month" localSheetId="6">#REF!</definedName>
    <definedName name="month" localSheetId="5">#REF!</definedName>
    <definedName name="month" localSheetId="3">#REF!</definedName>
    <definedName name="month" localSheetId="17">#REF!</definedName>
    <definedName name="month" localSheetId="8">#REF!</definedName>
    <definedName name="month" localSheetId="4">#REF!</definedName>
    <definedName name="month" localSheetId="20">#REF!</definedName>
    <definedName name="month">#REF!</definedName>
    <definedName name="mst" localSheetId="5">[7]HT!$C$7</definedName>
    <definedName name="mst" localSheetId="3">[7]HT!$C$7</definedName>
    <definedName name="mst" localSheetId="17">[7]HT!$C$7</definedName>
    <definedName name="mst" localSheetId="8">[7]HT!$C$7</definedName>
    <definedName name="mst">[7]HT!$C$7</definedName>
    <definedName name="MSX" localSheetId="7">#REF!</definedName>
    <definedName name="MSX" localSheetId="15">#REF!</definedName>
    <definedName name="MSX" localSheetId="1">#REF!</definedName>
    <definedName name="MSX" localSheetId="18">#REF!</definedName>
    <definedName name="MSX" localSheetId="16">#REF!</definedName>
    <definedName name="MSX" localSheetId="6">#REF!</definedName>
    <definedName name="MSX" localSheetId="3">#REF!</definedName>
    <definedName name="MSX" localSheetId="17">#REF!</definedName>
    <definedName name="MSX" localSheetId="8">#REF!</definedName>
    <definedName name="MSX" localSheetId="4">#REF!</definedName>
    <definedName name="MSX" localSheetId="20">#REF!</definedName>
    <definedName name="MSX">#REF!</definedName>
    <definedName name="MT">'[54]Equipment List Guideline'!$B$5:$B$19</definedName>
    <definedName name="Mustang_Average">"$#REF!.$AR$6:$BK$34"</definedName>
    <definedName name="Mustang_Cnv_GT__PEP_7">"$#REF!.$AR$160:$BK$189"</definedName>
    <definedName name="Mustang_Cnv_GT_Cobra">"$#REF!.$AR$191:$BK$220"</definedName>
    <definedName name="Mustang_Cnv_LX__PEP_3">"$#REF!.$AR$98:$BK$127"</definedName>
    <definedName name="Mustang_Cpe_GT__PEP_5">"$#REF!.$AR$129:$BK$158"</definedName>
    <definedName name="Mustang_Cpe_LX__PEP_1">"$#REF!.$AR$36:$BK$65"</definedName>
    <definedName name="Mustang_Cpe_LX__PEP_2">"$#REF!.$AR$67:$BK$96"</definedName>
    <definedName name="n" localSheetId="7">#REF!</definedName>
    <definedName name="n" localSheetId="15">#REF!</definedName>
    <definedName name="n" localSheetId="1">#REF!</definedName>
    <definedName name="n" localSheetId="18">#REF!</definedName>
    <definedName name="n" localSheetId="16">#REF!</definedName>
    <definedName name="n" localSheetId="6">#REF!</definedName>
    <definedName name="n" localSheetId="3">#REF!</definedName>
    <definedName name="n" localSheetId="17">#REF!</definedName>
    <definedName name="n" localSheetId="8">#REF!</definedName>
    <definedName name="n" localSheetId="4">#REF!</definedName>
    <definedName name="n" localSheetId="20">#REF!</definedName>
    <definedName name="n">#REF!</definedName>
    <definedName name="n1pig" localSheetId="7">#REF!</definedName>
    <definedName name="n1pig" localSheetId="15">#REF!</definedName>
    <definedName name="n1pig" localSheetId="1">#REF!</definedName>
    <definedName name="n1pig" localSheetId="18">#REF!</definedName>
    <definedName name="n1pig" localSheetId="16">#REF!</definedName>
    <definedName name="n1pig" localSheetId="6">#REF!</definedName>
    <definedName name="n1pig" localSheetId="3">#REF!</definedName>
    <definedName name="n1pig" localSheetId="17">#REF!</definedName>
    <definedName name="n1pig" localSheetId="8">#REF!</definedName>
    <definedName name="n1pig" localSheetId="4">#REF!</definedName>
    <definedName name="n1pig" localSheetId="20">#REF!</definedName>
    <definedName name="n1pig">#REF!</definedName>
    <definedName name="n1pind" localSheetId="7">#REF!</definedName>
    <definedName name="n1pind" localSheetId="15">#REF!</definedName>
    <definedName name="n1pind" localSheetId="1">#REF!</definedName>
    <definedName name="n1pind" localSheetId="18">#REF!</definedName>
    <definedName name="n1pind" localSheetId="16">#REF!</definedName>
    <definedName name="n1pind" localSheetId="6">#REF!</definedName>
    <definedName name="n1pind" localSheetId="3">#REF!</definedName>
    <definedName name="n1pind" localSheetId="17">#REF!</definedName>
    <definedName name="n1pind" localSheetId="8">#REF!</definedName>
    <definedName name="n1pind" localSheetId="4">#REF!</definedName>
    <definedName name="n1pind" localSheetId="20">#REF!</definedName>
    <definedName name="n1pind">#REF!</definedName>
    <definedName name="n1ping" localSheetId="7">#REF!</definedName>
    <definedName name="n1ping" localSheetId="15">#REF!</definedName>
    <definedName name="n1ping" localSheetId="1">#REF!</definedName>
    <definedName name="n1ping" localSheetId="18">#REF!</definedName>
    <definedName name="n1ping" localSheetId="16">#REF!</definedName>
    <definedName name="n1ping" localSheetId="6">#REF!</definedName>
    <definedName name="n1ping" localSheetId="3">#REF!</definedName>
    <definedName name="n1ping" localSheetId="17">#REF!</definedName>
    <definedName name="n1ping" localSheetId="8">#REF!</definedName>
    <definedName name="n1ping" localSheetId="4">#REF!</definedName>
    <definedName name="n1ping" localSheetId="20">#REF!</definedName>
    <definedName name="n1ping">#REF!</definedName>
    <definedName name="n1pint" localSheetId="7">#REF!</definedName>
    <definedName name="n1pint" localSheetId="15">#REF!</definedName>
    <definedName name="n1pint" localSheetId="1">#REF!</definedName>
    <definedName name="n1pint" localSheetId="18">#REF!</definedName>
    <definedName name="n1pint" localSheetId="16">#REF!</definedName>
    <definedName name="n1pint" localSheetId="6">#REF!</definedName>
    <definedName name="n1pint" localSheetId="3">#REF!</definedName>
    <definedName name="n1pint" localSheetId="17">#REF!</definedName>
    <definedName name="n1pint" localSheetId="8">#REF!</definedName>
    <definedName name="n1pint" localSheetId="4">#REF!</definedName>
    <definedName name="n1pint" localSheetId="20">#REF!</definedName>
    <definedName name="n1pint">#REF!</definedName>
    <definedName name="name" localSheetId="7">#REF!</definedName>
    <definedName name="name" localSheetId="15">#REF!</definedName>
    <definedName name="name" localSheetId="1">#REF!</definedName>
    <definedName name="name" localSheetId="18">#REF!</definedName>
    <definedName name="name" localSheetId="16">#REF!</definedName>
    <definedName name="name" localSheetId="6">#REF!</definedName>
    <definedName name="name" localSheetId="5">#REF!</definedName>
    <definedName name="name" localSheetId="3">#REF!</definedName>
    <definedName name="name" localSheetId="17">#REF!</definedName>
    <definedName name="name" localSheetId="13">#REF!</definedName>
    <definedName name="name" localSheetId="8">#REF!</definedName>
    <definedName name="name" localSheetId="4">#REF!</definedName>
    <definedName name="name" localSheetId="20">#REF!</definedName>
    <definedName name="name">#REF!</definedName>
    <definedName name="NC" localSheetId="7">#REF!</definedName>
    <definedName name="NC" localSheetId="15">#REF!</definedName>
    <definedName name="NC" localSheetId="1">#REF!</definedName>
    <definedName name="NC" localSheetId="18">#REF!</definedName>
    <definedName name="NC" localSheetId="16">#REF!</definedName>
    <definedName name="NC" localSheetId="6">#REF!</definedName>
    <definedName name="NC" localSheetId="3">#REF!</definedName>
    <definedName name="NC" localSheetId="17">#REF!</definedName>
    <definedName name="NC" localSheetId="8">#REF!</definedName>
    <definedName name="NC" localSheetId="4">#REF!</definedName>
    <definedName name="NC" localSheetId="20">#REF!</definedName>
    <definedName name="NC">#REF!</definedName>
    <definedName name="NCBD100" localSheetId="7">#REF!</definedName>
    <definedName name="NCBD100" localSheetId="15">#REF!</definedName>
    <definedName name="NCBD100" localSheetId="1">#REF!</definedName>
    <definedName name="NCBD100" localSheetId="18">#REF!</definedName>
    <definedName name="NCBD100" localSheetId="16">#REF!</definedName>
    <definedName name="NCBD100" localSheetId="6">#REF!</definedName>
    <definedName name="NCBD100" localSheetId="3">#REF!</definedName>
    <definedName name="NCBD100" localSheetId="17">#REF!</definedName>
    <definedName name="NCBD100" localSheetId="8">#REF!</definedName>
    <definedName name="NCBD100" localSheetId="4">#REF!</definedName>
    <definedName name="NCBD100" localSheetId="20">#REF!</definedName>
    <definedName name="NCBD100">#REF!</definedName>
    <definedName name="NCBD200" localSheetId="7">#REF!</definedName>
    <definedName name="NCBD200" localSheetId="15">#REF!</definedName>
    <definedName name="NCBD200" localSheetId="1">#REF!</definedName>
    <definedName name="NCBD200" localSheetId="18">#REF!</definedName>
    <definedName name="NCBD200" localSheetId="16">#REF!</definedName>
    <definedName name="NCBD200" localSheetId="6">#REF!</definedName>
    <definedName name="NCBD200" localSheetId="3">#REF!</definedName>
    <definedName name="NCBD200" localSheetId="17">#REF!</definedName>
    <definedName name="NCBD200" localSheetId="8">#REF!</definedName>
    <definedName name="NCBD200" localSheetId="4">#REF!</definedName>
    <definedName name="NCBD200" localSheetId="20">#REF!</definedName>
    <definedName name="NCBD200">#REF!</definedName>
    <definedName name="NCBD250" localSheetId="7">#REF!</definedName>
    <definedName name="NCBD250" localSheetId="15">#REF!</definedName>
    <definedName name="NCBD250" localSheetId="1">#REF!</definedName>
    <definedName name="NCBD250" localSheetId="18">#REF!</definedName>
    <definedName name="NCBD250" localSheetId="16">#REF!</definedName>
    <definedName name="NCBD250" localSheetId="6">#REF!</definedName>
    <definedName name="NCBD250" localSheetId="3">#REF!</definedName>
    <definedName name="NCBD250" localSheetId="17">#REF!</definedName>
    <definedName name="NCBD250" localSheetId="8">#REF!</definedName>
    <definedName name="NCBD250" localSheetId="4">#REF!</definedName>
    <definedName name="NCBD250" localSheetId="20">#REF!</definedName>
    <definedName name="NCBD250">#REF!</definedName>
    <definedName name="nd">[13]gVL!$N$27</definedName>
    <definedName name="NET" localSheetId="7">#REF!</definedName>
    <definedName name="NET" localSheetId="15">#REF!</definedName>
    <definedName name="NET" localSheetId="1">#REF!</definedName>
    <definedName name="NET" localSheetId="18">#REF!</definedName>
    <definedName name="NET" localSheetId="16">#REF!</definedName>
    <definedName name="NET" localSheetId="6">#REF!</definedName>
    <definedName name="NET" localSheetId="5">#REF!</definedName>
    <definedName name="NET" localSheetId="3">#REF!</definedName>
    <definedName name="NET" localSheetId="17">#REF!</definedName>
    <definedName name="NET" localSheetId="8">#REF!</definedName>
    <definedName name="NET" localSheetId="4">#REF!</definedName>
    <definedName name="NET" localSheetId="20">#REF!</definedName>
    <definedName name="NET">#REF!</definedName>
    <definedName name="NET_1" localSheetId="7">#REF!</definedName>
    <definedName name="NET_1" localSheetId="15">#REF!</definedName>
    <definedName name="NET_1" localSheetId="1">#REF!</definedName>
    <definedName name="NET_1" localSheetId="18">#REF!</definedName>
    <definedName name="NET_1" localSheetId="16">#REF!</definedName>
    <definedName name="NET_1" localSheetId="6">#REF!</definedName>
    <definedName name="NET_1" localSheetId="5">#REF!</definedName>
    <definedName name="NET_1" localSheetId="3">#REF!</definedName>
    <definedName name="NET_1" localSheetId="17">#REF!</definedName>
    <definedName name="NET_1" localSheetId="8">#REF!</definedName>
    <definedName name="NET_1" localSheetId="4">#REF!</definedName>
    <definedName name="NET_1" localSheetId="20">#REF!</definedName>
    <definedName name="NET_1">#REF!</definedName>
    <definedName name="NET_ANA" localSheetId="7">#REF!</definedName>
    <definedName name="NET_ANA" localSheetId="15">#REF!</definedName>
    <definedName name="NET_ANA" localSheetId="1">#REF!</definedName>
    <definedName name="NET_ANA" localSheetId="18">#REF!</definedName>
    <definedName name="NET_ANA" localSheetId="16">#REF!</definedName>
    <definedName name="NET_ANA" localSheetId="6">#REF!</definedName>
    <definedName name="NET_ANA" localSheetId="5">#REF!</definedName>
    <definedName name="NET_ANA" localSheetId="3">#REF!</definedName>
    <definedName name="NET_ANA" localSheetId="17">#REF!</definedName>
    <definedName name="NET_ANA" localSheetId="8">#REF!</definedName>
    <definedName name="NET_ANA" localSheetId="4">#REF!</definedName>
    <definedName name="NET_ANA" localSheetId="20">#REF!</definedName>
    <definedName name="NET_ANA">#REF!</definedName>
    <definedName name="NET_ANA_1" localSheetId="7">#REF!</definedName>
    <definedName name="NET_ANA_1" localSheetId="15">#REF!</definedName>
    <definedName name="NET_ANA_1" localSheetId="1">#REF!</definedName>
    <definedName name="NET_ANA_1" localSheetId="18">#REF!</definedName>
    <definedName name="NET_ANA_1" localSheetId="16">#REF!</definedName>
    <definedName name="NET_ANA_1" localSheetId="6">#REF!</definedName>
    <definedName name="NET_ANA_1" localSheetId="5">#REF!</definedName>
    <definedName name="NET_ANA_1" localSheetId="3">#REF!</definedName>
    <definedName name="NET_ANA_1" localSheetId="17">#REF!</definedName>
    <definedName name="NET_ANA_1" localSheetId="8">#REF!</definedName>
    <definedName name="NET_ANA_1" localSheetId="4">#REF!</definedName>
    <definedName name="NET_ANA_1" localSheetId="20">#REF!</definedName>
    <definedName name="NET_ANA_1">#REF!</definedName>
    <definedName name="NET_ANA_2" localSheetId="7">#REF!</definedName>
    <definedName name="NET_ANA_2" localSheetId="15">#REF!</definedName>
    <definedName name="NET_ANA_2" localSheetId="1">#REF!</definedName>
    <definedName name="NET_ANA_2" localSheetId="18">#REF!</definedName>
    <definedName name="NET_ANA_2" localSheetId="16">#REF!</definedName>
    <definedName name="NET_ANA_2" localSheetId="6">#REF!</definedName>
    <definedName name="NET_ANA_2" localSheetId="5">#REF!</definedName>
    <definedName name="NET_ANA_2" localSheetId="3">#REF!</definedName>
    <definedName name="NET_ANA_2" localSheetId="17">#REF!</definedName>
    <definedName name="NET_ANA_2" localSheetId="8">#REF!</definedName>
    <definedName name="NET_ANA_2" localSheetId="4">#REF!</definedName>
    <definedName name="NET_ANA_2" localSheetId="20">#REF!</definedName>
    <definedName name="NET_ANA_2">#REF!</definedName>
    <definedName name="NetWorth">"$#REF!.$T$104:$AJ$148"</definedName>
    <definedName name="NEW" localSheetId="7">#REF!</definedName>
    <definedName name="NEW" localSheetId="15">#REF!</definedName>
    <definedName name="NEW" localSheetId="1">#REF!</definedName>
    <definedName name="NEW" localSheetId="18">#REF!</definedName>
    <definedName name="NEW" localSheetId="16">#REF!</definedName>
    <definedName name="NEW" localSheetId="6">#REF!</definedName>
    <definedName name="NEW" localSheetId="10">#REF!</definedName>
    <definedName name="NEW" localSheetId="14">#REF!</definedName>
    <definedName name="NEW" localSheetId="5">#REF!</definedName>
    <definedName name="NEW" localSheetId="3">#REF!</definedName>
    <definedName name="NEW" localSheetId="17">#REF!</definedName>
    <definedName name="NEW" localSheetId="8">#REF!</definedName>
    <definedName name="NEW" localSheetId="4">#REF!</definedName>
    <definedName name="NEW" localSheetId="20">#REF!</definedName>
    <definedName name="NEW">#REF!</definedName>
    <definedName name="newname" localSheetId="7">#REF!</definedName>
    <definedName name="newname" localSheetId="15">#REF!</definedName>
    <definedName name="newname" localSheetId="1">#REF!</definedName>
    <definedName name="newname" localSheetId="18">#REF!</definedName>
    <definedName name="newname" localSheetId="16">#REF!</definedName>
    <definedName name="newname" localSheetId="6">#REF!</definedName>
    <definedName name="newname" localSheetId="5">#REF!</definedName>
    <definedName name="newname" localSheetId="3">#REF!</definedName>
    <definedName name="newname" localSheetId="17">#REF!</definedName>
    <definedName name="newname" localSheetId="8">#REF!</definedName>
    <definedName name="newname" localSheetId="4">#REF!</definedName>
    <definedName name="newname" localSheetId="20">#REF!</definedName>
    <definedName name="newname">#REF!</definedName>
    <definedName name="NEXT">"$#REF!.#REF!#REF!"</definedName>
    <definedName name="NEXTAVYR">"$#REF!.#REF!#REF!"</definedName>
    <definedName name="NGANH" localSheetId="5">[7]HT!$C$6</definedName>
    <definedName name="NGANH" localSheetId="3">[7]HT!$C$6</definedName>
    <definedName name="NGANH" localSheetId="17">[7]HT!$C$6</definedName>
    <definedName name="NGANH" localSheetId="8">[7]HT!$C$6</definedName>
    <definedName name="NGANH">[7]HT!$C$6</definedName>
    <definedName name="ngay" localSheetId="5">[7]HT!$C$10</definedName>
    <definedName name="ngay" localSheetId="3">[7]HT!$C$10</definedName>
    <definedName name="ngay" localSheetId="17">[7]HT!$C$10</definedName>
    <definedName name="ngay" localSheetId="8">[7]HT!$C$10</definedName>
    <definedName name="ngay">[7]HT!$C$10</definedName>
    <definedName name="ngfrh" localSheetId="7">#REF!</definedName>
    <definedName name="ngfrh" localSheetId="15">#REF!</definedName>
    <definedName name="ngfrh" localSheetId="1">#REF!</definedName>
    <definedName name="ngfrh" localSheetId="18">#REF!</definedName>
    <definedName name="ngfrh" localSheetId="16">#REF!</definedName>
    <definedName name="ngfrh" localSheetId="6">#REF!</definedName>
    <definedName name="ngfrh" localSheetId="5">#REF!</definedName>
    <definedName name="ngfrh" localSheetId="3">#REF!</definedName>
    <definedName name="ngfrh" localSheetId="17">#REF!</definedName>
    <definedName name="ngfrh" localSheetId="8">#REF!</definedName>
    <definedName name="ngfrh" localSheetId="4">#REF!</definedName>
    <definedName name="ngfrh" localSheetId="20">#REF!</definedName>
    <definedName name="ngfrh">#REF!</definedName>
    <definedName name="NH" localSheetId="7">#REF!</definedName>
    <definedName name="NH" localSheetId="15">#REF!</definedName>
    <definedName name="NH" localSheetId="1">#REF!</definedName>
    <definedName name="NH" localSheetId="18">#REF!</definedName>
    <definedName name="NH" localSheetId="16">#REF!</definedName>
    <definedName name="NH" localSheetId="6">#REF!</definedName>
    <definedName name="NH" localSheetId="5">#REF!</definedName>
    <definedName name="NH" localSheetId="3">#REF!</definedName>
    <definedName name="NH" localSheetId="17">#REF!</definedName>
    <definedName name="NH" localSheetId="8">#REF!</definedName>
    <definedName name="NH" localSheetId="4">#REF!</definedName>
    <definedName name="NH" localSheetId="20">#REF!</definedName>
    <definedName name="NH">#REF!</definedName>
    <definedName name="NHAÂN_COÂNG" localSheetId="7">[41]!BTRAM</definedName>
    <definedName name="NHAÂN_COÂNG" localSheetId="1">[41]!BTRAM</definedName>
    <definedName name="NHAÂN_COÂNG" localSheetId="18">[41]!BTRAM</definedName>
    <definedName name="NHAÂN_COÂNG" localSheetId="16">[41]!BTRAM</definedName>
    <definedName name="NHAÂN_COÂNG" localSheetId="6">[41]!BTRAM</definedName>
    <definedName name="NHAÂN_COÂNG" localSheetId="3">[41]!BTRAM</definedName>
    <definedName name="NHAÂN_COÂNG" localSheetId="17">[41]!BTRAM</definedName>
    <definedName name="NHAÂN_COÂNG" localSheetId="8">[41]!BTRAM</definedName>
    <definedName name="NHAÂN_COÂNG" localSheetId="4">[41]!BTRAM</definedName>
    <definedName name="NHAÂN_COÂNG" localSheetId="20">[41]!BTRAM</definedName>
    <definedName name="NHAÂN_COÂNG">[41]!BTRAM</definedName>
    <definedName name="nhn" localSheetId="7">#REF!</definedName>
    <definedName name="nhn" localSheetId="15">#REF!</definedName>
    <definedName name="nhn" localSheetId="1">#REF!</definedName>
    <definedName name="nhn" localSheetId="18">#REF!</definedName>
    <definedName name="nhn" localSheetId="16">#REF!</definedName>
    <definedName name="nhn" localSheetId="6">#REF!</definedName>
    <definedName name="nhn" localSheetId="3">#REF!</definedName>
    <definedName name="nhn" localSheetId="17">#REF!</definedName>
    <definedName name="nhn" localSheetId="8">#REF!</definedName>
    <definedName name="nhn" localSheetId="4">#REF!</definedName>
    <definedName name="nhn" localSheetId="20">#REF!</definedName>
    <definedName name="nhn">#REF!</definedName>
    <definedName name="NHot" localSheetId="7">#REF!</definedName>
    <definedName name="NHot" localSheetId="15">#REF!</definedName>
    <definedName name="NHot" localSheetId="1">#REF!</definedName>
    <definedName name="NHot" localSheetId="18">#REF!</definedName>
    <definedName name="NHot" localSheetId="16">#REF!</definedName>
    <definedName name="NHot" localSheetId="6">#REF!</definedName>
    <definedName name="NHot" localSheetId="5">#REF!</definedName>
    <definedName name="NHot" localSheetId="3">#REF!</definedName>
    <definedName name="NHot" localSheetId="17">#REF!</definedName>
    <definedName name="NHot" localSheetId="8">#REF!</definedName>
    <definedName name="NHot" localSheetId="4">#REF!</definedName>
    <definedName name="NHot" localSheetId="20">#REF!</definedName>
    <definedName name="NHot">#REF!</definedName>
    <definedName name="nig" localSheetId="7">#REF!</definedName>
    <definedName name="nig" localSheetId="15">#REF!</definedName>
    <definedName name="nig" localSheetId="1">#REF!</definedName>
    <definedName name="nig" localSheetId="18">#REF!</definedName>
    <definedName name="nig" localSheetId="16">#REF!</definedName>
    <definedName name="nig" localSheetId="6">#REF!</definedName>
    <definedName name="nig" localSheetId="3">#REF!</definedName>
    <definedName name="nig" localSheetId="17">#REF!</definedName>
    <definedName name="nig" localSheetId="8">#REF!</definedName>
    <definedName name="nig" localSheetId="4">#REF!</definedName>
    <definedName name="nig" localSheetId="20">#REF!</definedName>
    <definedName name="nig">#REF!</definedName>
    <definedName name="nin" localSheetId="7">#REF!</definedName>
    <definedName name="nin" localSheetId="15">#REF!</definedName>
    <definedName name="nin" localSheetId="1">#REF!</definedName>
    <definedName name="nin" localSheetId="18">#REF!</definedName>
    <definedName name="nin" localSheetId="16">#REF!</definedName>
    <definedName name="nin" localSheetId="6">#REF!</definedName>
    <definedName name="nin" localSheetId="3">#REF!</definedName>
    <definedName name="nin" localSheetId="17">#REF!</definedName>
    <definedName name="nin" localSheetId="8">#REF!</definedName>
    <definedName name="nin" localSheetId="4">#REF!</definedName>
    <definedName name="nin" localSheetId="20">#REF!</definedName>
    <definedName name="nin">#REF!</definedName>
    <definedName name="nind" localSheetId="7">#REF!</definedName>
    <definedName name="nind" localSheetId="15">#REF!</definedName>
    <definedName name="nind" localSheetId="1">#REF!</definedName>
    <definedName name="nind" localSheetId="18">#REF!</definedName>
    <definedName name="nind" localSheetId="16">#REF!</definedName>
    <definedName name="nind" localSheetId="6">#REF!</definedName>
    <definedName name="nind" localSheetId="3">#REF!</definedName>
    <definedName name="nind" localSheetId="17">#REF!</definedName>
    <definedName name="nind" localSheetId="8">#REF!</definedName>
    <definedName name="nind" localSheetId="4">#REF!</definedName>
    <definedName name="nind" localSheetId="20">#REF!</definedName>
    <definedName name="nind">#REF!</definedName>
    <definedName name="NINnc" localSheetId="7">#REF!</definedName>
    <definedName name="NINnc" localSheetId="15">#REF!</definedName>
    <definedName name="NINnc" localSheetId="1">#REF!</definedName>
    <definedName name="NINnc" localSheetId="18">#REF!</definedName>
    <definedName name="NINnc" localSheetId="16">#REF!</definedName>
    <definedName name="NINnc" localSheetId="6">#REF!</definedName>
    <definedName name="NINnc" localSheetId="3">#REF!</definedName>
    <definedName name="NINnc" localSheetId="17">#REF!</definedName>
    <definedName name="NINnc" localSheetId="8">#REF!</definedName>
    <definedName name="NINnc" localSheetId="4">#REF!</definedName>
    <definedName name="NINnc" localSheetId="20">#REF!</definedName>
    <definedName name="NINnc">#REF!</definedName>
    <definedName name="NINvl" localSheetId="7">#REF!</definedName>
    <definedName name="NINvl" localSheetId="15">#REF!</definedName>
    <definedName name="NINvl" localSheetId="1">#REF!</definedName>
    <definedName name="NINvl" localSheetId="18">#REF!</definedName>
    <definedName name="NINvl" localSheetId="16">#REF!</definedName>
    <definedName name="NINvl" localSheetId="6">#REF!</definedName>
    <definedName name="NINvl" localSheetId="3">#REF!</definedName>
    <definedName name="NINvl" localSheetId="17">#REF!</definedName>
    <definedName name="NINvl" localSheetId="8">#REF!</definedName>
    <definedName name="NINvl" localSheetId="4">#REF!</definedName>
    <definedName name="NINvl" localSheetId="20">#REF!</definedName>
    <definedName name="NINvl">#REF!</definedName>
    <definedName name="NKC_END" localSheetId="5">[7]NKC!$AE$5000</definedName>
    <definedName name="NKC_END" localSheetId="3">[7]NKC!$AE$5000</definedName>
    <definedName name="NKC_END" localSheetId="17">[7]NKC!$AE$5000</definedName>
    <definedName name="NKC_END" localSheetId="8">[7]NKC!$AE$5000</definedName>
    <definedName name="NKC_END">[7]NKC!$AE$5000</definedName>
    <definedName name="NKC_ENDLP" localSheetId="7">[7]NKC!#REF!</definedName>
    <definedName name="NKC_ENDLP" localSheetId="15">[7]NKC!#REF!</definedName>
    <definedName name="NKC_ENDLP" localSheetId="1">[7]NKC!#REF!</definedName>
    <definedName name="NKC_ENDLP" localSheetId="18">[7]NKC!#REF!</definedName>
    <definedName name="NKC_ENDLP" localSheetId="16">[7]NKC!#REF!</definedName>
    <definedName name="NKC_ENDLP" localSheetId="6">[7]NKC!#REF!</definedName>
    <definedName name="NKC_ENDLP" localSheetId="10">[7]NKC!#REF!</definedName>
    <definedName name="NKC_ENDLP" localSheetId="14">[7]NKC!#REF!</definedName>
    <definedName name="NKC_ENDLP" localSheetId="5">[7]NKC!#REF!</definedName>
    <definedName name="NKC_ENDLP" localSheetId="3">[7]NKC!#REF!</definedName>
    <definedName name="NKC_ENDLP" localSheetId="17">[7]NKC!#REF!</definedName>
    <definedName name="NKC_ENDLP" localSheetId="8">[7]NKC!#REF!</definedName>
    <definedName name="NKC_ENDLP" localSheetId="4">[7]NKC!#REF!</definedName>
    <definedName name="NKC_ENDLP" localSheetId="20">[7]NKC!#REF!</definedName>
    <definedName name="NKC_ENDLP">[7]NKC!#REF!</definedName>
    <definedName name="NKC_ENDMH" localSheetId="7">[7]NKC!#REF!</definedName>
    <definedName name="NKC_ENDMH" localSheetId="15">[7]NKC!#REF!</definedName>
    <definedName name="NKC_ENDMH" localSheetId="1">[7]NKC!#REF!</definedName>
    <definedName name="NKC_ENDMH" localSheetId="18">[7]NKC!#REF!</definedName>
    <definedName name="NKC_ENDMH" localSheetId="16">[7]NKC!#REF!</definedName>
    <definedName name="NKC_ENDMH" localSheetId="6">[7]NKC!#REF!</definedName>
    <definedName name="NKC_ENDMH" localSheetId="10">[7]NKC!#REF!</definedName>
    <definedName name="NKC_ENDMH" localSheetId="14">[7]NKC!#REF!</definedName>
    <definedName name="NKC_ENDMH" localSheetId="5">[7]NKC!#REF!</definedName>
    <definedName name="NKC_ENDMH" localSheetId="3">[7]NKC!#REF!</definedName>
    <definedName name="NKC_ENDMH" localSheetId="17">[7]NKC!#REF!</definedName>
    <definedName name="NKC_ENDMH" localSheetId="8">[7]NKC!#REF!</definedName>
    <definedName name="NKC_ENDMH" localSheetId="4">[7]NKC!#REF!</definedName>
    <definedName name="NKC_ENDMH" localSheetId="20">[7]NKC!#REF!</definedName>
    <definedName name="NKC_ENDMH">[7]NKC!#REF!</definedName>
    <definedName name="NKC_GHEPMABT1" localSheetId="7">[7]NKC!#REF!</definedName>
    <definedName name="NKC_GHEPMABT1" localSheetId="15">[7]NKC!#REF!</definedName>
    <definedName name="NKC_GHEPMABT1" localSheetId="1">[7]NKC!#REF!</definedName>
    <definedName name="NKC_GHEPMABT1" localSheetId="18">[7]NKC!#REF!</definedName>
    <definedName name="NKC_GHEPMABT1" localSheetId="16">[7]NKC!#REF!</definedName>
    <definedName name="NKC_GHEPMABT1" localSheetId="6">[7]NKC!#REF!</definedName>
    <definedName name="NKC_GHEPMABT1" localSheetId="10">[7]NKC!#REF!</definedName>
    <definedName name="NKC_GHEPMABT1" localSheetId="14">[7]NKC!#REF!</definedName>
    <definedName name="NKC_GHEPMABT1" localSheetId="5">[7]NKC!#REF!</definedName>
    <definedName name="NKC_GHEPMABT1" localSheetId="3">[7]NKC!#REF!</definedName>
    <definedName name="NKC_GHEPMABT1" localSheetId="17">[7]NKC!#REF!</definedName>
    <definedName name="NKC_GHEPMABT1" localSheetId="8">[7]NKC!#REF!</definedName>
    <definedName name="NKC_GHEPMABT1" localSheetId="4">[7]NKC!#REF!</definedName>
    <definedName name="NKC_GHEPMABT1" localSheetId="20">[7]NKC!#REF!</definedName>
    <definedName name="NKC_GHEPMABT1">[7]NKC!#REF!</definedName>
    <definedName name="NKC_GHEPMBT0" localSheetId="7">[7]NKC!#REF!</definedName>
    <definedName name="NKC_GHEPMBT0" localSheetId="15">[7]NKC!#REF!</definedName>
    <definedName name="NKC_GHEPMBT0" localSheetId="1">[7]NKC!#REF!</definedName>
    <definedName name="NKC_GHEPMBT0" localSheetId="18">[7]NKC!#REF!</definedName>
    <definedName name="NKC_GHEPMBT0" localSheetId="16">[7]NKC!#REF!</definedName>
    <definedName name="NKC_GHEPMBT0" localSheetId="6">[7]NKC!#REF!</definedName>
    <definedName name="NKC_GHEPMBT0" localSheetId="10">[7]NKC!#REF!</definedName>
    <definedName name="NKC_GHEPMBT0" localSheetId="14">[7]NKC!#REF!</definedName>
    <definedName name="NKC_GHEPMBT0" localSheetId="5">[7]NKC!#REF!</definedName>
    <definedName name="NKC_GHEPMBT0" localSheetId="3">[7]NKC!#REF!</definedName>
    <definedName name="NKC_GHEPMBT0" localSheetId="17">[7]NKC!#REF!</definedName>
    <definedName name="NKC_GHEPMBT0" localSheetId="8">[7]NKC!#REF!</definedName>
    <definedName name="NKC_GHEPMBT0" localSheetId="4">[7]NKC!#REF!</definedName>
    <definedName name="NKC_GHEPMBT0" localSheetId="20">[7]NKC!#REF!</definedName>
    <definedName name="NKC_GHEPMBT0">[7]NKC!#REF!</definedName>
    <definedName name="NKC_GHEPMBT1" localSheetId="7">[7]NKC!#REF!</definedName>
    <definedName name="NKC_GHEPMBT1" localSheetId="15">[7]NKC!#REF!</definedName>
    <definedName name="NKC_GHEPMBT1" localSheetId="1">[7]NKC!#REF!</definedName>
    <definedName name="NKC_GHEPMBT1" localSheetId="18">[7]NKC!#REF!</definedName>
    <definedName name="NKC_GHEPMBT1" localSheetId="16">[7]NKC!#REF!</definedName>
    <definedName name="NKC_GHEPMBT1" localSheetId="6">[7]NKC!#REF!</definedName>
    <definedName name="NKC_GHEPMBT1" localSheetId="10">[7]NKC!#REF!</definedName>
    <definedName name="NKC_GHEPMBT1" localSheetId="14">[7]NKC!#REF!</definedName>
    <definedName name="NKC_GHEPMBT1" localSheetId="5">[7]NKC!#REF!</definedName>
    <definedName name="NKC_GHEPMBT1" localSheetId="3">[7]NKC!#REF!</definedName>
    <definedName name="NKC_GHEPMBT1" localSheetId="17">[7]NKC!#REF!</definedName>
    <definedName name="NKC_GHEPMBT1" localSheetId="8">[7]NKC!#REF!</definedName>
    <definedName name="NKC_GHEPMBT1" localSheetId="4">[7]NKC!#REF!</definedName>
    <definedName name="NKC_GHEPMBT1" localSheetId="20">[7]NKC!#REF!</definedName>
    <definedName name="NKC_GHEPMBT1">[7]NKC!#REF!</definedName>
    <definedName name="NKC_LOAICT0" localSheetId="7">[7]NKC!#REF!</definedName>
    <definedName name="NKC_LOAICT0" localSheetId="15">[7]NKC!#REF!</definedName>
    <definedName name="NKC_LOAICT0" localSheetId="1">[7]NKC!#REF!</definedName>
    <definedName name="NKC_LOAICT0" localSheetId="18">[7]NKC!#REF!</definedName>
    <definedName name="NKC_LOAICT0" localSheetId="16">[7]NKC!#REF!</definedName>
    <definedName name="NKC_LOAICT0" localSheetId="6">[7]NKC!#REF!</definedName>
    <definedName name="NKC_LOAICT0" localSheetId="10">[7]NKC!#REF!</definedName>
    <definedName name="NKC_LOAICT0" localSheetId="14">[7]NKC!#REF!</definedName>
    <definedName name="NKC_LOAICT0" localSheetId="5">[7]NKC!#REF!</definedName>
    <definedName name="NKC_LOAICT0" localSheetId="3">[7]NKC!#REF!</definedName>
    <definedName name="NKC_LOAICT0" localSheetId="17">[7]NKC!#REF!</definedName>
    <definedName name="NKC_LOAICT0" localSheetId="8">[7]NKC!#REF!</definedName>
    <definedName name="NKC_LOAICT0" localSheetId="4">[7]NKC!#REF!</definedName>
    <definedName name="NKC_LOAICT0" localSheetId="20">[7]NKC!#REF!</definedName>
    <definedName name="NKC_LOAICT0">[7]NKC!#REF!</definedName>
    <definedName name="NKC_LOAIHD0" localSheetId="5">[7]NKC!$G$11</definedName>
    <definedName name="NKC_LOAIHD0" localSheetId="3">[7]NKC!$G$11</definedName>
    <definedName name="NKC_LOAIHD0" localSheetId="17">[7]NKC!$G$11</definedName>
    <definedName name="NKC_LOAIHD0" localSheetId="8">[7]NKC!$G$11</definedName>
    <definedName name="NKC_LOAIHD0">[7]NKC!$G$11</definedName>
    <definedName name="NKC_LOAIHD1" localSheetId="5">[7]NKC!$G$5000</definedName>
    <definedName name="NKC_LOAIHD1" localSheetId="3">[7]NKC!$G$5000</definedName>
    <definedName name="NKC_LOAIHD1" localSheetId="17">[7]NKC!$G$5000</definedName>
    <definedName name="NKC_LOAIHD1" localSheetId="8">[7]NKC!$G$5000</definedName>
    <definedName name="NKC_LOAIHD1">[7]NKC!$G$5000</definedName>
    <definedName name="NKC_LOAIPHIEU0" localSheetId="7">[7]NKC!#REF!</definedName>
    <definedName name="NKC_LOAIPHIEU0" localSheetId="15">[7]NKC!#REF!</definedName>
    <definedName name="NKC_LOAIPHIEU0" localSheetId="1">[7]NKC!#REF!</definedName>
    <definedName name="NKC_LOAIPHIEU0" localSheetId="18">[7]NKC!#REF!</definedName>
    <definedName name="NKC_LOAIPHIEU0" localSheetId="16">[7]NKC!#REF!</definedName>
    <definedName name="NKC_LOAIPHIEU0" localSheetId="6">[7]NKC!#REF!</definedName>
    <definedName name="NKC_LOAIPHIEU0" localSheetId="10">[7]NKC!#REF!</definedName>
    <definedName name="NKC_LOAIPHIEU0" localSheetId="14">[7]NKC!#REF!</definedName>
    <definedName name="NKC_LOAIPHIEU0" localSheetId="5">[7]NKC!#REF!</definedName>
    <definedName name="NKC_LOAIPHIEU0" localSheetId="3">[7]NKC!#REF!</definedName>
    <definedName name="NKC_LOAIPHIEU0" localSheetId="17">[7]NKC!#REF!</definedName>
    <definedName name="NKC_LOAIPHIEU0" localSheetId="8">[7]NKC!#REF!</definedName>
    <definedName name="NKC_LOAIPHIEU0" localSheetId="4">[7]NKC!#REF!</definedName>
    <definedName name="NKC_LOAIPHIEU0" localSheetId="20">[7]NKC!#REF!</definedName>
    <definedName name="NKC_LOAIPHIEU0">[7]NKC!#REF!</definedName>
    <definedName name="NKC_LOAIPHIEU1" localSheetId="7">[7]NKC!#REF!</definedName>
    <definedName name="NKC_LOAIPHIEU1" localSheetId="15">[7]NKC!#REF!</definedName>
    <definedName name="NKC_LOAIPHIEU1" localSheetId="1">[7]NKC!#REF!</definedName>
    <definedName name="NKC_LOAIPHIEU1" localSheetId="18">[7]NKC!#REF!</definedName>
    <definedName name="NKC_LOAIPHIEU1" localSheetId="16">[7]NKC!#REF!</definedName>
    <definedName name="NKC_LOAIPHIEU1" localSheetId="6">[7]NKC!#REF!</definedName>
    <definedName name="NKC_LOAIPHIEU1" localSheetId="10">[7]NKC!#REF!</definedName>
    <definedName name="NKC_LOAIPHIEU1" localSheetId="14">[7]NKC!#REF!</definedName>
    <definedName name="NKC_LOAIPHIEU1" localSheetId="5">[7]NKC!#REF!</definedName>
    <definedName name="NKC_LOAIPHIEU1" localSheetId="3">[7]NKC!#REF!</definedName>
    <definedName name="NKC_LOAIPHIEU1" localSheetId="17">[7]NKC!#REF!</definedName>
    <definedName name="NKC_LOAIPHIEU1" localSheetId="8">[7]NKC!#REF!</definedName>
    <definedName name="NKC_LOAIPHIEU1" localSheetId="4">[7]NKC!#REF!</definedName>
    <definedName name="NKC_LOAIPHIEU1" localSheetId="20">[7]NKC!#REF!</definedName>
    <definedName name="NKC_LOAIPHIEU1">[7]NKC!#REF!</definedName>
    <definedName name="NKC_MABT0" localSheetId="7">[7]NKC!#REF!</definedName>
    <definedName name="NKC_MABT0" localSheetId="15">[7]NKC!#REF!</definedName>
    <definedName name="NKC_MABT0" localSheetId="1">[7]NKC!#REF!</definedName>
    <definedName name="NKC_MABT0" localSheetId="18">[7]NKC!#REF!</definedName>
    <definedName name="NKC_MABT0" localSheetId="16">[7]NKC!#REF!</definedName>
    <definedName name="NKC_MABT0" localSheetId="6">[7]NKC!#REF!</definedName>
    <definedName name="NKC_MABT0" localSheetId="10">[7]NKC!#REF!</definedName>
    <definedName name="NKC_MABT0" localSheetId="14">[7]NKC!#REF!</definedName>
    <definedName name="NKC_MABT0" localSheetId="5">[7]NKC!#REF!</definedName>
    <definedName name="NKC_MABT0" localSheetId="3">[7]NKC!#REF!</definedName>
    <definedName name="NKC_MABT0" localSheetId="17">[7]NKC!#REF!</definedName>
    <definedName name="NKC_MABT0" localSheetId="8">[7]NKC!#REF!</definedName>
    <definedName name="NKC_MABT0" localSheetId="4">[7]NKC!#REF!</definedName>
    <definedName name="NKC_MABT0" localSheetId="20">[7]NKC!#REF!</definedName>
    <definedName name="NKC_MABT0">[7]NKC!#REF!</definedName>
    <definedName name="NKC_MABT1" localSheetId="7">[7]NKC!#REF!</definedName>
    <definedName name="NKC_MABT1" localSheetId="15">[7]NKC!#REF!</definedName>
    <definedName name="NKC_MABT1" localSheetId="1">[7]NKC!#REF!</definedName>
    <definedName name="NKC_MABT1" localSheetId="18">[7]NKC!#REF!</definedName>
    <definedName name="NKC_MABT1" localSheetId="16">[7]NKC!#REF!</definedName>
    <definedName name="NKC_MABT1" localSheetId="6">[7]NKC!#REF!</definedName>
    <definedName name="NKC_MABT1" localSheetId="10">[7]NKC!#REF!</definedName>
    <definedName name="NKC_MABT1" localSheetId="14">[7]NKC!#REF!</definedName>
    <definedName name="NKC_MABT1" localSheetId="5">[7]NKC!#REF!</definedName>
    <definedName name="NKC_MABT1" localSheetId="3">[7]NKC!#REF!</definedName>
    <definedName name="NKC_MABT1" localSheetId="17">[7]NKC!#REF!</definedName>
    <definedName name="NKC_MABT1" localSheetId="8">[7]NKC!#REF!</definedName>
    <definedName name="NKC_MABT1" localSheetId="4">[7]NKC!#REF!</definedName>
    <definedName name="NKC_MABT1" localSheetId="20">[7]NKC!#REF!</definedName>
    <definedName name="NKC_MABT1">[7]NKC!#REF!</definedName>
    <definedName name="NKC_MABTLOC" localSheetId="5">[7]NKC!$BC$3</definedName>
    <definedName name="NKC_MABTLOC" localSheetId="3">[7]NKC!$BC$3</definedName>
    <definedName name="NKC_MABTLOC" localSheetId="17">[7]NKC!$BC$3</definedName>
    <definedName name="NKC_MABTLOC" localSheetId="8">[7]NKC!$BC$3</definedName>
    <definedName name="NKC_MABTLOC">[7]NKC!$BC$3</definedName>
    <definedName name="NKC_SOCT0" localSheetId="5">[7]NKC!$B$11</definedName>
    <definedName name="NKC_SOCT0" localSheetId="3">[7]NKC!$B$11</definedName>
    <definedName name="NKC_SOCT0" localSheetId="17">[7]NKC!$B$11</definedName>
    <definedName name="NKC_SOCT0" localSheetId="8">[7]NKC!$B$11</definedName>
    <definedName name="NKC_SOCT0">[7]NKC!$B$11</definedName>
    <definedName name="NKC_SOCT1" localSheetId="5">[7]NKC!$B$5000</definedName>
    <definedName name="NKC_SOCT1" localSheetId="3">[7]NKC!$B$5000</definedName>
    <definedName name="NKC_SOCT1" localSheetId="17">[7]NKC!$B$5000</definedName>
    <definedName name="NKC_SOCT1" localSheetId="8">[7]NKC!$B$5000</definedName>
    <definedName name="NKC_SOCT1">[7]NKC!$B$5000</definedName>
    <definedName name="NKC_SOHD0" localSheetId="5">[7]NKC!$E$11</definedName>
    <definedName name="NKC_SOHD0" localSheetId="3">[7]NKC!$E$11</definedName>
    <definedName name="NKC_SOHD0" localSheetId="17">[7]NKC!$E$11</definedName>
    <definedName name="NKC_SOHD0" localSheetId="8">[7]NKC!$E$11</definedName>
    <definedName name="NKC_SOHD0">[7]NKC!$E$11</definedName>
    <definedName name="NKC_SOHD1" localSheetId="5">[7]NKC!$E$5000</definedName>
    <definedName name="NKC_SOHD1" localSheetId="3">[7]NKC!$E$5000</definedName>
    <definedName name="NKC_SOHD1" localSheetId="17">[7]NKC!$E$5000</definedName>
    <definedName name="NKC_SOHD1" localSheetId="8">[7]NKC!$E$5000</definedName>
    <definedName name="NKC_SOHD1">[7]NKC!$E$5000</definedName>
    <definedName name="NKC_TK1N0" localSheetId="5">[7]NKC!$AF$11</definedName>
    <definedName name="NKC_TK1N0" localSheetId="3">[7]NKC!$AF$11</definedName>
    <definedName name="NKC_TK1N0" localSheetId="17">[7]NKC!$AF$11</definedName>
    <definedName name="NKC_TK1N0" localSheetId="8">[7]NKC!$AF$11</definedName>
    <definedName name="NKC_TK1N0">[7]NKC!$AF$11</definedName>
    <definedName name="NKC_TK1N1" localSheetId="5">[7]NKC!$AF$5000</definedName>
    <definedName name="NKC_TK1N1" localSheetId="3">[7]NKC!$AF$5000</definedName>
    <definedName name="NKC_TK1N1" localSheetId="17">[7]NKC!$AF$5000</definedName>
    <definedName name="NKC_TK1N1" localSheetId="8">[7]NKC!$AF$5000</definedName>
    <definedName name="NKC_TK1N1">[7]NKC!$AF$5000</definedName>
    <definedName name="NKC_TK2C0" localSheetId="7">[7]NKC!$N$11</definedName>
    <definedName name="NKC_TK2C0" localSheetId="15">[7]NKC!$N$11</definedName>
    <definedName name="NKC_TK2C0" localSheetId="10">[7]NKC!$N$11</definedName>
    <definedName name="NKC_TK2C0" localSheetId="14">[7]NKC!$N$11</definedName>
    <definedName name="NKC_TK2C0" localSheetId="5">[7]NKC!$N$11</definedName>
    <definedName name="NKC_TK2C0" localSheetId="3">[7]NKC!$N$11</definedName>
    <definedName name="NKC_TK2C0" localSheetId="17">[7]NKC!$N$11</definedName>
    <definedName name="NKC_TK2C0" localSheetId="8">[7]NKC!$N$11</definedName>
    <definedName name="NKC_TK2C0">[7]NKC!$N$11</definedName>
    <definedName name="NKC_TK2C1" localSheetId="7">[7]NKC!$N$5000</definedName>
    <definedName name="NKC_TK2C1" localSheetId="15">[7]NKC!$N$5000</definedName>
    <definedName name="NKC_TK2C1" localSheetId="10">[7]NKC!$N$5000</definedName>
    <definedName name="NKC_TK2C1" localSheetId="14">[7]NKC!$N$5000</definedName>
    <definedName name="NKC_TK2C1" localSheetId="5">[7]NKC!$N$5000</definedName>
    <definedName name="NKC_TK2C1" localSheetId="3">[7]NKC!$N$5000</definedName>
    <definedName name="NKC_TK2C1" localSheetId="17">[7]NKC!$N$5000</definedName>
    <definedName name="NKC_TK2C1" localSheetId="8">[7]NKC!$N$5000</definedName>
    <definedName name="NKC_TK2C1">[7]NKC!$N$5000</definedName>
    <definedName name="NKC_TT0" localSheetId="7">[7]NKC!$Z$11</definedName>
    <definedName name="NKC_TT0" localSheetId="15">[7]NKC!$Z$11</definedName>
    <definedName name="NKC_TT0" localSheetId="10">[7]NKC!$Z$11</definedName>
    <definedName name="NKC_TT0" localSheetId="14">[7]NKC!$Z$11</definedName>
    <definedName name="NKC_TT0" localSheetId="5">[7]NKC!$Z$11</definedName>
    <definedName name="NKC_TT0" localSheetId="3">[7]NKC!$Z$11</definedName>
    <definedName name="NKC_TT0" localSheetId="17">[7]NKC!$Z$11</definedName>
    <definedName name="NKC_TT0" localSheetId="8">[7]NKC!$Z$11</definedName>
    <definedName name="NKC_TT0">[7]NKC!$Z$11</definedName>
    <definedName name="NKC_TT1" localSheetId="7">[7]NKC!$Z$5000</definedName>
    <definedName name="NKC_TT1" localSheetId="15">[7]NKC!$Z$5000</definedName>
    <definedName name="NKC_TT1" localSheetId="10">[7]NKC!$Z$5000</definedName>
    <definedName name="NKC_TT1" localSheetId="14">[7]NKC!$Z$5000</definedName>
    <definedName name="NKC_TT1" localSheetId="5">[7]NKC!$Z$5000</definedName>
    <definedName name="NKC_TT1" localSheetId="3">[7]NKC!$Z$5000</definedName>
    <definedName name="NKC_TT1" localSheetId="17">[7]NKC!$Z$5000</definedName>
    <definedName name="NKC_TT1" localSheetId="8">[7]NKC!$Z$5000</definedName>
    <definedName name="NKC_TT1">[7]NKC!$Z$5000</definedName>
    <definedName name="NKC_XEMTK" localSheetId="7">[7]NKC!$T$4</definedName>
    <definedName name="NKC_XEMTK" localSheetId="15">[7]NKC!$T$4</definedName>
    <definedName name="NKC_XEMTK" localSheetId="10">[7]NKC!$T$4</definedName>
    <definedName name="NKC_XEMTK" localSheetId="14">[7]NKC!$T$4</definedName>
    <definedName name="NKC_XEMTK" localSheetId="5">[7]NKC!$T$4</definedName>
    <definedName name="NKC_XEMTK" localSheetId="3">[7]NKC!$T$4</definedName>
    <definedName name="NKC_XEMTK" localSheetId="17">[7]NKC!$T$4</definedName>
    <definedName name="NKC_XEMTK" localSheetId="8">[7]NKC!$T$4</definedName>
    <definedName name="NKC_XEMTK">[7]NKC!$T$4</definedName>
    <definedName name="nl" localSheetId="7">#REF!</definedName>
    <definedName name="nl" localSheetId="15">#REF!</definedName>
    <definedName name="nl" localSheetId="1">#REF!</definedName>
    <definedName name="nl" localSheetId="18">#REF!</definedName>
    <definedName name="nl" localSheetId="16">#REF!</definedName>
    <definedName name="nl" localSheetId="6">#REF!</definedName>
    <definedName name="nl" localSheetId="3">#REF!</definedName>
    <definedName name="nl" localSheetId="17">#REF!</definedName>
    <definedName name="nl" localSheetId="8">#REF!</definedName>
    <definedName name="nl" localSheetId="4">#REF!</definedName>
    <definedName name="nl" localSheetId="20">#REF!</definedName>
    <definedName name="nl">#REF!</definedName>
    <definedName name="nl1p" localSheetId="7">#REF!</definedName>
    <definedName name="nl1p" localSheetId="15">#REF!</definedName>
    <definedName name="nl1p" localSheetId="1">#REF!</definedName>
    <definedName name="nl1p" localSheetId="18">#REF!</definedName>
    <definedName name="nl1p" localSheetId="16">#REF!</definedName>
    <definedName name="nl1p" localSheetId="6">#REF!</definedName>
    <definedName name="nl1p" localSheetId="3">#REF!</definedName>
    <definedName name="nl1p" localSheetId="17">#REF!</definedName>
    <definedName name="nl1p" localSheetId="8">#REF!</definedName>
    <definedName name="nl1p" localSheetId="4">#REF!</definedName>
    <definedName name="nl1p" localSheetId="20">#REF!</definedName>
    <definedName name="nl1p">#REF!</definedName>
    <definedName name="nlht" localSheetId="7">#REF!</definedName>
    <definedName name="nlht" localSheetId="15">#REF!</definedName>
    <definedName name="nlht" localSheetId="1">#REF!</definedName>
    <definedName name="nlht" localSheetId="18">#REF!</definedName>
    <definedName name="nlht" localSheetId="16">#REF!</definedName>
    <definedName name="nlht" localSheetId="6">#REF!</definedName>
    <definedName name="nlht" localSheetId="3">#REF!</definedName>
    <definedName name="nlht" localSheetId="17">#REF!</definedName>
    <definedName name="nlht" localSheetId="8">#REF!</definedName>
    <definedName name="nlht" localSheetId="4">#REF!</definedName>
    <definedName name="nlht" localSheetId="20">#REF!</definedName>
    <definedName name="nlht">#REF!</definedName>
    <definedName name="nn" localSheetId="7">#REF!</definedName>
    <definedName name="nn" localSheetId="15">#REF!</definedName>
    <definedName name="nn" localSheetId="1">#REF!</definedName>
    <definedName name="nn" localSheetId="18">#REF!</definedName>
    <definedName name="nn" localSheetId="16">#REF!</definedName>
    <definedName name="nn" localSheetId="6">#REF!</definedName>
    <definedName name="nn" localSheetId="3">#REF!</definedName>
    <definedName name="nn" localSheetId="17">#REF!</definedName>
    <definedName name="nn" localSheetId="8">#REF!</definedName>
    <definedName name="nn" localSheetId="4">#REF!</definedName>
    <definedName name="nn" localSheetId="20">#REF!</definedName>
    <definedName name="nn">#REF!</definedName>
    <definedName name="nNO" localSheetId="7">#REF!</definedName>
    <definedName name="nNO" localSheetId="15">#REF!</definedName>
    <definedName name="nNO" localSheetId="1">#REF!</definedName>
    <definedName name="nNO" localSheetId="18">#REF!</definedName>
    <definedName name="nNO" localSheetId="16">#REF!</definedName>
    <definedName name="nNO" localSheetId="6">#REF!</definedName>
    <definedName name="nNO" localSheetId="3">#REF!</definedName>
    <definedName name="nNO" localSheetId="17">#REF!</definedName>
    <definedName name="nNO" localSheetId="8">#REF!</definedName>
    <definedName name="nNO" localSheetId="4">#REF!</definedName>
    <definedName name="nNO" localSheetId="20">#REF!</definedName>
    <definedName name="nNO">#REF!</definedName>
    <definedName name="No" localSheetId="7">#REF!</definedName>
    <definedName name="No" localSheetId="15">#REF!</definedName>
    <definedName name="No" localSheetId="1">#REF!</definedName>
    <definedName name="No" localSheetId="18">#REF!</definedName>
    <definedName name="No" localSheetId="16">#REF!</definedName>
    <definedName name="No" localSheetId="6">#REF!</definedName>
    <definedName name="No" localSheetId="5">#REF!</definedName>
    <definedName name="No" localSheetId="3">#REF!</definedName>
    <definedName name="No" localSheetId="17">#REF!</definedName>
    <definedName name="No" localSheetId="8">#REF!</definedName>
    <definedName name="No" localSheetId="4">#REF!</definedName>
    <definedName name="No" localSheetId="20">#REF!</definedName>
    <definedName name="No">#REF!</definedName>
    <definedName name="NOI" localSheetId="7">#REF!</definedName>
    <definedName name="NOI" localSheetId="15">#REF!</definedName>
    <definedName name="NOI" localSheetId="1">#REF!</definedName>
    <definedName name="NOI" localSheetId="18">#REF!</definedName>
    <definedName name="NOI" localSheetId="16">#REF!</definedName>
    <definedName name="NOI" localSheetId="6">#REF!</definedName>
    <definedName name="NOI" localSheetId="3">#REF!</definedName>
    <definedName name="NOI" localSheetId="17">#REF!</definedName>
    <definedName name="NOI" localSheetId="8">#REF!</definedName>
    <definedName name="NOI" localSheetId="4">#REF!</definedName>
    <definedName name="NOI" localSheetId="20">#REF!</definedName>
    <definedName name="NOI">#REF!</definedName>
    <definedName name="NonSales" localSheetId="7">#REF!</definedName>
    <definedName name="NonSales" localSheetId="15">#REF!</definedName>
    <definedName name="NonSales" localSheetId="1">#REF!</definedName>
    <definedName name="NonSales" localSheetId="18">#REF!</definedName>
    <definedName name="NonSales" localSheetId="16">#REF!</definedName>
    <definedName name="NonSales" localSheetId="6">#REF!</definedName>
    <definedName name="NonSales" localSheetId="5">#REF!</definedName>
    <definedName name="NonSales" localSheetId="3">#REF!</definedName>
    <definedName name="NonSales" localSheetId="17">#REF!</definedName>
    <definedName name="NonSales" localSheetId="8">#REF!</definedName>
    <definedName name="NonSales" localSheetId="4">#REF!</definedName>
    <definedName name="NonSales" localSheetId="20">#REF!</definedName>
    <definedName name="NonSales">#REF!</definedName>
    <definedName name="NS" localSheetId="7">#REF!</definedName>
    <definedName name="NS" localSheetId="15">#REF!</definedName>
    <definedName name="NS" localSheetId="1">#REF!</definedName>
    <definedName name="NS" localSheetId="18">#REF!</definedName>
    <definedName name="NS" localSheetId="16">#REF!</definedName>
    <definedName name="NS" localSheetId="6">#REF!</definedName>
    <definedName name="NS" localSheetId="3">#REF!</definedName>
    <definedName name="NS" localSheetId="17">#REF!</definedName>
    <definedName name="NS" localSheetId="8">#REF!</definedName>
    <definedName name="NS" localSheetId="4">#REF!</definedName>
    <definedName name="NS" localSheetId="20">#REF!</definedName>
    <definedName name="NS">#REF!</definedName>
    <definedName name="nuoc">[35]gvl!$N$38</definedName>
    <definedName name="nx" localSheetId="7">#REF!</definedName>
    <definedName name="nx" localSheetId="15">#REF!</definedName>
    <definedName name="nx" localSheetId="1">#REF!</definedName>
    <definedName name="nx" localSheetId="18">#REF!</definedName>
    <definedName name="nx" localSheetId="16">#REF!</definedName>
    <definedName name="nx" localSheetId="6">#REF!</definedName>
    <definedName name="nx" localSheetId="3">#REF!</definedName>
    <definedName name="nx" localSheetId="17">#REF!</definedName>
    <definedName name="nx" localSheetId="8">#REF!</definedName>
    <definedName name="nx" localSheetId="4">#REF!</definedName>
    <definedName name="nx" localSheetId="20">#REF!</definedName>
    <definedName name="nx">#REF!</definedName>
    <definedName name="NXT_CHONDK" localSheetId="7">'[17]In- out '!$T$1</definedName>
    <definedName name="NXT_CHONDK" localSheetId="15">'[17]In- out '!$T$1</definedName>
    <definedName name="NXT_CHONDK" localSheetId="10">'[17]In- out '!$T$1</definedName>
    <definedName name="NXT_CHONDK" localSheetId="14">'[17]In- out '!$T$1</definedName>
    <definedName name="NXT_CHONDK">'[17]In- out '!$T$1</definedName>
    <definedName name="NXT_KC" localSheetId="7">'[17]In- out '!$O$2</definedName>
    <definedName name="NXT_KC" localSheetId="15">'[17]In- out '!$O$2</definedName>
    <definedName name="NXT_KC" localSheetId="10">'[17]In- out '!$O$2</definedName>
    <definedName name="NXT_KC" localSheetId="14">'[17]In- out '!$O$2</definedName>
    <definedName name="NXT_KC">'[17]In- out '!$O$2</definedName>
    <definedName name="NXT_KD" localSheetId="7">'[17]In- out '!$M$2</definedName>
    <definedName name="NXT_KD" localSheetId="15">'[17]In- out '!$M$2</definedName>
    <definedName name="NXT_KD" localSheetId="10">'[17]In- out '!$M$2</definedName>
    <definedName name="NXT_KD" localSheetId="14">'[17]In- out '!$M$2</definedName>
    <definedName name="NXT_KD">'[17]In- out '!$M$2</definedName>
    <definedName name="NXT_MK" localSheetId="7">'[17]In- out '!$C$1</definedName>
    <definedName name="NXT_MK" localSheetId="15">'[17]In- out '!$C$1</definedName>
    <definedName name="NXT_MK" localSheetId="10">'[17]In- out '!$C$1</definedName>
    <definedName name="NXT_MK" localSheetId="14">'[17]In- out '!$C$1</definedName>
    <definedName name="NXT_MK">'[17]In- out '!$C$1</definedName>
    <definedName name="NXT_NC" localSheetId="7">'[17]In- out '!$O$1</definedName>
    <definedName name="NXT_NC" localSheetId="15">'[17]In- out '!$O$1</definedName>
    <definedName name="NXT_NC" localSheetId="10">'[17]In- out '!$O$1</definedName>
    <definedName name="NXT_NC" localSheetId="14">'[17]In- out '!$O$1</definedName>
    <definedName name="NXT_NC">'[17]In- out '!$O$1</definedName>
    <definedName name="NXT_ND" localSheetId="7">'[17]In- out '!$M$1</definedName>
    <definedName name="NXT_ND" localSheetId="15">'[17]In- out '!$M$1</definedName>
    <definedName name="NXT_ND" localSheetId="10">'[17]In- out '!$M$1</definedName>
    <definedName name="NXT_ND" localSheetId="14">'[17]In- out '!$M$1</definedName>
    <definedName name="NXT_ND">'[17]In- out '!$M$1</definedName>
    <definedName name="O.B" localSheetId="7">#REF!</definedName>
    <definedName name="O.B" localSheetId="15">#REF!</definedName>
    <definedName name="O.B" localSheetId="1">#REF!</definedName>
    <definedName name="O.B" localSheetId="18">#REF!</definedName>
    <definedName name="O.B" localSheetId="16">#REF!</definedName>
    <definedName name="O.B" localSheetId="6">#REF!</definedName>
    <definedName name="O.B" localSheetId="5">#REF!</definedName>
    <definedName name="O.B" localSheetId="3">#REF!</definedName>
    <definedName name="O.B" localSheetId="17">#REF!</definedName>
    <definedName name="O.B" localSheetId="8">#REF!</definedName>
    <definedName name="O.B" localSheetId="4">#REF!</definedName>
    <definedName name="O.B" localSheetId="20">#REF!</definedName>
    <definedName name="O.B">#REF!</definedName>
    <definedName name="occupancy" localSheetId="7">#REF!</definedName>
    <definedName name="occupancy" localSheetId="15">#REF!</definedName>
    <definedName name="occupancy" localSheetId="1">#REF!</definedName>
    <definedName name="occupancy" localSheetId="18">#REF!</definedName>
    <definedName name="occupancy" localSheetId="16">#REF!</definedName>
    <definedName name="occupancy" localSheetId="6">#REF!</definedName>
    <definedName name="occupancy" localSheetId="5">#REF!</definedName>
    <definedName name="occupancy" localSheetId="3">#REF!</definedName>
    <definedName name="occupancy" localSheetId="17">#REF!</definedName>
    <definedName name="occupancy" localSheetId="8">#REF!</definedName>
    <definedName name="occupancy" localSheetId="4">#REF!</definedName>
    <definedName name="occupancy" localSheetId="20">#REF!</definedName>
    <definedName name="occupancy">#REF!</definedName>
    <definedName name="office">[55]anaysis_sheet!$A$2:$CV$297</definedName>
    <definedName name="OfficeArea" localSheetId="7">'[56]2. Summary-cash'!#REF!</definedName>
    <definedName name="OfficeArea" localSheetId="15">'[56]2. Summary-cash'!#REF!</definedName>
    <definedName name="OfficeArea" localSheetId="1">'[56]2. Summary-cash'!#REF!</definedName>
    <definedName name="OfficeArea" localSheetId="18">'[56]2. Summary-cash'!#REF!</definedName>
    <definedName name="OfficeArea" localSheetId="16">'[56]2. Summary-cash'!#REF!</definedName>
    <definedName name="OfficeArea" localSheetId="6">'[56]2. Summary-cash'!#REF!</definedName>
    <definedName name="OfficeArea" localSheetId="5">'[56]2. Summary-cash'!#REF!</definedName>
    <definedName name="OfficeArea" localSheetId="3">'[56]2. Summary-cash'!#REF!</definedName>
    <definedName name="OfficeArea" localSheetId="17">'[56]2. Summary-cash'!#REF!</definedName>
    <definedName name="OfficeArea" localSheetId="8">'[56]2. Summary-cash'!#REF!</definedName>
    <definedName name="OfficeArea" localSheetId="4">'[56]2. Summary-cash'!#REF!</definedName>
    <definedName name="OfficeArea" localSheetId="20">'[56]2. Summary-cash'!#REF!</definedName>
    <definedName name="OfficeArea">'[56]2. Summary-cash'!#REF!</definedName>
    <definedName name="ON">"$#REF!.$C$7:$C$28"</definedName>
    <definedName name="OO" localSheetId="7">#REF!</definedName>
    <definedName name="OO" localSheetId="15">#REF!</definedName>
    <definedName name="OO" localSheetId="1">#REF!</definedName>
    <definedName name="OO" localSheetId="18">#REF!</definedName>
    <definedName name="OO" localSheetId="16">#REF!</definedName>
    <definedName name="OO" localSheetId="6">#REF!</definedName>
    <definedName name="OO" localSheetId="10">#REF!</definedName>
    <definedName name="OO" localSheetId="14">#REF!</definedName>
    <definedName name="OO" localSheetId="5">#REF!</definedName>
    <definedName name="OO" localSheetId="3">#REF!</definedName>
    <definedName name="OO" localSheetId="17">#REF!</definedName>
    <definedName name="OO" localSheetId="8">#REF!</definedName>
    <definedName name="OO" localSheetId="4">#REF!</definedName>
    <definedName name="OO" localSheetId="20">#REF!</definedName>
    <definedName name="OO">#REF!</definedName>
    <definedName name="OO_KYKT" localSheetId="7">#REF!</definedName>
    <definedName name="OO_KYKT" localSheetId="15">#REF!</definedName>
    <definedName name="OO_KYKT" localSheetId="1">#REF!</definedName>
    <definedName name="OO_KYKT" localSheetId="18">#REF!</definedName>
    <definedName name="OO_KYKT" localSheetId="16">#REF!</definedName>
    <definedName name="OO_KYKT" localSheetId="6">#REF!</definedName>
    <definedName name="OO_KYKT" localSheetId="10">#REF!</definedName>
    <definedName name="OO_KYKT" localSheetId="14">#REF!</definedName>
    <definedName name="OO_KYKT" localSheetId="5">#REF!</definedName>
    <definedName name="OO_KYKT" localSheetId="3">#REF!</definedName>
    <definedName name="OO_KYKT" localSheetId="17">#REF!</definedName>
    <definedName name="OO_KYKT" localSheetId="8">#REF!</definedName>
    <definedName name="OO_KYKT" localSheetId="4">#REF!</definedName>
    <definedName name="OO_KYKT" localSheetId="20">#REF!</definedName>
    <definedName name="OO_KYKT">#REF!</definedName>
    <definedName name="OO_NGAYCUOIKY" localSheetId="7">#REF!</definedName>
    <definedName name="OO_NGAYCUOIKY" localSheetId="15">#REF!</definedName>
    <definedName name="OO_NGAYCUOIKY" localSheetId="1">#REF!</definedName>
    <definedName name="OO_NGAYCUOIKY" localSheetId="18">#REF!</definedName>
    <definedName name="OO_NGAYCUOIKY" localSheetId="16">#REF!</definedName>
    <definedName name="OO_NGAYCUOIKY" localSheetId="6">#REF!</definedName>
    <definedName name="OO_NGAYCUOIKY" localSheetId="10">#REF!</definedName>
    <definedName name="OO_NGAYCUOIKY" localSheetId="14">#REF!</definedName>
    <definedName name="OO_NGAYCUOIKY" localSheetId="5">#REF!</definedName>
    <definedName name="OO_NGAYCUOIKY" localSheetId="3">#REF!</definedName>
    <definedName name="OO_NGAYCUOIKY" localSheetId="17">#REF!</definedName>
    <definedName name="OO_NGAYCUOIKY" localSheetId="8">#REF!</definedName>
    <definedName name="OO_NGAYCUOIKY" localSheetId="4">#REF!</definedName>
    <definedName name="OO_NGAYCUOIKY" localSheetId="20">#REF!</definedName>
    <definedName name="OO_NGAYCUOIKY">#REF!</definedName>
    <definedName name="OOD" localSheetId="11">#REF!</definedName>
    <definedName name="OOD" localSheetId="7">#REF!</definedName>
    <definedName name="OOD" localSheetId="15">#REF!</definedName>
    <definedName name="OOD" localSheetId="1">#REF!</definedName>
    <definedName name="OOD" localSheetId="18">#REF!</definedName>
    <definedName name="OOD" localSheetId="16">#REF!</definedName>
    <definedName name="OOD" localSheetId="6">#REF!</definedName>
    <definedName name="OOD" localSheetId="10">#REF!</definedName>
    <definedName name="OOD" localSheetId="14">#REF!</definedName>
    <definedName name="OOD" localSheetId="5">#REF!</definedName>
    <definedName name="OOD" localSheetId="3">#REF!</definedName>
    <definedName name="OOD" localSheetId="17">#REF!</definedName>
    <definedName name="OOD" localSheetId="8">#REF!</definedName>
    <definedName name="OOD" localSheetId="4">#REF!</definedName>
    <definedName name="OOD" localSheetId="20">#REF!</definedName>
    <definedName name="OOD">#REF!</definedName>
    <definedName name="osc" localSheetId="7">#REF!</definedName>
    <definedName name="osc" localSheetId="15">#REF!</definedName>
    <definedName name="osc" localSheetId="1">#REF!</definedName>
    <definedName name="osc" localSheetId="18">#REF!</definedName>
    <definedName name="osc" localSheetId="16">#REF!</definedName>
    <definedName name="osc" localSheetId="6">#REF!</definedName>
    <definedName name="osc" localSheetId="3">#REF!</definedName>
    <definedName name="osc" localSheetId="17">#REF!</definedName>
    <definedName name="osc" localSheetId="8">#REF!</definedName>
    <definedName name="osc" localSheetId="4">#REF!</definedName>
    <definedName name="osc" localSheetId="20">#REF!</definedName>
    <definedName name="osc">#REF!</definedName>
    <definedName name="othcurr" localSheetId="7">'[10]page 6'!#REF!</definedName>
    <definedName name="othcurr" localSheetId="15">'[10]page 6'!#REF!</definedName>
    <definedName name="othcurr" localSheetId="1">'[10]page 6'!#REF!</definedName>
    <definedName name="othcurr" localSheetId="18">'[10]page 6'!#REF!</definedName>
    <definedName name="othcurr" localSheetId="16">'[10]page 6'!#REF!</definedName>
    <definedName name="othcurr" localSheetId="6">'[10]page 6'!#REF!</definedName>
    <definedName name="othcurr" localSheetId="5">'[10]page 6'!#REF!</definedName>
    <definedName name="othcurr" localSheetId="3">'[10]page 6'!#REF!</definedName>
    <definedName name="othcurr" localSheetId="17">'[10]page 6'!#REF!</definedName>
    <definedName name="othcurr" localSheetId="8">'[10]page 6'!#REF!</definedName>
    <definedName name="othcurr" localSheetId="4">'[10]page 6'!#REF!</definedName>
    <definedName name="othcurr" localSheetId="20">'[10]page 6'!#REF!</definedName>
    <definedName name="othcurr">'[10]page 6'!#REF!</definedName>
    <definedName name="OTHER_PANEL" localSheetId="7">'[48]NEW-PANEL'!#REF!</definedName>
    <definedName name="OTHER_PANEL" localSheetId="15">'[48]NEW-PANEL'!#REF!</definedName>
    <definedName name="OTHER_PANEL" localSheetId="1">'[48]NEW-PANEL'!#REF!</definedName>
    <definedName name="OTHER_PANEL" localSheetId="18">'[48]NEW-PANEL'!#REF!</definedName>
    <definedName name="OTHER_PANEL" localSheetId="16">'[48]NEW-PANEL'!#REF!</definedName>
    <definedName name="OTHER_PANEL" localSheetId="6">'[48]NEW-PANEL'!#REF!</definedName>
    <definedName name="OTHER_PANEL" localSheetId="5">'[48]NEW-PANEL'!#REF!</definedName>
    <definedName name="OTHER_PANEL" localSheetId="3">'[48]NEW-PANEL'!#REF!</definedName>
    <definedName name="OTHER_PANEL" localSheetId="17">'[48]NEW-PANEL'!#REF!</definedName>
    <definedName name="OTHER_PANEL" localSheetId="8">'[48]NEW-PANEL'!#REF!</definedName>
    <definedName name="OTHER_PANEL" localSheetId="4">'[48]NEW-PANEL'!#REF!</definedName>
    <definedName name="OTHER_PANEL" localSheetId="20">'[48]NEW-PANEL'!#REF!</definedName>
    <definedName name="OTHER_PANEL">'[48]NEW-PANEL'!#REF!</definedName>
    <definedName name="Outpayab">"$#REF!.$AL$2:$BA$59"</definedName>
    <definedName name="PA1_Rate" localSheetId="7">#REF!</definedName>
    <definedName name="PA1_Rate" localSheetId="15">#REF!</definedName>
    <definedName name="PA1_Rate" localSheetId="1">#REF!</definedName>
    <definedName name="PA1_Rate" localSheetId="18">#REF!</definedName>
    <definedName name="PA1_Rate" localSheetId="16">#REF!</definedName>
    <definedName name="PA1_Rate" localSheetId="6">#REF!</definedName>
    <definedName name="PA1_Rate" localSheetId="5">#REF!</definedName>
    <definedName name="PA1_Rate" localSheetId="3">#REF!</definedName>
    <definedName name="PA1_Rate" localSheetId="17">#REF!</definedName>
    <definedName name="PA1_Rate" localSheetId="8">#REF!</definedName>
    <definedName name="PA1_Rate" localSheetId="4">#REF!</definedName>
    <definedName name="PA1_Rate" localSheetId="20">#REF!</definedName>
    <definedName name="PA1_Rate">#REF!</definedName>
    <definedName name="page1">"$#REF!.$A$1:$R$369"</definedName>
    <definedName name="page1f">"'file:///A:/iaofsm-m/2000 Fcst/649 (12+0)/Cash Flow/nm_cash2000_649.xls'#$'NM Cash SUMMARY'.$#REF!$#REF!:$#REF!$#REF!"</definedName>
    <definedName name="page2">"$#REF!.$S$1:$AH$112"</definedName>
    <definedName name="page3">"$#REF!.$A$7:$B$31;'smb://Stsai2/share/97bp/Engineer/pdtarg5.xls'#$Baseline.$#REF!$#REF!;'smb://Stsai2/share/97bp/Engineer/pdtarg5.xls'#$Baseline.$N$3:$R$31"</definedName>
    <definedName name="page4">"$#REF!.$AK$1:$AZ$57"</definedName>
    <definedName name="password_entry_Change" localSheetId="7">'2018-2022'!password_entry_Change</definedName>
    <definedName name="password_entry_Change" localSheetId="15">'2018-2022 SF'!password_entry_Change</definedName>
    <definedName name="password_entry_Change" localSheetId="16">B!password_entry_Change</definedName>
    <definedName name="password_entry_Change" localSheetId="5">[17]!password_entry_Change</definedName>
    <definedName name="password_entry_Change" localSheetId="3">[17]!password_entry_Change</definedName>
    <definedName name="password_entry_Change" localSheetId="17">[17]!password_entry_Change</definedName>
    <definedName name="password_entry_Change" localSheetId="8">[17]!password_entry_Change</definedName>
    <definedName name="password_entry_Change" localSheetId="4">Reconciliation!password_entry_Change</definedName>
    <definedName name="password_entry_Change" localSheetId="2">'Summary 2018 - MF'!password_entry_Change</definedName>
    <definedName name="password_entry_Change">[0]!password_entry_Change</definedName>
    <definedName name="password_entry_Change_10" localSheetId="7">'2018-2022'!password_entry_Change_10</definedName>
    <definedName name="password_entry_Change_10" localSheetId="15">'2018-2022 SF'!password_entry_Change_10</definedName>
    <definedName name="password_entry_Change_10" localSheetId="16">B!password_entry_Change_10</definedName>
    <definedName name="password_entry_Change_10" localSheetId="5">[17]!password_entry_Change_10</definedName>
    <definedName name="password_entry_Change_10" localSheetId="3">[17]!password_entry_Change_10</definedName>
    <definedName name="password_entry_Change_10" localSheetId="17">[17]!password_entry_Change_10</definedName>
    <definedName name="password_entry_Change_10" localSheetId="8">[17]!password_entry_Change_10</definedName>
    <definedName name="password_entry_Change_10" localSheetId="4">Reconciliation!password_entry_Change_10</definedName>
    <definedName name="password_entry_Change_10" localSheetId="2">'Summary 2018 - MF'!password_entry_Change_10</definedName>
    <definedName name="password_entry_Change_10">[0]!password_entry_Change_10</definedName>
    <definedName name="PayMonthCol" localSheetId="7">#REF!</definedName>
    <definedName name="PayMonthCol" localSheetId="15">#REF!</definedName>
    <definedName name="PayMonthCol" localSheetId="1">#REF!</definedName>
    <definedName name="PayMonthCol" localSheetId="18">#REF!</definedName>
    <definedName name="PayMonthCol" localSheetId="16">#REF!</definedName>
    <definedName name="PayMonthCol" localSheetId="6">#REF!</definedName>
    <definedName name="PayMonthCol" localSheetId="5">#REF!</definedName>
    <definedName name="PayMonthCol" localSheetId="3">#REF!</definedName>
    <definedName name="PayMonthCol" localSheetId="17">#REF!</definedName>
    <definedName name="PayMonthCol" localSheetId="8">#REF!</definedName>
    <definedName name="PayMonthCol" localSheetId="4">#REF!</definedName>
    <definedName name="PayMonthCol" localSheetId="20">#REF!</definedName>
    <definedName name="PayMonthCol">#REF!</definedName>
    <definedName name="pbccn" localSheetId="7">#REF!</definedName>
    <definedName name="pbccn" localSheetId="15">#REF!</definedName>
    <definedName name="pbccn" localSheetId="1">#REF!</definedName>
    <definedName name="pbccn" localSheetId="18">#REF!</definedName>
    <definedName name="pbccn" localSheetId="16">#REF!</definedName>
    <definedName name="pbccn" localSheetId="6">#REF!</definedName>
    <definedName name="pbccn" localSheetId="3">#REF!</definedName>
    <definedName name="pbccn" localSheetId="17">#REF!</definedName>
    <definedName name="pbccn" localSheetId="8">#REF!</definedName>
    <definedName name="pbccn" localSheetId="4">#REF!</definedName>
    <definedName name="pbccn" localSheetId="20">#REF!</definedName>
    <definedName name="pbccn">#REF!</definedName>
    <definedName name="pbcct" localSheetId="7">#REF!</definedName>
    <definedName name="pbcct" localSheetId="15">#REF!</definedName>
    <definedName name="pbcct" localSheetId="1">#REF!</definedName>
    <definedName name="pbcct" localSheetId="18">#REF!</definedName>
    <definedName name="pbcct" localSheetId="16">#REF!</definedName>
    <definedName name="pbcct" localSheetId="6">#REF!</definedName>
    <definedName name="pbcct" localSheetId="3">#REF!</definedName>
    <definedName name="pbcct" localSheetId="17">#REF!</definedName>
    <definedName name="pbcct" localSheetId="8">#REF!</definedName>
    <definedName name="pbcct" localSheetId="4">#REF!</definedName>
    <definedName name="pbcct" localSheetId="20">#REF!</definedName>
    <definedName name="pbcct">#REF!</definedName>
    <definedName name="PC" localSheetId="7">#REF!</definedName>
    <definedName name="PC" localSheetId="15">#REF!</definedName>
    <definedName name="PC" localSheetId="1">#REF!</definedName>
    <definedName name="PC" localSheetId="18">#REF!</definedName>
    <definedName name="PC" localSheetId="16">#REF!</definedName>
    <definedName name="PC" localSheetId="6">#REF!</definedName>
    <definedName name="PC" localSheetId="3">#REF!</definedName>
    <definedName name="PC" localSheetId="17">#REF!</definedName>
    <definedName name="PC" localSheetId="8">#REF!</definedName>
    <definedName name="PC" localSheetId="4">#REF!</definedName>
    <definedName name="PC" localSheetId="20">#REF!</definedName>
    <definedName name="PC">#REF!</definedName>
    <definedName name="PCSQ" localSheetId="7">#REF!</definedName>
    <definedName name="PCSQ" localSheetId="15">#REF!</definedName>
    <definedName name="PCSQ" localSheetId="1">#REF!</definedName>
    <definedName name="PCSQ" localSheetId="18">#REF!</definedName>
    <definedName name="PCSQ" localSheetId="16">#REF!</definedName>
    <definedName name="PCSQ" localSheetId="6">#REF!</definedName>
    <definedName name="PCSQ" localSheetId="3">#REF!</definedName>
    <definedName name="PCSQ" localSheetId="17">#REF!</definedName>
    <definedName name="PCSQ" localSheetId="8">#REF!</definedName>
    <definedName name="PCSQ" localSheetId="4">#REF!</definedName>
    <definedName name="PCSQ" localSheetId="20">#REF!</definedName>
    <definedName name="PCSQ">#REF!</definedName>
    <definedName name="pdcsegment">"$#REF!.$#REF!$#REF!:$#REF!$#REF!"</definedName>
    <definedName name="People">[47]People!$A$1:$K$126</definedName>
    <definedName name="PersonelGrowthRate2002_2003" localSheetId="7">#REF!</definedName>
    <definedName name="PersonelGrowthRate2002_2003" localSheetId="15">#REF!</definedName>
    <definedName name="PersonelGrowthRate2002_2003" localSheetId="1">#REF!</definedName>
    <definedName name="PersonelGrowthRate2002_2003" localSheetId="18">#REF!</definedName>
    <definedName name="PersonelGrowthRate2002_2003" localSheetId="16">#REF!</definedName>
    <definedName name="PersonelGrowthRate2002_2003" localSheetId="6">#REF!</definedName>
    <definedName name="PersonelGrowthRate2002_2003" localSheetId="5">#REF!</definedName>
    <definedName name="PersonelGrowthRate2002_2003" localSheetId="3">#REF!</definedName>
    <definedName name="PersonelGrowthRate2002_2003" localSheetId="17">#REF!</definedName>
    <definedName name="PersonelGrowthRate2002_2003" localSheetId="8">#REF!</definedName>
    <definedName name="PersonelGrowthRate2002_2003" localSheetId="4">#REF!</definedName>
    <definedName name="PersonelGrowthRate2002_2003" localSheetId="20">#REF!</definedName>
    <definedName name="PersonelGrowthRate2002_2003">#REF!</definedName>
    <definedName name="Phaàn_VIEÄC_THI_COÂNG__OÁng_caáp_thoaùt_nöôùc" localSheetId="7">[57]Sheet3!#REF!</definedName>
    <definedName name="Phaàn_VIEÄC_THI_COÂNG__OÁng_caáp_thoaùt_nöôùc" localSheetId="15">[57]Sheet3!#REF!</definedName>
    <definedName name="Phaàn_VIEÄC_THI_COÂNG__OÁng_caáp_thoaùt_nöôùc" localSheetId="1">[57]Sheet3!#REF!</definedName>
    <definedName name="Phaàn_VIEÄC_THI_COÂNG__OÁng_caáp_thoaùt_nöôùc" localSheetId="18">[57]Sheet3!#REF!</definedName>
    <definedName name="Phaàn_VIEÄC_THI_COÂNG__OÁng_caáp_thoaùt_nöôùc" localSheetId="16">[57]Sheet3!#REF!</definedName>
    <definedName name="Phaàn_VIEÄC_THI_COÂNG__OÁng_caáp_thoaùt_nöôùc" localSheetId="6">[57]Sheet3!#REF!</definedName>
    <definedName name="Phaàn_VIEÄC_THI_COÂNG__OÁng_caáp_thoaùt_nöôùc" localSheetId="5">[57]Sheet3!#REF!</definedName>
    <definedName name="Phaàn_VIEÄC_THI_COÂNG__OÁng_caáp_thoaùt_nöôùc" localSheetId="3">[57]Sheet3!#REF!</definedName>
    <definedName name="Phaàn_VIEÄC_THI_COÂNG__OÁng_caáp_thoaùt_nöôùc" localSheetId="17">[57]Sheet3!#REF!</definedName>
    <definedName name="Phaàn_VIEÄC_THI_COÂNG__OÁng_caáp_thoaùt_nöôùc" localSheetId="8">[57]Sheet3!#REF!</definedName>
    <definedName name="Phaàn_VIEÄC_THI_COÂNG__OÁng_caáp_thoaùt_nöôùc" localSheetId="4">[57]Sheet3!#REF!</definedName>
    <definedName name="Phaàn_VIEÄC_THI_COÂNG__OÁng_caáp_thoaùt_nöôùc" localSheetId="20">[57]Sheet3!#REF!</definedName>
    <definedName name="Phaàn_VIEÄC_THI_COÂNG__OÁng_caáp_thoaùt_nöôùc">[57]Sheet3!#REF!</definedName>
    <definedName name="phuong" localSheetId="7">#REF!</definedName>
    <definedName name="phuong" localSheetId="15">#REF!</definedName>
    <definedName name="phuong" localSheetId="1">#REF!</definedName>
    <definedName name="phuong" localSheetId="18">#REF!</definedName>
    <definedName name="phuong" localSheetId="16">#REF!</definedName>
    <definedName name="phuong" localSheetId="6">#REF!</definedName>
    <definedName name="phuong" localSheetId="5">#REF!</definedName>
    <definedName name="phuong" localSheetId="3">#REF!</definedName>
    <definedName name="phuong" localSheetId="17">#REF!</definedName>
    <definedName name="phuong" localSheetId="8">#REF!</definedName>
    <definedName name="phuong" localSheetId="4">#REF!</definedName>
    <definedName name="phuong" localSheetId="20">#REF!</definedName>
    <definedName name="phuong">#REF!</definedName>
    <definedName name="pl" localSheetId="7">#REF!</definedName>
    <definedName name="pl" localSheetId="15">#REF!</definedName>
    <definedName name="pl" localSheetId="1">#REF!</definedName>
    <definedName name="pl" localSheetId="18">#REF!</definedName>
    <definedName name="pl" localSheetId="16">#REF!</definedName>
    <definedName name="pl" localSheetId="6">#REF!</definedName>
    <definedName name="pl" localSheetId="5">#REF!</definedName>
    <definedName name="pl" localSheetId="3">#REF!</definedName>
    <definedName name="pl" localSheetId="17">#REF!</definedName>
    <definedName name="pl" localSheetId="8">#REF!</definedName>
    <definedName name="pl" localSheetId="4">#REF!</definedName>
    <definedName name="pl" localSheetId="20">#REF!</definedName>
    <definedName name="pl">#REF!</definedName>
    <definedName name="PL_USD" localSheetId="11">#REF!</definedName>
    <definedName name="PL_USD" localSheetId="7">#REF!</definedName>
    <definedName name="PL_USD" localSheetId="15">#REF!</definedName>
    <definedName name="PL_USD" localSheetId="1">#REF!</definedName>
    <definedName name="PL_USD" localSheetId="18">#REF!</definedName>
    <definedName name="PL_USD" localSheetId="16">#REF!</definedName>
    <definedName name="PL_USD" localSheetId="6">#REF!</definedName>
    <definedName name="PL_USD" localSheetId="10">#REF!</definedName>
    <definedName name="PL_USD" localSheetId="14">#REF!</definedName>
    <definedName name="PL_USD" localSheetId="5">#REF!</definedName>
    <definedName name="PL_USD" localSheetId="3">#REF!</definedName>
    <definedName name="PL_USD" localSheetId="17">#REF!</definedName>
    <definedName name="PL_USD" localSheetId="8">#REF!</definedName>
    <definedName name="PL_USD" localSheetId="4">#REF!</definedName>
    <definedName name="PL_USD" localSheetId="20">#REF!</definedName>
    <definedName name="PL_USD">#REF!</definedName>
    <definedName name="PL_指示燈___P.B.___REST_P.B._壓扣開關" localSheetId="7">'[48]NEW-PANEL'!#REF!</definedName>
    <definedName name="PL_指示燈___P.B.___REST_P.B._壓扣開關" localSheetId="15">'[48]NEW-PANEL'!#REF!</definedName>
    <definedName name="PL_指示燈___P.B.___REST_P.B._壓扣開關" localSheetId="1">'[48]NEW-PANEL'!#REF!</definedName>
    <definedName name="PL_指示燈___P.B.___REST_P.B._壓扣開關" localSheetId="18">'[48]NEW-PANEL'!#REF!</definedName>
    <definedName name="PL_指示燈___P.B.___REST_P.B._壓扣開關" localSheetId="16">'[48]NEW-PANEL'!#REF!</definedName>
    <definedName name="PL_指示燈___P.B.___REST_P.B._壓扣開關" localSheetId="6">'[48]NEW-PANEL'!#REF!</definedName>
    <definedName name="PL_指示燈___P.B.___REST_P.B._壓扣開關" localSheetId="5">'[48]NEW-PANEL'!#REF!</definedName>
    <definedName name="PL_指示燈___P.B.___REST_P.B._壓扣開關" localSheetId="3">'[48]NEW-PANEL'!#REF!</definedName>
    <definedName name="PL_指示燈___P.B.___REST_P.B._壓扣開關" localSheetId="17">'[48]NEW-PANEL'!#REF!</definedName>
    <definedName name="PL_指示燈___P.B.___REST_P.B._壓扣開關" localSheetId="8">'[48]NEW-PANEL'!#REF!</definedName>
    <definedName name="PL_指示燈___P.B.___REST_P.B._壓扣開關" localSheetId="4">'[48]NEW-PANEL'!#REF!</definedName>
    <definedName name="PL_指示燈___P.B.___REST_P.B._壓扣開關" localSheetId="20">'[48]NEW-PANEL'!#REF!</definedName>
    <definedName name="PL_指示燈___P.B.___REST_P.B._壓扣開關">'[48]NEW-PANEL'!#REF!</definedName>
    <definedName name="PLCode" localSheetId="7">'[16]Trial balance'!#REF!</definedName>
    <definedName name="PLCode" localSheetId="15">'[16]Trial balance'!#REF!</definedName>
    <definedName name="PLCode" localSheetId="1">'[16]Trial balance'!#REF!</definedName>
    <definedName name="PLCode" localSheetId="18">'[16]Trial balance'!#REF!</definedName>
    <definedName name="PLCode" localSheetId="16">'[16]Trial balance'!#REF!</definedName>
    <definedName name="PLCode" localSheetId="6">'[16]Trial balance'!#REF!</definedName>
    <definedName name="PLCode" localSheetId="5">'[16]Trial balance'!#REF!</definedName>
    <definedName name="PLCode" localSheetId="3">'[16]Trial balance'!#REF!</definedName>
    <definedName name="PLCode" localSheetId="17">'[16]Trial balance'!#REF!</definedName>
    <definedName name="PLCode" localSheetId="8">'[16]Trial balance'!#REF!</definedName>
    <definedName name="PLCode" localSheetId="4">'[16]Trial balance'!#REF!</definedName>
    <definedName name="PLCode" localSheetId="20">'[16]Trial balance'!#REF!</definedName>
    <definedName name="PLCode">'[16]Trial balance'!#REF!</definedName>
    <definedName name="PLCode_6" localSheetId="7">#REF!</definedName>
    <definedName name="PLCode_6" localSheetId="15">#REF!</definedName>
    <definedName name="PLCode_6" localSheetId="1">#REF!</definedName>
    <definedName name="PLCode_6" localSheetId="18">#REF!</definedName>
    <definedName name="PLCode_6" localSheetId="16">#REF!</definedName>
    <definedName name="PLCode_6" localSheetId="6">#REF!</definedName>
    <definedName name="PLCode_6" localSheetId="5">#REF!</definedName>
    <definedName name="PLCode_6" localSheetId="3">#REF!</definedName>
    <definedName name="PLCode_6" localSheetId="17">#REF!</definedName>
    <definedName name="PLCode_6" localSheetId="8">#REF!</definedName>
    <definedName name="PLCode_6" localSheetId="4">#REF!</definedName>
    <definedName name="PLCode_6" localSheetId="20">#REF!</definedName>
    <definedName name="PLCode_6">#REF!</definedName>
    <definedName name="PLCr" localSheetId="7">'[16]Trial balance'!#REF!</definedName>
    <definedName name="PLCr" localSheetId="15">'[16]Trial balance'!#REF!</definedName>
    <definedName name="PLCr" localSheetId="1">'[16]Trial balance'!#REF!</definedName>
    <definedName name="PLCr" localSheetId="18">'[16]Trial balance'!#REF!</definedName>
    <definedName name="PLCr" localSheetId="16">'[16]Trial balance'!#REF!</definedName>
    <definedName name="PLCr" localSheetId="6">'[16]Trial balance'!#REF!</definedName>
    <definedName name="PLCr" localSheetId="5">'[16]Trial balance'!#REF!</definedName>
    <definedName name="PLCr" localSheetId="3">'[16]Trial balance'!#REF!</definedName>
    <definedName name="PLCr" localSheetId="17">'[16]Trial balance'!#REF!</definedName>
    <definedName name="PLCr" localSheetId="8">'[16]Trial balance'!#REF!</definedName>
    <definedName name="PLCr" localSheetId="4">'[16]Trial balance'!#REF!</definedName>
    <definedName name="PLCr" localSheetId="20">'[16]Trial balance'!#REF!</definedName>
    <definedName name="PLCr">'[16]Trial balance'!#REF!</definedName>
    <definedName name="PLCr_6" localSheetId="7">#REF!</definedName>
    <definedName name="PLCr_6" localSheetId="15">#REF!</definedName>
    <definedName name="PLCr_6" localSheetId="1">#REF!</definedName>
    <definedName name="PLCr_6" localSheetId="18">#REF!</definedName>
    <definedName name="PLCr_6" localSheetId="16">#REF!</definedName>
    <definedName name="PLCr_6" localSheetId="6">#REF!</definedName>
    <definedName name="PLCr_6" localSheetId="5">#REF!</definedName>
    <definedName name="PLCr_6" localSheetId="3">#REF!</definedName>
    <definedName name="PLCr_6" localSheetId="17">#REF!</definedName>
    <definedName name="PLCr_6" localSheetId="8">#REF!</definedName>
    <definedName name="PLCr_6" localSheetId="4">#REF!</definedName>
    <definedName name="PLCr_6" localSheetId="20">#REF!</definedName>
    <definedName name="PLCr_6">#REF!</definedName>
    <definedName name="PLDr" localSheetId="7">#REF!</definedName>
    <definedName name="PLDr" localSheetId="15">#REF!</definedName>
    <definedName name="PLDr" localSheetId="1">#REF!</definedName>
    <definedName name="PLDr" localSheetId="18">#REF!</definedName>
    <definedName name="PLDr" localSheetId="16">#REF!</definedName>
    <definedName name="PLDr" localSheetId="6">#REF!</definedName>
    <definedName name="PLDr" localSheetId="5">#REF!</definedName>
    <definedName name="PLDr" localSheetId="3">#REF!</definedName>
    <definedName name="PLDr" localSheetId="17">#REF!</definedName>
    <definedName name="PLDr" localSheetId="8">#REF!</definedName>
    <definedName name="PLDr" localSheetId="4">#REF!</definedName>
    <definedName name="PLDr" localSheetId="20">#REF!</definedName>
    <definedName name="PLDr">#REF!</definedName>
    <definedName name="PLDr_6" localSheetId="7">#REF!</definedName>
    <definedName name="PLDr_6" localSheetId="15">#REF!</definedName>
    <definedName name="PLDr_6" localSheetId="1">#REF!</definedName>
    <definedName name="PLDr_6" localSheetId="18">#REF!</definedName>
    <definedName name="PLDr_6" localSheetId="16">#REF!</definedName>
    <definedName name="PLDr_6" localSheetId="6">#REF!</definedName>
    <definedName name="PLDr_6" localSheetId="5">#REF!</definedName>
    <definedName name="PLDr_6" localSheetId="3">#REF!</definedName>
    <definedName name="PLDr_6" localSheetId="17">#REF!</definedName>
    <definedName name="PLDr_6" localSheetId="8">#REF!</definedName>
    <definedName name="PLDr_6" localSheetId="4">#REF!</definedName>
    <definedName name="PLDr_6" localSheetId="20">#REF!</definedName>
    <definedName name="PLDr_6">#REF!</definedName>
    <definedName name="PLFC" localSheetId="7">#REF!</definedName>
    <definedName name="PLFC" localSheetId="15">#REF!</definedName>
    <definedName name="PLFC" localSheetId="1">#REF!</definedName>
    <definedName name="PLFC" localSheetId="18">#REF!</definedName>
    <definedName name="PLFC" localSheetId="16">#REF!</definedName>
    <definedName name="PLFC" localSheetId="6">#REF!</definedName>
    <definedName name="PLFC" localSheetId="5">#REF!</definedName>
    <definedName name="PLFC" localSheetId="3">#REF!</definedName>
    <definedName name="PLFC" localSheetId="17">#REF!</definedName>
    <definedName name="PLFC" localSheetId="8">#REF!</definedName>
    <definedName name="PLFC" localSheetId="4">#REF!</definedName>
    <definedName name="PLFC" localSheetId="20">#REF!</definedName>
    <definedName name="PLFC">#REF!</definedName>
    <definedName name="PLST" localSheetId="7">#REF!</definedName>
    <definedName name="PLST" localSheetId="15">#REF!</definedName>
    <definedName name="PLST" localSheetId="1">#REF!</definedName>
    <definedName name="PLST" localSheetId="18">#REF!</definedName>
    <definedName name="PLST" localSheetId="16">#REF!</definedName>
    <definedName name="PLST" localSheetId="6">#REF!</definedName>
    <definedName name="PLST" localSheetId="5">#REF!</definedName>
    <definedName name="PLST" localSheetId="3">#REF!</definedName>
    <definedName name="PLST" localSheetId="17">#REF!</definedName>
    <definedName name="PLST" localSheetId="8">#REF!</definedName>
    <definedName name="PLST" localSheetId="4">#REF!</definedName>
    <definedName name="PLST" localSheetId="20">#REF!</definedName>
    <definedName name="PLST">#REF!</definedName>
    <definedName name="PM">[58]IBASE!$AH$16:$AV$110</definedName>
    <definedName name="PM_Rate" localSheetId="7">#REF!</definedName>
    <definedName name="PM_Rate" localSheetId="15">#REF!</definedName>
    <definedName name="PM_Rate" localSheetId="1">#REF!</definedName>
    <definedName name="PM_Rate" localSheetId="18">#REF!</definedName>
    <definedName name="PM_Rate" localSheetId="16">#REF!</definedName>
    <definedName name="PM_Rate" localSheetId="6">#REF!</definedName>
    <definedName name="PM_Rate" localSheetId="5">#REF!</definedName>
    <definedName name="PM_Rate" localSheetId="3">#REF!</definedName>
    <definedName name="PM_Rate" localSheetId="17">#REF!</definedName>
    <definedName name="PM_Rate" localSheetId="8">#REF!</definedName>
    <definedName name="PM_Rate" localSheetId="4">#REF!</definedName>
    <definedName name="PM_Rate" localSheetId="20">#REF!</definedName>
    <definedName name="PM_Rate">#REF!</definedName>
    <definedName name="PMH" localSheetId="11">#REF!</definedName>
    <definedName name="PMH" localSheetId="7">#REF!</definedName>
    <definedName name="PMH" localSheetId="15">#REF!</definedName>
    <definedName name="PMH" localSheetId="1">#REF!</definedName>
    <definedName name="PMH" localSheetId="18">#REF!</definedName>
    <definedName name="PMH" localSheetId="16">#REF!</definedName>
    <definedName name="PMH" localSheetId="6">#REF!</definedName>
    <definedName name="PMH" localSheetId="3">#REF!</definedName>
    <definedName name="PMH" localSheetId="17">#REF!</definedName>
    <definedName name="PMH" localSheetId="8">#REF!</definedName>
    <definedName name="PMH" localSheetId="4">#REF!</definedName>
    <definedName name="PMH" localSheetId="20">#REF!</definedName>
    <definedName name="PMH">#REF!</definedName>
    <definedName name="PMHT" localSheetId="7">#REF!</definedName>
    <definedName name="PMHT" localSheetId="15">#REF!</definedName>
    <definedName name="PMHT" localSheetId="1">#REF!</definedName>
    <definedName name="PMHT" localSheetId="18">#REF!</definedName>
    <definedName name="PMHT" localSheetId="16">#REF!</definedName>
    <definedName name="PMHT" localSheetId="6">#REF!</definedName>
    <definedName name="PMHT" localSheetId="5">#REF!</definedName>
    <definedName name="PMHT" localSheetId="3">#REF!</definedName>
    <definedName name="PMHT" localSheetId="17">#REF!</definedName>
    <definedName name="PMHT" localSheetId="8">#REF!</definedName>
    <definedName name="PMHT" localSheetId="4">#REF!</definedName>
    <definedName name="PMHT" localSheetId="20">#REF!</definedName>
    <definedName name="PMHT">#REF!</definedName>
    <definedName name="PMHT_ST" localSheetId="7">#REF!</definedName>
    <definedName name="PMHT_ST" localSheetId="15">#REF!</definedName>
    <definedName name="PMHT_ST" localSheetId="1">#REF!</definedName>
    <definedName name="PMHT_ST" localSheetId="18">#REF!</definedName>
    <definedName name="PMHT_ST" localSheetId="16">#REF!</definedName>
    <definedName name="PMHT_ST" localSheetId="6">#REF!</definedName>
    <definedName name="PMHT_ST" localSheetId="5">#REF!</definedName>
    <definedName name="PMHT_ST" localSheetId="3">#REF!</definedName>
    <definedName name="PMHT_ST" localSheetId="17">#REF!</definedName>
    <definedName name="PMHT_ST" localSheetId="8">#REF!</definedName>
    <definedName name="PMHT_ST" localSheetId="4">#REF!</definedName>
    <definedName name="PMHT_ST" localSheetId="20">#REF!</definedName>
    <definedName name="PMHT_ST">#REF!</definedName>
    <definedName name="PMLineBase">"$#REF!.$X$5"</definedName>
    <definedName name="PPAScore" localSheetId="7">#REF!</definedName>
    <definedName name="PPAScore" localSheetId="15">#REF!</definedName>
    <definedName name="PPAScore" localSheetId="1">#REF!</definedName>
    <definedName name="PPAScore" localSheetId="18">#REF!</definedName>
    <definedName name="PPAScore" localSheetId="16">#REF!</definedName>
    <definedName name="PPAScore" localSheetId="6">#REF!</definedName>
    <definedName name="PPAScore" localSheetId="5">#REF!</definedName>
    <definedName name="PPAScore" localSheetId="3">#REF!</definedName>
    <definedName name="PPAScore" localSheetId="17">#REF!</definedName>
    <definedName name="PPAScore" localSheetId="8">#REF!</definedName>
    <definedName name="PPAScore" localSheetId="4">#REF!</definedName>
    <definedName name="PPAScore" localSheetId="20">#REF!</definedName>
    <definedName name="PPAScore">#REF!</definedName>
    <definedName name="Presale1" localSheetId="7">#REF!</definedName>
    <definedName name="Presale1" localSheetId="15">#REF!</definedName>
    <definedName name="Presale1" localSheetId="1">#REF!</definedName>
    <definedName name="Presale1" localSheetId="18">#REF!</definedName>
    <definedName name="Presale1" localSheetId="16">#REF!</definedName>
    <definedName name="Presale1" localSheetId="6">#REF!</definedName>
    <definedName name="Presale1" localSheetId="5">#REF!</definedName>
    <definedName name="Presale1" localSheetId="3">#REF!</definedName>
    <definedName name="Presale1" localSheetId="17">#REF!</definedName>
    <definedName name="Presale1" localSheetId="8">#REF!</definedName>
    <definedName name="Presale1" localSheetId="4">#REF!</definedName>
    <definedName name="Presale1" localSheetId="20">#REF!</definedName>
    <definedName name="Presale1">#REF!</definedName>
    <definedName name="Presale2" localSheetId="7">#REF!</definedName>
    <definedName name="Presale2" localSheetId="15">#REF!</definedName>
    <definedName name="Presale2" localSheetId="1">#REF!</definedName>
    <definedName name="Presale2" localSheetId="18">#REF!</definedName>
    <definedName name="Presale2" localSheetId="16">#REF!</definedName>
    <definedName name="Presale2" localSheetId="6">#REF!</definedName>
    <definedName name="Presale2" localSheetId="5">#REF!</definedName>
    <definedName name="Presale2" localSheetId="3">#REF!</definedName>
    <definedName name="Presale2" localSheetId="17">#REF!</definedName>
    <definedName name="Presale2" localSheetId="8">#REF!</definedName>
    <definedName name="Presale2" localSheetId="4">#REF!</definedName>
    <definedName name="Presale2" localSheetId="20">#REF!</definedName>
    <definedName name="Presale2">#REF!</definedName>
    <definedName name="present">"$#REF!.$B$1"</definedName>
    <definedName name="PRICE" localSheetId="7">#REF!</definedName>
    <definedName name="PRICE" localSheetId="15">#REF!</definedName>
    <definedName name="PRICE" localSheetId="1">#REF!</definedName>
    <definedName name="PRICE" localSheetId="18">#REF!</definedName>
    <definedName name="PRICE" localSheetId="16">#REF!</definedName>
    <definedName name="PRICE" localSheetId="6">#REF!</definedName>
    <definedName name="PRICE" localSheetId="3">#REF!</definedName>
    <definedName name="PRICE" localSheetId="17">#REF!</definedName>
    <definedName name="PRICE" localSheetId="8">#REF!</definedName>
    <definedName name="PRICE" localSheetId="4">#REF!</definedName>
    <definedName name="PRICE" localSheetId="20">#REF!</definedName>
    <definedName name="PRICE">#REF!</definedName>
    <definedName name="PRICE1" localSheetId="7">#REF!</definedName>
    <definedName name="PRICE1" localSheetId="15">#REF!</definedName>
    <definedName name="PRICE1" localSheetId="1">#REF!</definedName>
    <definedName name="PRICE1" localSheetId="18">#REF!</definedName>
    <definedName name="PRICE1" localSheetId="16">#REF!</definedName>
    <definedName name="PRICE1" localSheetId="6">#REF!</definedName>
    <definedName name="PRICE1" localSheetId="3">#REF!</definedName>
    <definedName name="PRICE1" localSheetId="17">#REF!</definedName>
    <definedName name="PRICE1" localSheetId="8">#REF!</definedName>
    <definedName name="PRICE1" localSheetId="4">#REF!</definedName>
    <definedName name="PRICE1" localSheetId="20">#REF!</definedName>
    <definedName name="PRICE1">#REF!</definedName>
    <definedName name="prindustry">"$#REF!.$#REF!$#REF!:$#REF!$#REF!"</definedName>
    <definedName name="_xlnm.Print_Area" localSheetId="11">'2017- APPROVED STAFF COST'!$A$1:$AF$71</definedName>
    <definedName name="_xlnm.Print_Area" localSheetId="7">'2018-2022'!$A$1:$I$145</definedName>
    <definedName name="_xlnm.Print_Area" localSheetId="15">'2018-2022 SF'!$A$1:$AB$67</definedName>
    <definedName name="_xlnm.Print_Area" localSheetId="1">A!$A$1:$U$46</definedName>
    <definedName name="_xlnm.Print_Area" localSheetId="0">AB!$A$1:$U$46</definedName>
    <definedName name="_xlnm.Print_Area" localSheetId="16">B!$A$1:$U$46</definedName>
    <definedName name="_xlnm.Print_Area" localSheetId="9">'Cashflow - MF'!$A$1:$T$159</definedName>
    <definedName name="_xlnm.Print_Area" localSheetId="6">'Depreciation - MF'!$A$1:$AG$182</definedName>
    <definedName name="_xlnm.Print_Area" localSheetId="10">'Engineering - Breakdown - MF'!$A$1:$E$131</definedName>
    <definedName name="_xlnm.Print_Area" localSheetId="14">'Engineering - Breakdown - SF'!$A$1:$E$24</definedName>
    <definedName name="_xlnm.Print_Area" localSheetId="5">'General-Budget 2018 - MF'!$A$1:$V$149</definedName>
    <definedName name="_xlnm.Print_Area" localSheetId="3">'General-Budget 2018 - MF (2)'!$A$1:$U$149</definedName>
    <definedName name="_xlnm.Print_Area" localSheetId="17">'General-Budget 2018 - SF'!$A$1:$V$101</definedName>
    <definedName name="_xlnm.Print_Area" localSheetId="8">'In Cash - Out Cash - MF'!$A$1:$U$149</definedName>
    <definedName name="_xlnm.Print_Area" localSheetId="12">'Pending not yet paid'!$A$1:$J$33</definedName>
    <definedName name="_xlnm.Print_Area" localSheetId="4">Reconciliation!$A$1:$Q$56</definedName>
    <definedName name="_xlnm.Print_Area" localSheetId="2">'Summary 2018 - MF'!$A$1:$R$56</definedName>
    <definedName name="_xlnm.Print_Area">#REF!</definedName>
    <definedName name="Print_Area_MI">"$#REF!.$#REF!$#REF!:$#REF!$#REF!"</definedName>
    <definedName name="PRINT_AREA_MI1">"$#REF!.$A$161:$U$197"</definedName>
    <definedName name="_xlnm.Print_Titles" localSheetId="7">'2018-2022'!$1:$3</definedName>
    <definedName name="_xlnm.Print_Titles" localSheetId="15">'2018-2022 SF'!$5:$6</definedName>
    <definedName name="_xlnm.Print_Titles" localSheetId="1">#REF!</definedName>
    <definedName name="_xlnm.Print_Titles" localSheetId="18">'Allocation - SF'!$1:$11</definedName>
    <definedName name="_xlnm.Print_Titles" localSheetId="16">#REF!</definedName>
    <definedName name="_xlnm.Print_Titles" localSheetId="9">'Cashflow - MF'!$1:$6</definedName>
    <definedName name="_xlnm.Print_Titles" localSheetId="6">'Depreciation - MF'!$1:$6</definedName>
    <definedName name="_xlnm.Print_Titles" localSheetId="10">'Engineering - Breakdown - MF'!$3:$3</definedName>
    <definedName name="_xlnm.Print_Titles" localSheetId="14">'Engineering - Breakdown - SF'!$3:$4</definedName>
    <definedName name="_xlnm.Print_Titles" localSheetId="5">'General-Budget 2018 - MF'!$1:$7</definedName>
    <definedName name="_xlnm.Print_Titles" localSheetId="3">'General-Budget 2018 - MF (2)'!$1:$7</definedName>
    <definedName name="_xlnm.Print_Titles" localSheetId="17">'General-Budget 2018 - SF'!$6:$7</definedName>
    <definedName name="_xlnm.Print_Titles" localSheetId="13">HSBC!$1:$4</definedName>
    <definedName name="_xlnm.Print_Titles" localSheetId="8">'In Cash - Out Cash - MF'!$1:$7</definedName>
    <definedName name="_xlnm.Print_Titles" localSheetId="4">#REF!</definedName>
    <definedName name="_xlnm.Print_Titles">#REF!</definedName>
    <definedName name="Print_Titles_MI" localSheetId="7">#REF!</definedName>
    <definedName name="Print_Titles_MI" localSheetId="15">#REF!</definedName>
    <definedName name="Print_Titles_MI" localSheetId="1">#REF!</definedName>
    <definedName name="Print_Titles_MI" localSheetId="18">#REF!</definedName>
    <definedName name="Print_Titles_MI" localSheetId="16">#REF!</definedName>
    <definedName name="Print_Titles_MI" localSheetId="6">#REF!</definedName>
    <definedName name="Print_Titles_MI" localSheetId="5">"$#REF!.$A$1:$B$65536"</definedName>
    <definedName name="Print_Titles_MI" localSheetId="3">"$#REF!.$A$1:$B$65536"</definedName>
    <definedName name="Print_Titles_MI" localSheetId="17">"$#REF!.$A$1:$B$65536"</definedName>
    <definedName name="Print_Titles_MI" localSheetId="8">"$#REF!.$A$1:$B$65536"</definedName>
    <definedName name="Print_Titles_MI" localSheetId="4">"$#REF!.$A$1:$B$65536"</definedName>
    <definedName name="Print_Titles_MI" localSheetId="2">"$#REF!.$A$1:$B$65536"</definedName>
    <definedName name="Print_Titles_MI" localSheetId="20">#REF!</definedName>
    <definedName name="Print_Titles_MI">#REF!</definedName>
    <definedName name="Print1">"$#REF!.$AK$1:$AY$42"</definedName>
    <definedName name="PRINTA" localSheetId="7">#REF!</definedName>
    <definedName name="PRINTA" localSheetId="15">#REF!</definedName>
    <definedName name="PRINTA" localSheetId="1">#REF!</definedName>
    <definedName name="PRINTA" localSheetId="18">#REF!</definedName>
    <definedName name="PRINTA" localSheetId="16">#REF!</definedName>
    <definedName name="PRINTA" localSheetId="6">#REF!</definedName>
    <definedName name="PRINTA" localSheetId="5">#REF!</definedName>
    <definedName name="PRINTA" localSheetId="3">#REF!</definedName>
    <definedName name="PRINTA" localSheetId="17">#REF!</definedName>
    <definedName name="PRINTA" localSheetId="8">#REF!</definedName>
    <definedName name="PRINTA" localSheetId="4">#REF!</definedName>
    <definedName name="PRINTA" localSheetId="20">#REF!</definedName>
    <definedName name="PRINTA">#REF!</definedName>
    <definedName name="PRINTB" localSheetId="7">#REF!</definedName>
    <definedName name="PRINTB" localSheetId="15">#REF!</definedName>
    <definedName name="PRINTB" localSheetId="1">#REF!</definedName>
    <definedName name="PRINTB" localSheetId="18">#REF!</definedName>
    <definedName name="PRINTB" localSheetId="16">#REF!</definedName>
    <definedName name="PRINTB" localSheetId="6">#REF!</definedName>
    <definedName name="PRINTB" localSheetId="5">#REF!</definedName>
    <definedName name="PRINTB" localSheetId="3">#REF!</definedName>
    <definedName name="PRINTB" localSheetId="17">#REF!</definedName>
    <definedName name="PRINTB" localSheetId="8">#REF!</definedName>
    <definedName name="PRINTB" localSheetId="4">#REF!</definedName>
    <definedName name="PRINTB" localSheetId="20">#REF!</definedName>
    <definedName name="PRINTB">#REF!</definedName>
    <definedName name="PRINTC" localSheetId="7">#REF!</definedName>
    <definedName name="PRINTC" localSheetId="15">#REF!</definedName>
    <definedName name="PRINTC" localSheetId="1">#REF!</definedName>
    <definedName name="PRINTC" localSheetId="18">#REF!</definedName>
    <definedName name="PRINTC" localSheetId="16">#REF!</definedName>
    <definedName name="PRINTC" localSheetId="6">#REF!</definedName>
    <definedName name="PRINTC" localSheetId="5">#REF!</definedName>
    <definedName name="PRINTC" localSheetId="3">#REF!</definedName>
    <definedName name="PRINTC" localSheetId="17">#REF!</definedName>
    <definedName name="PRINTC" localSheetId="8">#REF!</definedName>
    <definedName name="PRINTC" localSheetId="4">#REF!</definedName>
    <definedName name="PRINTC" localSheetId="20">#REF!</definedName>
    <definedName name="PRINTC">#REF!</definedName>
    <definedName name="prior">"$#REF!.$B$2"</definedName>
    <definedName name="prior_issue">"$#REF!.$W$1"</definedName>
    <definedName name="Priority" localSheetId="7">#REF!,#REF!,#REF!</definedName>
    <definedName name="Priority" localSheetId="15">#REF!,#REF!,#REF!</definedName>
    <definedName name="Priority" localSheetId="1">#REF!,#REF!,#REF!</definedName>
    <definedName name="Priority" localSheetId="18">#REF!,#REF!,#REF!</definedName>
    <definedName name="Priority" localSheetId="16">#REF!,#REF!,#REF!</definedName>
    <definedName name="Priority" localSheetId="6">#REF!,#REF!,#REF!</definedName>
    <definedName name="Priority" localSheetId="5">#REF!,#REF!,#REF!</definedName>
    <definedName name="Priority" localSheetId="3">#REF!,#REF!,#REF!</definedName>
    <definedName name="Priority" localSheetId="17">#REF!,#REF!,#REF!</definedName>
    <definedName name="Priority" localSheetId="8">#REF!,#REF!,#REF!</definedName>
    <definedName name="Priority" localSheetId="4">#REF!,#REF!,#REF!</definedName>
    <definedName name="Priority" localSheetId="20">#REF!,#REF!,#REF!</definedName>
    <definedName name="Priority">#REF!,#REF!,#REF!</definedName>
    <definedName name="PROD">"$#REF!.$A$280:$A$285"</definedName>
    <definedName name="PRODUCTS" localSheetId="7">#REF!</definedName>
    <definedName name="PRODUCTS" localSheetId="15">#REF!</definedName>
    <definedName name="PRODUCTS" localSheetId="1">#REF!</definedName>
    <definedName name="PRODUCTS" localSheetId="18">#REF!</definedName>
    <definedName name="PRODUCTS" localSheetId="16">#REF!</definedName>
    <definedName name="PRODUCTS" localSheetId="6">#REF!</definedName>
    <definedName name="PRODUCTS" localSheetId="5">#REF!</definedName>
    <definedName name="PRODUCTS" localSheetId="3">#REF!</definedName>
    <definedName name="PRODUCTS" localSheetId="17">#REF!</definedName>
    <definedName name="PRODUCTS" localSheetId="8">#REF!</definedName>
    <definedName name="PRODUCTS" localSheetId="4">#REF!</definedName>
    <definedName name="PRODUCTS" localSheetId="20">#REF!</definedName>
    <definedName name="PRODUCTS">#REF!</definedName>
    <definedName name="ProfitCostCentre" localSheetId="7">#REF!</definedName>
    <definedName name="ProfitCostCentre" localSheetId="15">#REF!</definedName>
    <definedName name="ProfitCostCentre" localSheetId="1">#REF!</definedName>
    <definedName name="ProfitCostCentre" localSheetId="18">#REF!</definedName>
    <definedName name="ProfitCostCentre" localSheetId="16">#REF!</definedName>
    <definedName name="ProfitCostCentre" localSheetId="6">#REF!</definedName>
    <definedName name="ProfitCostCentre" localSheetId="5">#REF!</definedName>
    <definedName name="ProfitCostCentre" localSheetId="3">#REF!</definedName>
    <definedName name="ProfitCostCentre" localSheetId="17">#REF!</definedName>
    <definedName name="ProfitCostCentre" localSheetId="8">#REF!</definedName>
    <definedName name="ProfitCostCentre" localSheetId="4">#REF!</definedName>
    <definedName name="ProfitCostCentre" localSheetId="20">#REF!</definedName>
    <definedName name="ProfitCostCentre">#REF!</definedName>
    <definedName name="ProjectCode" localSheetId="7">#REF!</definedName>
    <definedName name="ProjectCode" localSheetId="15">#REF!</definedName>
    <definedName name="ProjectCode" localSheetId="1">#REF!</definedName>
    <definedName name="ProjectCode" localSheetId="18">#REF!</definedName>
    <definedName name="ProjectCode" localSheetId="16">#REF!</definedName>
    <definedName name="ProjectCode" localSheetId="6">#REF!</definedName>
    <definedName name="ProjectCode" localSheetId="5">#REF!</definedName>
    <definedName name="ProjectCode" localSheetId="3">#REF!</definedName>
    <definedName name="ProjectCode" localSheetId="17">#REF!</definedName>
    <definedName name="ProjectCode" localSheetId="8">#REF!</definedName>
    <definedName name="ProjectCode" localSheetId="4">#REF!</definedName>
    <definedName name="ProjectCode" localSheetId="20">#REF!</definedName>
    <definedName name="ProjectCode">#REF!</definedName>
    <definedName name="promotion" localSheetId="7">#REF!</definedName>
    <definedName name="promotion" localSheetId="15">#REF!</definedName>
    <definedName name="promotion" localSheetId="1">#REF!</definedName>
    <definedName name="promotion" localSheetId="18">#REF!</definedName>
    <definedName name="promotion" localSheetId="16">#REF!</definedName>
    <definedName name="promotion" localSheetId="6">#REF!</definedName>
    <definedName name="promotion" localSheetId="5">#REF!</definedName>
    <definedName name="promotion" localSheetId="3">#REF!</definedName>
    <definedName name="promotion" localSheetId="17">#REF!</definedName>
    <definedName name="promotion" localSheetId="8">#REF!</definedName>
    <definedName name="promotion" localSheetId="4">#REF!</definedName>
    <definedName name="promotion" localSheetId="20">#REF!</definedName>
    <definedName name="promotion">#REF!</definedName>
    <definedName name="PROPOSAL" localSheetId="7">#REF!</definedName>
    <definedName name="PROPOSAL" localSheetId="15">#REF!</definedName>
    <definedName name="PROPOSAL" localSheetId="1">#REF!</definedName>
    <definedName name="PROPOSAL" localSheetId="18">#REF!</definedName>
    <definedName name="PROPOSAL" localSheetId="16">#REF!</definedName>
    <definedName name="PROPOSAL" localSheetId="6">#REF!</definedName>
    <definedName name="PROPOSAL" localSheetId="5">#REF!</definedName>
    <definedName name="PROPOSAL" localSheetId="3">#REF!</definedName>
    <definedName name="PROPOSAL" localSheetId="17">#REF!</definedName>
    <definedName name="PROPOSAL" localSheetId="8">#REF!</definedName>
    <definedName name="PROPOSAL" localSheetId="4">#REF!</definedName>
    <definedName name="PROPOSAL" localSheetId="20">#REF!</definedName>
    <definedName name="PROPOSAL">#REF!</definedName>
    <definedName name="PRT">"$#REF!.$A$1:$V$43"</definedName>
    <definedName name="PtichDTL" localSheetId="7">'[41]Accrual Jul''17'!PtichDTL</definedName>
    <definedName name="PtichDTL" localSheetId="1">'[41]Accrual Jul''17'!PtichDTL</definedName>
    <definedName name="PtichDTL" localSheetId="18">'[41]Accrual Jul''17'!PtichDTL</definedName>
    <definedName name="PtichDTL" localSheetId="16">'[41]Accrual Jul''17'!PtichDTL</definedName>
    <definedName name="PtichDTL" localSheetId="6">'[41]Accrual Jul''17'!PtichDTL</definedName>
    <definedName name="PtichDTL" localSheetId="3">'[41]Accrual Jul''17'!PtichDTL</definedName>
    <definedName name="PtichDTL" localSheetId="17">'[41]Accrual Jul''17'!PtichDTL</definedName>
    <definedName name="PtichDTL" localSheetId="8">'[41]Accrual Jul''17'!PtichDTL</definedName>
    <definedName name="PtichDTL" localSheetId="4">'[41]Accrual Jul''17'!PtichDTL</definedName>
    <definedName name="PtichDTL" localSheetId="20">'[41]Accrual Jul''17'!PtichDTL</definedName>
    <definedName name="PtichDTL">'[41]Accrual Jul''17'!PtichDTL</definedName>
    <definedName name="pu44segment">"$#REF!.$#REF!$#REF!:$#REF!$#REF!"</definedName>
    <definedName name="py_net_income" localSheetId="7">'[36]Income Statement1'!#REF!</definedName>
    <definedName name="py_net_income" localSheetId="15">'[36]Income Statement1'!#REF!</definedName>
    <definedName name="py_net_income" localSheetId="1">'[36]Income Statement1'!#REF!</definedName>
    <definedName name="py_net_income" localSheetId="18">'[36]Income Statement1'!#REF!</definedName>
    <definedName name="py_net_income" localSheetId="16">'[36]Income Statement1'!#REF!</definedName>
    <definedName name="py_net_income" localSheetId="6">'[36]Income Statement1'!#REF!</definedName>
    <definedName name="py_net_income" localSheetId="5">'[36]Income Statement1'!#REF!</definedName>
    <definedName name="py_net_income" localSheetId="3">'[36]Income Statement1'!#REF!</definedName>
    <definedName name="py_net_income" localSheetId="17">'[36]Income Statement1'!#REF!</definedName>
    <definedName name="py_net_income" localSheetId="8">'[36]Income Statement1'!#REF!</definedName>
    <definedName name="py_net_income" localSheetId="4">'[36]Income Statement1'!#REF!</definedName>
    <definedName name="py_net_income" localSheetId="20">'[36]Income Statement1'!#REF!</definedName>
    <definedName name="py_net_income">'[36]Income Statement1'!#REF!</definedName>
    <definedName name="py_retained_earnings" localSheetId="7">'[36]Income Statement1'!#REF!</definedName>
    <definedName name="py_retained_earnings" localSheetId="15">'[36]Income Statement1'!#REF!</definedName>
    <definedName name="py_retained_earnings" localSheetId="1">'[36]Income Statement1'!#REF!</definedName>
    <definedName name="py_retained_earnings" localSheetId="18">'[36]Income Statement1'!#REF!</definedName>
    <definedName name="py_retained_earnings" localSheetId="16">'[36]Income Statement1'!#REF!</definedName>
    <definedName name="py_retained_earnings" localSheetId="6">'[36]Income Statement1'!#REF!</definedName>
    <definedName name="py_retained_earnings" localSheetId="5">'[36]Income Statement1'!#REF!</definedName>
    <definedName name="py_retained_earnings" localSheetId="3">'[36]Income Statement1'!#REF!</definedName>
    <definedName name="py_retained_earnings" localSheetId="17">'[36]Income Statement1'!#REF!</definedName>
    <definedName name="py_retained_earnings" localSheetId="8">'[36]Income Statement1'!#REF!</definedName>
    <definedName name="py_retained_earnings" localSheetId="4">'[36]Income Statement1'!#REF!</definedName>
    <definedName name="py_retained_earnings" localSheetId="20">'[36]Income Statement1'!#REF!</definedName>
    <definedName name="py_retained_earnings">'[36]Income Statement1'!#REF!</definedName>
    <definedName name="py_share_equity" localSheetId="7">#REF!</definedName>
    <definedName name="py_share_equity" localSheetId="15">#REF!</definedName>
    <definedName name="py_share_equity" localSheetId="1">#REF!</definedName>
    <definedName name="py_share_equity" localSheetId="18">#REF!</definedName>
    <definedName name="py_share_equity" localSheetId="16">#REF!</definedName>
    <definedName name="py_share_equity" localSheetId="6">#REF!</definedName>
    <definedName name="py_share_equity" localSheetId="5">#REF!</definedName>
    <definedName name="py_share_equity" localSheetId="3">#REF!</definedName>
    <definedName name="py_share_equity" localSheetId="17">#REF!</definedName>
    <definedName name="py_share_equity" localSheetId="8">#REF!</definedName>
    <definedName name="py_share_equity" localSheetId="4">#REF!</definedName>
    <definedName name="py_share_equity" localSheetId="20">#REF!</definedName>
    <definedName name="py_share_equity">#REF!</definedName>
    <definedName name="q" localSheetId="7">'[18]#REF'!#REF!</definedName>
    <definedName name="q" localSheetId="15">'[18]#REF'!#REF!</definedName>
    <definedName name="q" localSheetId="1">'[18]#REF'!#REF!</definedName>
    <definedName name="q" localSheetId="18">'[18]#REF'!#REF!</definedName>
    <definedName name="q" localSheetId="16">'[18]#REF'!#REF!</definedName>
    <definedName name="q" localSheetId="6">'[18]#REF'!#REF!</definedName>
    <definedName name="q" localSheetId="5">'[18]#REF'!#REF!</definedName>
    <definedName name="q" localSheetId="3">'[18]#REF'!#REF!</definedName>
    <definedName name="q" localSheetId="17">'[18]#REF'!#REF!</definedName>
    <definedName name="q" localSheetId="8">'[18]#REF'!#REF!</definedName>
    <definedName name="q" localSheetId="4">'[18]#REF'!#REF!</definedName>
    <definedName name="q" localSheetId="20">'[18]#REF'!#REF!</definedName>
    <definedName name="q">'[18]#REF'!#REF!</definedName>
    <definedName name="qh">[13]gVL!$N$40</definedName>
    <definedName name="QK" localSheetId="7">[29]노무비!#REF!</definedName>
    <definedName name="QK" localSheetId="15">[29]노무비!#REF!</definedName>
    <definedName name="QK" localSheetId="1">[29]노무비!#REF!</definedName>
    <definedName name="QK" localSheetId="18">[29]노무비!#REF!</definedName>
    <definedName name="QK" localSheetId="16">[29]노무비!#REF!</definedName>
    <definedName name="QK" localSheetId="6">[29]노무비!#REF!</definedName>
    <definedName name="QK" localSheetId="5">[29]노무비!#REF!</definedName>
    <definedName name="QK" localSheetId="3">[29]노무비!#REF!</definedName>
    <definedName name="QK" localSheetId="17">[29]노무비!#REF!</definedName>
    <definedName name="QK" localSheetId="8">[29]노무비!#REF!</definedName>
    <definedName name="QK" localSheetId="4">[29]노무비!#REF!</definedName>
    <definedName name="QK" localSheetId="20">[29]노무비!#REF!</definedName>
    <definedName name="QK">[29]노무비!#REF!</definedName>
    <definedName name="QLMDL">[51]Nhansu_Luong!$Q$15</definedName>
    <definedName name="QLMPT">[51]Nhansu_Luong!$Q$16</definedName>
    <definedName name="QLNS" localSheetId="7">#REF!</definedName>
    <definedName name="QLNS" localSheetId="15">#REF!</definedName>
    <definedName name="QLNS" localSheetId="1">#REF!</definedName>
    <definedName name="QLNS" localSheetId="18">#REF!</definedName>
    <definedName name="QLNS" localSheetId="16">#REF!</definedName>
    <definedName name="QLNS" localSheetId="6">#REF!</definedName>
    <definedName name="QLNS" localSheetId="5">#REF!</definedName>
    <definedName name="QLNS" localSheetId="3">#REF!</definedName>
    <definedName name="QLNS" localSheetId="17">#REF!</definedName>
    <definedName name="QLNS" localSheetId="8">#REF!</definedName>
    <definedName name="QLNS" localSheetId="4">#REF!</definedName>
    <definedName name="QLNS" localSheetId="20">#REF!</definedName>
    <definedName name="QLNS">#REF!</definedName>
    <definedName name="QLNSDL" localSheetId="7">#REF!</definedName>
    <definedName name="QLNSDL" localSheetId="15">#REF!</definedName>
    <definedName name="QLNSDL" localSheetId="1">#REF!</definedName>
    <definedName name="QLNSDL" localSheetId="18">#REF!</definedName>
    <definedName name="QLNSDL" localSheetId="16">#REF!</definedName>
    <definedName name="QLNSDL" localSheetId="6">#REF!</definedName>
    <definedName name="QLNSDL" localSheetId="5">#REF!</definedName>
    <definedName name="QLNSDL" localSheetId="3">#REF!</definedName>
    <definedName name="QLNSDL" localSheetId="17">#REF!</definedName>
    <definedName name="QLNSDL" localSheetId="8">#REF!</definedName>
    <definedName name="QLNSDL" localSheetId="4">#REF!</definedName>
    <definedName name="QLNSDL" localSheetId="20">#REF!</definedName>
    <definedName name="QLNSDL">#REF!</definedName>
    <definedName name="QLNSPT" localSheetId="7">#REF!</definedName>
    <definedName name="QLNSPT" localSheetId="15">#REF!</definedName>
    <definedName name="QLNSPT" localSheetId="1">#REF!</definedName>
    <definedName name="QLNSPT" localSheetId="18">#REF!</definedName>
    <definedName name="QLNSPT" localSheetId="16">#REF!</definedName>
    <definedName name="QLNSPT" localSheetId="6">#REF!</definedName>
    <definedName name="QLNSPT" localSheetId="5">#REF!</definedName>
    <definedName name="QLNSPT" localSheetId="3">#REF!</definedName>
    <definedName name="QLNSPT" localSheetId="17">#REF!</definedName>
    <definedName name="QLNSPT" localSheetId="8">#REF!</definedName>
    <definedName name="QLNSPT" localSheetId="4">#REF!</definedName>
    <definedName name="QLNSPT" localSheetId="20">#REF!</definedName>
    <definedName name="QLNSPT">#REF!</definedName>
    <definedName name="Quality">[47]Quality!$A$1:$K$444</definedName>
    <definedName name="qw" localSheetId="7">[29]노무비!#REF!</definedName>
    <definedName name="qw" localSheetId="15">[29]노무비!#REF!</definedName>
    <definedName name="qw" localSheetId="1">[29]노무비!#REF!</definedName>
    <definedName name="qw" localSheetId="18">[29]노무비!#REF!</definedName>
    <definedName name="qw" localSheetId="16">[29]노무비!#REF!</definedName>
    <definedName name="qw" localSheetId="6">[29]노무비!#REF!</definedName>
    <definedName name="qw" localSheetId="5">[29]노무비!#REF!</definedName>
    <definedName name="qw" localSheetId="3">[29]노무비!#REF!</definedName>
    <definedName name="qw" localSheetId="17">[29]노무비!#REF!</definedName>
    <definedName name="qw" localSheetId="8">[29]노무비!#REF!</definedName>
    <definedName name="qw" localSheetId="4">[29]노무비!#REF!</definedName>
    <definedName name="qw" localSheetId="20">[29]노무비!#REF!</definedName>
    <definedName name="qw">[29]노무비!#REF!</definedName>
    <definedName name="R_01996">"#NAME?"</definedName>
    <definedName name="R_01996_10">"#NAME?"</definedName>
    <definedName name="R_01997">"#NAME?"</definedName>
    <definedName name="R_01997_10">"#NAME?"</definedName>
    <definedName name="rack1" localSheetId="7">#REF!</definedName>
    <definedName name="rack1" localSheetId="15">#REF!</definedName>
    <definedName name="rack1" localSheetId="1">#REF!</definedName>
    <definedName name="rack1" localSheetId="18">#REF!</definedName>
    <definedName name="rack1" localSheetId="16">#REF!</definedName>
    <definedName name="rack1" localSheetId="6">#REF!</definedName>
    <definedName name="rack1" localSheetId="3">#REF!</definedName>
    <definedName name="rack1" localSheetId="17">#REF!</definedName>
    <definedName name="rack1" localSheetId="8">#REF!</definedName>
    <definedName name="rack1" localSheetId="4">#REF!</definedName>
    <definedName name="rack1" localSheetId="20">#REF!</definedName>
    <definedName name="rack1">#REF!</definedName>
    <definedName name="rack2" localSheetId="7">#REF!</definedName>
    <definedName name="rack2" localSheetId="15">#REF!</definedName>
    <definedName name="rack2" localSheetId="1">#REF!</definedName>
    <definedName name="rack2" localSheetId="18">#REF!</definedName>
    <definedName name="rack2" localSheetId="16">#REF!</definedName>
    <definedName name="rack2" localSheetId="6">#REF!</definedName>
    <definedName name="rack2" localSheetId="3">#REF!</definedName>
    <definedName name="rack2" localSheetId="17">#REF!</definedName>
    <definedName name="rack2" localSheetId="8">#REF!</definedName>
    <definedName name="rack2" localSheetId="4">#REF!</definedName>
    <definedName name="rack2" localSheetId="20">#REF!</definedName>
    <definedName name="rack2">#REF!</definedName>
    <definedName name="rack3" localSheetId="7">#REF!</definedName>
    <definedName name="rack3" localSheetId="15">#REF!</definedName>
    <definedName name="rack3" localSheetId="1">#REF!</definedName>
    <definedName name="rack3" localSheetId="18">#REF!</definedName>
    <definedName name="rack3" localSheetId="16">#REF!</definedName>
    <definedName name="rack3" localSheetId="6">#REF!</definedName>
    <definedName name="rack3" localSheetId="3">#REF!</definedName>
    <definedName name="rack3" localSheetId="17">#REF!</definedName>
    <definedName name="rack3" localSheetId="8">#REF!</definedName>
    <definedName name="rack3" localSheetId="4">#REF!</definedName>
    <definedName name="rack3" localSheetId="20">#REF!</definedName>
    <definedName name="rack3">#REF!</definedName>
    <definedName name="rack4" localSheetId="7">#REF!</definedName>
    <definedName name="rack4" localSheetId="15">#REF!</definedName>
    <definedName name="rack4" localSheetId="1">#REF!</definedName>
    <definedName name="rack4" localSheetId="18">#REF!</definedName>
    <definedName name="rack4" localSheetId="16">#REF!</definedName>
    <definedName name="rack4" localSheetId="6">#REF!</definedName>
    <definedName name="rack4" localSheetId="3">#REF!</definedName>
    <definedName name="rack4" localSheetId="17">#REF!</definedName>
    <definedName name="rack4" localSheetId="8">#REF!</definedName>
    <definedName name="rack4" localSheetId="4">#REF!</definedName>
    <definedName name="rack4" localSheetId="20">#REF!</definedName>
    <definedName name="rack4">#REF!</definedName>
    <definedName name="Rate" localSheetId="5">"$#REF!.$E$5"</definedName>
    <definedName name="Rate" localSheetId="3">"$#REF!.$E$5"</definedName>
    <definedName name="Rate" localSheetId="17">"$#REF!.$E$5"</definedName>
    <definedName name="Rate" localSheetId="8">"$#REF!.$E$5"</definedName>
    <definedName name="Rate" localSheetId="4">"$#REF!.$E$5"</definedName>
    <definedName name="Rate" localSheetId="2">"$#REF!.$E$5"</definedName>
    <definedName name="rate">14000</definedName>
    <definedName name="Rate2004" localSheetId="7">#REF!</definedName>
    <definedName name="Rate2004" localSheetId="15">#REF!</definedName>
    <definedName name="Rate2004" localSheetId="1">#REF!</definedName>
    <definedName name="Rate2004" localSheetId="18">#REF!</definedName>
    <definedName name="Rate2004" localSheetId="16">#REF!</definedName>
    <definedName name="Rate2004" localSheetId="6">#REF!</definedName>
    <definedName name="Rate2004" localSheetId="5">#REF!</definedName>
    <definedName name="Rate2004" localSheetId="3">#REF!</definedName>
    <definedName name="Rate2004" localSheetId="17">#REF!</definedName>
    <definedName name="Rate2004" localSheetId="8">#REF!</definedName>
    <definedName name="Rate2004" localSheetId="4">#REF!</definedName>
    <definedName name="Rate2004" localSheetId="20">#REF!</definedName>
    <definedName name="Rate2004">#REF!</definedName>
    <definedName name="Record2">"$#REF!.$A$1"</definedName>
    <definedName name="RECOUT">#N/A</definedName>
    <definedName name="recssip">"'smb://Stsai2/share/WINDOWS/xlsheet.xla'#$SSIP.$#REF!$#REF!"</definedName>
    <definedName name="rectesp">"'smb://Stsai2/share/WINDOWS/xlsheet.xla'#$SSIP.$#REF!$#REF!"</definedName>
    <definedName name="Reroll" localSheetId="7">'[59]인원계획-미화'!#REF!</definedName>
    <definedName name="Reroll" localSheetId="15">'[59]인원계획-미화'!#REF!</definedName>
    <definedName name="Reroll" localSheetId="1">'[59]인원계획-미화'!#REF!</definedName>
    <definedName name="Reroll" localSheetId="18">'[59]인원계획-미화'!#REF!</definedName>
    <definedName name="Reroll" localSheetId="16">'[59]인원계획-미화'!#REF!</definedName>
    <definedName name="Reroll" localSheetId="6">'[59]인원계획-미화'!#REF!</definedName>
    <definedName name="Reroll" localSheetId="5">'[59]인원계획-미화'!#REF!</definedName>
    <definedName name="Reroll" localSheetId="3">'[59]인원계획-미화'!#REF!</definedName>
    <definedName name="Reroll" localSheetId="17">'[59]인원계획-미화'!#REF!</definedName>
    <definedName name="Reroll" localSheetId="8">'[59]인원계획-미화'!#REF!</definedName>
    <definedName name="Reroll" localSheetId="4">'[59]인원계획-미화'!#REF!</definedName>
    <definedName name="Reroll" localSheetId="20">'[59]인원계획-미화'!#REF!</definedName>
    <definedName name="Reroll">'[59]인원계획-미화'!#REF!</definedName>
    <definedName name="rescurr" localSheetId="7">'[10]page 6'!#REF!</definedName>
    <definedName name="rescurr" localSheetId="15">'[10]page 6'!#REF!</definedName>
    <definedName name="rescurr" localSheetId="1">'[10]page 6'!#REF!</definedName>
    <definedName name="rescurr" localSheetId="18">'[10]page 6'!#REF!</definedName>
    <definedName name="rescurr" localSheetId="16">'[10]page 6'!#REF!</definedName>
    <definedName name="rescurr" localSheetId="6">'[10]page 6'!#REF!</definedName>
    <definedName name="rescurr" localSheetId="5">'[10]page 6'!#REF!</definedName>
    <definedName name="rescurr" localSheetId="3">'[10]page 6'!#REF!</definedName>
    <definedName name="rescurr" localSheetId="17">'[10]page 6'!#REF!</definedName>
    <definedName name="rescurr" localSheetId="8">'[10]page 6'!#REF!</definedName>
    <definedName name="rescurr" localSheetId="4">'[10]page 6'!#REF!</definedName>
    <definedName name="rescurr" localSheetId="20">'[10]page 6'!#REF!</definedName>
    <definedName name="rescurr">'[10]page 6'!#REF!</definedName>
    <definedName name="Retail_Volume">"'file:///A:/KHIROSAW/WINXL/FPV/95FPV/PACKAGE/INDSEG1.XLS'#$'VARIANCE ANALYSIS'.$#REF!$#REF!:$#REF!$#REF!"</definedName>
    <definedName name="RetailArea" localSheetId="7">'[56]2. Summary-cash'!#REF!</definedName>
    <definedName name="RetailArea" localSheetId="15">'[56]2. Summary-cash'!#REF!</definedName>
    <definedName name="RetailArea" localSheetId="1">'[56]2. Summary-cash'!#REF!</definedName>
    <definedName name="RetailArea" localSheetId="18">'[56]2. Summary-cash'!#REF!</definedName>
    <definedName name="RetailArea" localSheetId="16">'[56]2. Summary-cash'!#REF!</definedName>
    <definedName name="RetailArea" localSheetId="6">'[56]2. Summary-cash'!#REF!</definedName>
    <definedName name="RetailArea" localSheetId="5">'[56]2. Summary-cash'!#REF!</definedName>
    <definedName name="RetailArea" localSheetId="3">'[56]2. Summary-cash'!#REF!</definedName>
    <definedName name="RetailArea" localSheetId="17">'[56]2. Summary-cash'!#REF!</definedName>
    <definedName name="RetailArea" localSheetId="8">'[56]2. Summary-cash'!#REF!</definedName>
    <definedName name="RetailArea" localSheetId="4">'[56]2. Summary-cash'!#REF!</definedName>
    <definedName name="RetailArea" localSheetId="20">'[56]2. Summary-cash'!#REF!</definedName>
    <definedName name="RetailArea">'[56]2. Summary-cash'!#REF!</definedName>
    <definedName name="retcurr" localSheetId="7">'[10]page 6'!#REF!</definedName>
    <definedName name="retcurr" localSheetId="15">'[10]page 6'!#REF!</definedName>
    <definedName name="retcurr" localSheetId="1">'[10]page 6'!#REF!</definedName>
    <definedName name="retcurr" localSheetId="18">'[10]page 6'!#REF!</definedName>
    <definedName name="retcurr" localSheetId="16">'[10]page 6'!#REF!</definedName>
    <definedName name="retcurr" localSheetId="6">'[10]page 6'!#REF!</definedName>
    <definedName name="retcurr" localSheetId="5">'[10]page 6'!#REF!</definedName>
    <definedName name="retcurr" localSheetId="3">'[10]page 6'!#REF!</definedName>
    <definedName name="retcurr" localSheetId="17">'[10]page 6'!#REF!</definedName>
    <definedName name="retcurr" localSheetId="8">'[10]page 6'!#REF!</definedName>
    <definedName name="retcurr" localSheetId="4">'[10]page 6'!#REF!</definedName>
    <definedName name="retcurr" localSheetId="20">'[10]page 6'!#REF!</definedName>
    <definedName name="retcurr">'[10]page 6'!#REF!</definedName>
    <definedName name="retwtwerwe" localSheetId="7">'2018-2022'!retwtwerwe</definedName>
    <definedName name="retwtwerwe" localSheetId="15">'2018-2022 SF'!retwtwerwe</definedName>
    <definedName name="retwtwerwe" localSheetId="16">B!retwtwerwe</definedName>
    <definedName name="retwtwerwe" localSheetId="5">[17]!retwtwerwe</definedName>
    <definedName name="retwtwerwe" localSheetId="3">[17]!retwtwerwe</definedName>
    <definedName name="retwtwerwe" localSheetId="17">[17]!retwtwerwe</definedName>
    <definedName name="retwtwerwe" localSheetId="8">[17]!retwtwerwe</definedName>
    <definedName name="retwtwerwe" localSheetId="4">Reconciliation!retwtwerwe</definedName>
    <definedName name="retwtwerwe" localSheetId="2">'Summary 2018 - MF'!retwtwerwe</definedName>
    <definedName name="retwtwerwe">[0]!retwtwerwe</definedName>
    <definedName name="retwtwerwe_10" localSheetId="7">'2018-2022'!retwtwerwe_10</definedName>
    <definedName name="retwtwerwe_10" localSheetId="15">'2018-2022 SF'!retwtwerwe_10</definedName>
    <definedName name="retwtwerwe_10" localSheetId="16">B!retwtwerwe_10</definedName>
    <definedName name="retwtwerwe_10" localSheetId="5">[17]!retwtwerwe_10</definedName>
    <definedName name="retwtwerwe_10" localSheetId="3">[17]!retwtwerwe_10</definedName>
    <definedName name="retwtwerwe_10" localSheetId="17">[17]!retwtwerwe_10</definedName>
    <definedName name="retwtwerwe_10" localSheetId="8">[17]!retwtwerwe_10</definedName>
    <definedName name="retwtwerwe_10" localSheetId="4">Reconciliation!retwtwerwe_10</definedName>
    <definedName name="retwtwerwe_10" localSheetId="2">'Summary 2018 - MF'!retwtwerwe_10</definedName>
    <definedName name="retwtwerwe_10">[0]!retwtwerwe_10</definedName>
    <definedName name="Revenue">"$#REF!.$C$9:$O$9"</definedName>
    <definedName name="RevenueList" localSheetId="5">[19]TongHop!$H$5:$H$188</definedName>
    <definedName name="RevenueList" localSheetId="3">[19]TongHop!$H$5:$H$188</definedName>
    <definedName name="RevenueList" localSheetId="17">[19]TongHop!$H$5:$H$188</definedName>
    <definedName name="RevenueList" localSheetId="8">[19]TongHop!$H$5:$H$188</definedName>
    <definedName name="RevenueList">[19]TongHop!$H$5:$H$188</definedName>
    <definedName name="RFP003A" localSheetId="7">#REF!</definedName>
    <definedName name="RFP003A" localSheetId="15">#REF!</definedName>
    <definedName name="RFP003A" localSheetId="1">#REF!</definedName>
    <definedName name="RFP003A" localSheetId="18">#REF!</definedName>
    <definedName name="RFP003A" localSheetId="16">#REF!</definedName>
    <definedName name="RFP003A" localSheetId="6">#REF!</definedName>
    <definedName name="RFP003A" localSheetId="3">#REF!</definedName>
    <definedName name="RFP003A" localSheetId="17">#REF!</definedName>
    <definedName name="RFP003A" localSheetId="8">#REF!</definedName>
    <definedName name="RFP003A" localSheetId="4">#REF!</definedName>
    <definedName name="RFP003A" localSheetId="20">#REF!</definedName>
    <definedName name="RFP003A">#REF!</definedName>
    <definedName name="RFP003B" localSheetId="7">#REF!</definedName>
    <definedName name="RFP003B" localSheetId="15">#REF!</definedName>
    <definedName name="RFP003B" localSheetId="1">#REF!</definedName>
    <definedName name="RFP003B" localSheetId="18">#REF!</definedName>
    <definedName name="RFP003B" localSheetId="16">#REF!</definedName>
    <definedName name="RFP003B" localSheetId="6">#REF!</definedName>
    <definedName name="RFP003B" localSheetId="3">#REF!</definedName>
    <definedName name="RFP003B" localSheetId="17">#REF!</definedName>
    <definedName name="RFP003B" localSheetId="8">#REF!</definedName>
    <definedName name="RFP003B" localSheetId="4">#REF!</definedName>
    <definedName name="RFP003B" localSheetId="20">#REF!</definedName>
    <definedName name="RFP003B">#REF!</definedName>
    <definedName name="RFP003C" localSheetId="7">#REF!</definedName>
    <definedName name="RFP003C" localSheetId="15">#REF!</definedName>
    <definedName name="RFP003C" localSheetId="1">#REF!</definedName>
    <definedName name="RFP003C" localSheetId="18">#REF!</definedName>
    <definedName name="RFP003C" localSheetId="16">#REF!</definedName>
    <definedName name="RFP003C" localSheetId="6">#REF!</definedName>
    <definedName name="RFP003C" localSheetId="3">#REF!</definedName>
    <definedName name="RFP003C" localSheetId="17">#REF!</definedName>
    <definedName name="RFP003C" localSheetId="8">#REF!</definedName>
    <definedName name="RFP003C" localSheetId="4">#REF!</definedName>
    <definedName name="RFP003C" localSheetId="20">#REF!</definedName>
    <definedName name="RFP003C">#REF!</definedName>
    <definedName name="RFP003D" localSheetId="7">#REF!</definedName>
    <definedName name="RFP003D" localSheetId="15">#REF!</definedName>
    <definedName name="RFP003D" localSheetId="1">#REF!</definedName>
    <definedName name="RFP003D" localSheetId="18">#REF!</definedName>
    <definedName name="RFP003D" localSheetId="16">#REF!</definedName>
    <definedName name="RFP003D" localSheetId="6">#REF!</definedName>
    <definedName name="RFP003D" localSheetId="3">#REF!</definedName>
    <definedName name="RFP003D" localSheetId="17">#REF!</definedName>
    <definedName name="RFP003D" localSheetId="8">#REF!</definedName>
    <definedName name="RFP003D" localSheetId="4">#REF!</definedName>
    <definedName name="RFP003D" localSheetId="20">#REF!</definedName>
    <definedName name="RFP003D">#REF!</definedName>
    <definedName name="RFP003E" localSheetId="7">#REF!</definedName>
    <definedName name="RFP003E" localSheetId="15">#REF!</definedName>
    <definedName name="RFP003E" localSheetId="1">#REF!</definedName>
    <definedName name="RFP003E" localSheetId="18">#REF!</definedName>
    <definedName name="RFP003E" localSheetId="16">#REF!</definedName>
    <definedName name="RFP003E" localSheetId="6">#REF!</definedName>
    <definedName name="RFP003E" localSheetId="3">#REF!</definedName>
    <definedName name="RFP003E" localSheetId="17">#REF!</definedName>
    <definedName name="RFP003E" localSheetId="8">#REF!</definedName>
    <definedName name="RFP003E" localSheetId="4">#REF!</definedName>
    <definedName name="RFP003E" localSheetId="20">#REF!</definedName>
    <definedName name="RFP003E">#REF!</definedName>
    <definedName name="RFP003F" localSheetId="7">#REF!</definedName>
    <definedName name="RFP003F" localSheetId="15">#REF!</definedName>
    <definedName name="RFP003F" localSheetId="1">#REF!</definedName>
    <definedName name="RFP003F" localSheetId="18">#REF!</definedName>
    <definedName name="RFP003F" localSheetId="16">#REF!</definedName>
    <definedName name="RFP003F" localSheetId="6">#REF!</definedName>
    <definedName name="RFP003F" localSheetId="3">#REF!</definedName>
    <definedName name="RFP003F" localSheetId="17">#REF!</definedName>
    <definedName name="RFP003F" localSheetId="8">#REF!</definedName>
    <definedName name="RFP003F" localSheetId="4">#REF!</definedName>
    <definedName name="RFP003F" localSheetId="20">#REF!</definedName>
    <definedName name="RFP003F">#REF!</definedName>
    <definedName name="Risk">[47]Risk!$A$1:$K$297</definedName>
    <definedName name="risks">"'file:///Documents and Settings/lam.ledac/Local Settings/Temporary Internet Files/OLKE4/iaofsm-m/98Fcst/616/$$sum.xls'#$'_1__PROFIT SUM_'.#REF!$#REF!"</definedName>
    <definedName name="risks_opps">"$#REF!.$C$80:$F$80"</definedName>
    <definedName name="rv_mpvsegment">"$#REF!.$#REF!$#REF!:$#REF!$#REF!"</definedName>
    <definedName name="s" localSheetId="7">'[18]#REF'!#REF!</definedName>
    <definedName name="s" localSheetId="15">'[18]#REF'!#REF!</definedName>
    <definedName name="s" localSheetId="1">'[18]#REF'!#REF!</definedName>
    <definedName name="s" localSheetId="18">'[18]#REF'!#REF!</definedName>
    <definedName name="s" localSheetId="16">'[18]#REF'!#REF!</definedName>
    <definedName name="s" localSheetId="6">'[18]#REF'!#REF!</definedName>
    <definedName name="s" localSheetId="5">'[18]#REF'!#REF!</definedName>
    <definedName name="s" localSheetId="3">'[18]#REF'!#REF!</definedName>
    <definedName name="s" localSheetId="17">'[18]#REF'!#REF!</definedName>
    <definedName name="s" localSheetId="8">'[18]#REF'!#REF!</definedName>
    <definedName name="s" localSheetId="4">'[18]#REF'!#REF!</definedName>
    <definedName name="s" localSheetId="20">'[18]#REF'!#REF!</definedName>
    <definedName name="s">'[18]#REF'!#REF!</definedName>
    <definedName name="SAÁM___LILY" localSheetId="11">#REF!</definedName>
    <definedName name="SAÁM___LILY" localSheetId="7">#REF!</definedName>
    <definedName name="SAÁM___LILY" localSheetId="15">#REF!</definedName>
    <definedName name="SAÁM___LILY" localSheetId="1">#REF!</definedName>
    <definedName name="SAÁM___LILY" localSheetId="18">#REF!</definedName>
    <definedName name="SAÁM___LILY" localSheetId="16">#REF!</definedName>
    <definedName name="SAÁM___LILY" localSheetId="6">#REF!</definedName>
    <definedName name="SAÁM___LILY" localSheetId="10">#REF!</definedName>
    <definedName name="SAÁM___LILY" localSheetId="14">#REF!</definedName>
    <definedName name="SAÁM___LILY" localSheetId="5">#REF!</definedName>
    <definedName name="SAÁM___LILY" localSheetId="3">#REF!</definedName>
    <definedName name="SAÁM___LILY" localSheetId="17">#REF!</definedName>
    <definedName name="SAÁM___LILY" localSheetId="13">#REF!</definedName>
    <definedName name="SAÁM___LILY" localSheetId="8">#REF!</definedName>
    <definedName name="SAÁM___LILY" localSheetId="4">#REF!</definedName>
    <definedName name="SAÁM___LILY" localSheetId="20">#REF!</definedName>
    <definedName name="SAÁM___LILY">#REF!</definedName>
    <definedName name="Sal_Cost_Forecast">"'smb://Stsai2/share/U/JANDERS5/DESK/BUSPLAN/97BUSPLA/XX98CBUD.XLS'#$XX98CALB.$#REF!$#REF!:$#REF!$#REF!"</definedName>
    <definedName name="salaries" localSheetId="7">#REF!</definedName>
    <definedName name="salaries" localSheetId="15">#REF!</definedName>
    <definedName name="salaries" localSheetId="1">#REF!</definedName>
    <definedName name="salaries" localSheetId="18">#REF!</definedName>
    <definedName name="salaries" localSheetId="16">#REF!</definedName>
    <definedName name="salaries" localSheetId="6">#REF!</definedName>
    <definedName name="salaries" localSheetId="5">#REF!</definedName>
    <definedName name="salaries" localSheetId="3">#REF!</definedName>
    <definedName name="salaries" localSheetId="17">#REF!</definedName>
    <definedName name="salaries" localSheetId="8">#REF!</definedName>
    <definedName name="salaries" localSheetId="4">#REF!</definedName>
    <definedName name="salaries" localSheetId="20">#REF!</definedName>
    <definedName name="salaries">#REF!</definedName>
    <definedName name="Salary_Percentage_Empl" localSheetId="7">#REF!</definedName>
    <definedName name="Salary_Percentage_Empl" localSheetId="15">#REF!</definedName>
    <definedName name="Salary_Percentage_Empl" localSheetId="1">#REF!</definedName>
    <definedName name="Salary_Percentage_Empl" localSheetId="18">#REF!</definedName>
    <definedName name="Salary_Percentage_Empl" localSheetId="16">#REF!</definedName>
    <definedName name="Salary_Percentage_Empl" localSheetId="6">#REF!</definedName>
    <definedName name="Salary_Percentage_Empl" localSheetId="5">#REF!</definedName>
    <definedName name="Salary_Percentage_Empl" localSheetId="3">#REF!</definedName>
    <definedName name="Salary_Percentage_Empl" localSheetId="17">#REF!</definedName>
    <definedName name="Salary_Percentage_Empl" localSheetId="8">#REF!</definedName>
    <definedName name="Salary_Percentage_Empl" localSheetId="4">#REF!</definedName>
    <definedName name="Salary_Percentage_Empl" localSheetId="20">#REF!</definedName>
    <definedName name="Salary_Percentage_Empl">#REF!</definedName>
    <definedName name="Salary_Percentage_Expert" localSheetId="7">#REF!</definedName>
    <definedName name="Salary_Percentage_Expert" localSheetId="15">#REF!</definedName>
    <definedName name="Salary_Percentage_Expert" localSheetId="1">#REF!</definedName>
    <definedName name="Salary_Percentage_Expert" localSheetId="18">#REF!</definedName>
    <definedName name="Salary_Percentage_Expert" localSheetId="16">#REF!</definedName>
    <definedName name="Salary_Percentage_Expert" localSheetId="6">#REF!</definedName>
    <definedName name="Salary_Percentage_Expert" localSheetId="5">#REF!</definedName>
    <definedName name="Salary_Percentage_Expert" localSheetId="3">#REF!</definedName>
    <definedName name="Salary_Percentage_Expert" localSheetId="17">#REF!</definedName>
    <definedName name="Salary_Percentage_Expert" localSheetId="8">#REF!</definedName>
    <definedName name="Salary_Percentage_Expert" localSheetId="4">#REF!</definedName>
    <definedName name="Salary_Percentage_Expert" localSheetId="20">#REF!</definedName>
    <definedName name="Salary_Percentage_Expert">#REF!</definedName>
    <definedName name="Salary_Percentage_Manager" localSheetId="7">#REF!</definedName>
    <definedName name="Salary_Percentage_Manager" localSheetId="15">#REF!</definedName>
    <definedName name="Salary_Percentage_Manager" localSheetId="1">#REF!</definedName>
    <definedName name="Salary_Percentage_Manager" localSheetId="18">#REF!</definedName>
    <definedName name="Salary_Percentage_Manager" localSheetId="16">#REF!</definedName>
    <definedName name="Salary_Percentage_Manager" localSheetId="6">#REF!</definedName>
    <definedName name="Salary_Percentage_Manager" localSheetId="5">#REF!</definedName>
    <definedName name="Salary_Percentage_Manager" localSheetId="3">#REF!</definedName>
    <definedName name="Salary_Percentage_Manager" localSheetId="17">#REF!</definedName>
    <definedName name="Salary_Percentage_Manager" localSheetId="8">#REF!</definedName>
    <definedName name="Salary_Percentage_Manager" localSheetId="4">#REF!</definedName>
    <definedName name="Salary_Percentage_Manager" localSheetId="20">#REF!</definedName>
    <definedName name="Salary_Percentage_Manager">#REF!</definedName>
    <definedName name="Salary_Percentage_Sale" localSheetId="7">#REF!</definedName>
    <definedName name="Salary_Percentage_Sale" localSheetId="15">#REF!</definedName>
    <definedName name="Salary_Percentage_Sale" localSheetId="1">#REF!</definedName>
    <definedName name="Salary_Percentage_Sale" localSheetId="18">#REF!</definedName>
    <definedName name="Salary_Percentage_Sale" localSheetId="16">#REF!</definedName>
    <definedName name="Salary_Percentage_Sale" localSheetId="6">#REF!</definedName>
    <definedName name="Salary_Percentage_Sale" localSheetId="5">#REF!</definedName>
    <definedName name="Salary_Percentage_Sale" localSheetId="3">#REF!</definedName>
    <definedName name="Salary_Percentage_Sale" localSheetId="17">#REF!</definedName>
    <definedName name="Salary_Percentage_Sale" localSheetId="8">#REF!</definedName>
    <definedName name="Salary_Percentage_Sale" localSheetId="4">#REF!</definedName>
    <definedName name="Salary_Percentage_Sale" localSheetId="20">#REF!</definedName>
    <definedName name="Salary_Percentage_Sale">#REF!</definedName>
    <definedName name="Sale_Target_Max" localSheetId="7">#REF!</definedName>
    <definedName name="Sale_Target_Max" localSheetId="15">#REF!</definedName>
    <definedName name="Sale_Target_Max" localSheetId="1">#REF!</definedName>
    <definedName name="Sale_Target_Max" localSheetId="18">#REF!</definedName>
    <definedName name="Sale_Target_Max" localSheetId="16">#REF!</definedName>
    <definedName name="Sale_Target_Max" localSheetId="6">#REF!</definedName>
    <definedName name="Sale_Target_Max" localSheetId="5">#REF!</definedName>
    <definedName name="Sale_Target_Max" localSheetId="3">#REF!</definedName>
    <definedName name="Sale_Target_Max" localSheetId="17">#REF!</definedName>
    <definedName name="Sale_Target_Max" localSheetId="8">#REF!</definedName>
    <definedName name="Sale_Target_Max" localSheetId="4">#REF!</definedName>
    <definedName name="Sale_Target_Max" localSheetId="20">#REF!</definedName>
    <definedName name="Sale_Target_Max">#REF!</definedName>
    <definedName name="Sale_Target_Max_PhanTram" localSheetId="7">#REF!</definedName>
    <definedName name="Sale_Target_Max_PhanTram" localSheetId="15">#REF!</definedName>
    <definedName name="Sale_Target_Max_PhanTram" localSheetId="1">#REF!</definedName>
    <definedName name="Sale_Target_Max_PhanTram" localSheetId="18">#REF!</definedName>
    <definedName name="Sale_Target_Max_PhanTram" localSheetId="16">#REF!</definedName>
    <definedName name="Sale_Target_Max_PhanTram" localSheetId="6">#REF!</definedName>
    <definedName name="Sale_Target_Max_PhanTram" localSheetId="5">#REF!</definedName>
    <definedName name="Sale_Target_Max_PhanTram" localSheetId="3">#REF!</definedName>
    <definedName name="Sale_Target_Max_PhanTram" localSheetId="17">#REF!</definedName>
    <definedName name="Sale_Target_Max_PhanTram" localSheetId="8">#REF!</definedName>
    <definedName name="Sale_Target_Max_PhanTram" localSheetId="4">#REF!</definedName>
    <definedName name="Sale_Target_Max_PhanTram" localSheetId="20">#REF!</definedName>
    <definedName name="Sale_Target_Max_PhanTram">#REF!</definedName>
    <definedName name="Sale_Target_Min" localSheetId="7">#REF!</definedName>
    <definedName name="Sale_Target_Min" localSheetId="15">#REF!</definedName>
    <definedName name="Sale_Target_Min" localSheetId="1">#REF!</definedName>
    <definedName name="Sale_Target_Min" localSheetId="18">#REF!</definedName>
    <definedName name="Sale_Target_Min" localSheetId="16">#REF!</definedName>
    <definedName name="Sale_Target_Min" localSheetId="6">#REF!</definedName>
    <definedName name="Sale_Target_Min" localSheetId="5">#REF!</definedName>
    <definedName name="Sale_Target_Min" localSheetId="3">#REF!</definedName>
    <definedName name="Sale_Target_Min" localSheetId="17">#REF!</definedName>
    <definedName name="Sale_Target_Min" localSheetId="8">#REF!</definedName>
    <definedName name="Sale_Target_Min" localSheetId="4">#REF!</definedName>
    <definedName name="Sale_Target_Min" localSheetId="20">#REF!</definedName>
    <definedName name="Sale_Target_Min">#REF!</definedName>
    <definedName name="Sale_Target_Min_PhanTram" localSheetId="7">#REF!</definedName>
    <definedName name="Sale_Target_Min_PhanTram" localSheetId="15">#REF!</definedName>
    <definedName name="Sale_Target_Min_PhanTram" localSheetId="1">#REF!</definedName>
    <definedName name="Sale_Target_Min_PhanTram" localSheetId="18">#REF!</definedName>
    <definedName name="Sale_Target_Min_PhanTram" localSheetId="16">#REF!</definedName>
    <definedName name="Sale_Target_Min_PhanTram" localSheetId="6">#REF!</definedName>
    <definedName name="Sale_Target_Min_PhanTram" localSheetId="5">#REF!</definedName>
    <definedName name="Sale_Target_Min_PhanTram" localSheetId="3">#REF!</definedName>
    <definedName name="Sale_Target_Min_PhanTram" localSheetId="17">#REF!</definedName>
    <definedName name="Sale_Target_Min_PhanTram" localSheetId="8">#REF!</definedName>
    <definedName name="Sale_Target_Min_PhanTram" localSheetId="4">#REF!</definedName>
    <definedName name="Sale_Target_Min_PhanTram" localSheetId="20">#REF!</definedName>
    <definedName name="Sale_Target_Min_PhanTram">#REF!</definedName>
    <definedName name="Sale_Target_Nomal" localSheetId="7">#REF!</definedName>
    <definedName name="Sale_Target_Nomal" localSheetId="15">#REF!</definedName>
    <definedName name="Sale_Target_Nomal" localSheetId="1">#REF!</definedName>
    <definedName name="Sale_Target_Nomal" localSheetId="18">#REF!</definedName>
    <definedName name="Sale_Target_Nomal" localSheetId="16">#REF!</definedName>
    <definedName name="Sale_Target_Nomal" localSheetId="6">#REF!</definedName>
    <definedName name="Sale_Target_Nomal" localSheetId="5">#REF!</definedName>
    <definedName name="Sale_Target_Nomal" localSheetId="3">#REF!</definedName>
    <definedName name="Sale_Target_Nomal" localSheetId="17">#REF!</definedName>
    <definedName name="Sale_Target_Nomal" localSheetId="8">#REF!</definedName>
    <definedName name="Sale_Target_Nomal" localSheetId="4">#REF!</definedName>
    <definedName name="Sale_Target_Nomal" localSheetId="20">#REF!</definedName>
    <definedName name="Sale_Target_Nomal">#REF!</definedName>
    <definedName name="Sale_Target_Nomal_PhanTram" localSheetId="7">#REF!</definedName>
    <definedName name="Sale_Target_Nomal_PhanTram" localSheetId="15">#REF!</definedName>
    <definedName name="Sale_Target_Nomal_PhanTram" localSheetId="1">#REF!</definedName>
    <definedName name="Sale_Target_Nomal_PhanTram" localSheetId="18">#REF!</definedName>
    <definedName name="Sale_Target_Nomal_PhanTram" localSheetId="16">#REF!</definedName>
    <definedName name="Sale_Target_Nomal_PhanTram" localSheetId="6">#REF!</definedName>
    <definedName name="Sale_Target_Nomal_PhanTram" localSheetId="5">#REF!</definedName>
    <definedName name="Sale_Target_Nomal_PhanTram" localSheetId="3">#REF!</definedName>
    <definedName name="Sale_Target_Nomal_PhanTram" localSheetId="17">#REF!</definedName>
    <definedName name="Sale_Target_Nomal_PhanTram" localSheetId="8">#REF!</definedName>
    <definedName name="Sale_Target_Nomal_PhanTram" localSheetId="4">#REF!</definedName>
    <definedName name="Sale_Target_Nomal_PhanTram" localSheetId="20">#REF!</definedName>
    <definedName name="Sale_Target_Nomal_PhanTram">#REF!</definedName>
    <definedName name="Sale_Target_PhanTram" localSheetId="7">#REF!</definedName>
    <definedName name="Sale_Target_PhanTram" localSheetId="15">#REF!</definedName>
    <definedName name="Sale_Target_PhanTram" localSheetId="1">#REF!</definedName>
    <definedName name="Sale_Target_PhanTram" localSheetId="18">#REF!</definedName>
    <definedName name="Sale_Target_PhanTram" localSheetId="16">#REF!</definedName>
    <definedName name="Sale_Target_PhanTram" localSheetId="6">#REF!</definedName>
    <definedName name="Sale_Target_PhanTram" localSheetId="5">#REF!</definedName>
    <definedName name="Sale_Target_PhanTram" localSheetId="3">#REF!</definedName>
    <definedName name="Sale_Target_PhanTram" localSheetId="17">#REF!</definedName>
    <definedName name="Sale_Target_PhanTram" localSheetId="8">#REF!</definedName>
    <definedName name="Sale_Target_PhanTram" localSheetId="4">#REF!</definedName>
    <definedName name="Sale_Target_PhanTram" localSheetId="20">#REF!</definedName>
    <definedName name="Sale_Target_PhanTram">#REF!</definedName>
    <definedName name="Sale1" localSheetId="7">#REF!</definedName>
    <definedName name="Sale1" localSheetId="15">#REF!</definedName>
    <definedName name="Sale1" localSheetId="1">#REF!</definedName>
    <definedName name="Sale1" localSheetId="18">#REF!</definedName>
    <definedName name="Sale1" localSheetId="16">#REF!</definedName>
    <definedName name="Sale1" localSheetId="6">#REF!</definedName>
    <definedName name="Sale1" localSheetId="5">#REF!</definedName>
    <definedName name="Sale1" localSheetId="3">#REF!</definedName>
    <definedName name="Sale1" localSheetId="17">#REF!</definedName>
    <definedName name="Sale1" localSheetId="8">#REF!</definedName>
    <definedName name="Sale1" localSheetId="4">#REF!</definedName>
    <definedName name="Sale1" localSheetId="20">#REF!</definedName>
    <definedName name="Sale1">#REF!</definedName>
    <definedName name="Sale2" localSheetId="7">#REF!</definedName>
    <definedName name="Sale2" localSheetId="15">#REF!</definedName>
    <definedName name="Sale2" localSheetId="1">#REF!</definedName>
    <definedName name="Sale2" localSheetId="18">#REF!</definedName>
    <definedName name="Sale2" localSheetId="16">#REF!</definedName>
    <definedName name="Sale2" localSheetId="6">#REF!</definedName>
    <definedName name="Sale2" localSheetId="5">#REF!</definedName>
    <definedName name="Sale2" localSheetId="3">#REF!</definedName>
    <definedName name="Sale2" localSheetId="17">#REF!</definedName>
    <definedName name="Sale2" localSheetId="8">#REF!</definedName>
    <definedName name="Sale2" localSheetId="4">#REF!</definedName>
    <definedName name="Sale2" localSheetId="20">#REF!</definedName>
    <definedName name="Sale2">#REF!</definedName>
    <definedName name="Sale3" localSheetId="7">#REF!</definedName>
    <definedName name="Sale3" localSheetId="15">#REF!</definedName>
    <definedName name="Sale3" localSheetId="1">#REF!</definedName>
    <definedName name="Sale3" localSheetId="18">#REF!</definedName>
    <definedName name="Sale3" localSheetId="16">#REF!</definedName>
    <definedName name="Sale3" localSheetId="6">#REF!</definedName>
    <definedName name="Sale3" localSheetId="5">#REF!</definedName>
    <definedName name="Sale3" localSheetId="3">#REF!</definedName>
    <definedName name="Sale3" localSheetId="17">#REF!</definedName>
    <definedName name="Sale3" localSheetId="8">#REF!</definedName>
    <definedName name="Sale3" localSheetId="4">#REF!</definedName>
    <definedName name="Sale3" localSheetId="20">#REF!</definedName>
    <definedName name="Sale3">#REF!</definedName>
    <definedName name="Sale4" localSheetId="7">#REF!</definedName>
    <definedName name="Sale4" localSheetId="15">#REF!</definedName>
    <definedName name="Sale4" localSheetId="1">#REF!</definedName>
    <definedName name="Sale4" localSheetId="18">#REF!</definedName>
    <definedName name="Sale4" localSheetId="16">#REF!</definedName>
    <definedName name="Sale4" localSheetId="6">#REF!</definedName>
    <definedName name="Sale4" localSheetId="5">#REF!</definedName>
    <definedName name="Sale4" localSheetId="3">#REF!</definedName>
    <definedName name="Sale4" localSheetId="17">#REF!</definedName>
    <definedName name="Sale4" localSheetId="8">#REF!</definedName>
    <definedName name="Sale4" localSheetId="4">#REF!</definedName>
    <definedName name="Sale4" localSheetId="20">#REF!</definedName>
    <definedName name="Sale4">#REF!</definedName>
    <definedName name="SaleGrowthRate2002_2003" localSheetId="7">#REF!</definedName>
    <definedName name="SaleGrowthRate2002_2003" localSheetId="15">#REF!</definedName>
    <definedName name="SaleGrowthRate2002_2003" localSheetId="1">#REF!</definedName>
    <definedName name="SaleGrowthRate2002_2003" localSheetId="18">#REF!</definedName>
    <definedName name="SaleGrowthRate2002_2003" localSheetId="16">#REF!</definedName>
    <definedName name="SaleGrowthRate2002_2003" localSheetId="6">#REF!</definedName>
    <definedName name="SaleGrowthRate2002_2003" localSheetId="5">#REF!</definedName>
    <definedName name="SaleGrowthRate2002_2003" localSheetId="3">#REF!</definedName>
    <definedName name="SaleGrowthRate2002_2003" localSheetId="17">#REF!</definedName>
    <definedName name="SaleGrowthRate2002_2003" localSheetId="8">#REF!</definedName>
    <definedName name="SaleGrowthRate2002_2003" localSheetId="4">#REF!</definedName>
    <definedName name="SaleGrowthRate2002_2003" localSheetId="20">#REF!</definedName>
    <definedName name="SaleGrowthRate2002_2003">#REF!</definedName>
    <definedName name="Sample1" localSheetId="7">[60]Template!#REF!</definedName>
    <definedName name="Sample1" localSheetId="15">[60]Template!#REF!</definedName>
    <definedName name="Sample1" localSheetId="1">[60]Template!#REF!</definedName>
    <definedName name="Sample1" localSheetId="18">[60]Template!#REF!</definedName>
    <definedName name="Sample1" localSheetId="16">[60]Template!#REF!</definedName>
    <definedName name="Sample1" localSheetId="6">[60]Template!#REF!</definedName>
    <definedName name="Sample1" localSheetId="10">[60]Template!#REF!</definedName>
    <definedName name="Sample1" localSheetId="14">[60]Template!#REF!</definedName>
    <definedName name="Sample1" localSheetId="5">[61]Template!#REF!</definedName>
    <definedName name="Sample1" localSheetId="3">[61]Template!#REF!</definedName>
    <definedName name="Sample1" localSheetId="17">[61]Template!#REF!</definedName>
    <definedName name="Sample1" localSheetId="8">[61]Template!#REF!</definedName>
    <definedName name="Sample1" localSheetId="4">[60]Template!#REF!</definedName>
    <definedName name="Sample1" localSheetId="20">[60]Template!#REF!</definedName>
    <definedName name="Sample1">[60]Template!#REF!</definedName>
    <definedName name="Sample2" localSheetId="7">[60]Template!#REF!</definedName>
    <definedName name="Sample2" localSheetId="15">[60]Template!#REF!</definedName>
    <definedName name="Sample2" localSheetId="1">[60]Template!#REF!</definedName>
    <definedName name="Sample2" localSheetId="18">[60]Template!#REF!</definedName>
    <definedName name="Sample2" localSheetId="16">[60]Template!#REF!</definedName>
    <definedName name="Sample2" localSheetId="6">[60]Template!#REF!</definedName>
    <definedName name="Sample2" localSheetId="10">[60]Template!#REF!</definedName>
    <definedName name="Sample2" localSheetId="14">[60]Template!#REF!</definedName>
    <definedName name="Sample2" localSheetId="5">[61]Template!#REF!</definedName>
    <definedName name="Sample2" localSheetId="3">[61]Template!#REF!</definedName>
    <definedName name="Sample2" localSheetId="17">[61]Template!#REF!</definedName>
    <definedName name="Sample2" localSheetId="8">[61]Template!#REF!</definedName>
    <definedName name="Sample2" localSheetId="4">[60]Template!#REF!</definedName>
    <definedName name="Sample2" localSheetId="20">[60]Template!#REF!</definedName>
    <definedName name="Sample2">[60]Template!#REF!</definedName>
    <definedName name="SAVMAG" localSheetId="7">'[18]#REF'!#REF!</definedName>
    <definedName name="SAVMAG" localSheetId="15">'[18]#REF'!#REF!</definedName>
    <definedName name="SAVMAG" localSheetId="1">'[18]#REF'!#REF!</definedName>
    <definedName name="SAVMAG" localSheetId="18">'[18]#REF'!#REF!</definedName>
    <definedName name="SAVMAG" localSheetId="16">'[18]#REF'!#REF!</definedName>
    <definedName name="SAVMAG" localSheetId="6">'[18]#REF'!#REF!</definedName>
    <definedName name="SAVMAG" localSheetId="5">'[18]#REF'!#REF!</definedName>
    <definedName name="SAVMAG" localSheetId="3">'[18]#REF'!#REF!</definedName>
    <definedName name="SAVMAG" localSheetId="17">'[18]#REF'!#REF!</definedName>
    <definedName name="SAVMAG" localSheetId="8">'[18]#REF'!#REF!</definedName>
    <definedName name="SAVMAG" localSheetId="4">'[18]#REF'!#REF!</definedName>
    <definedName name="SAVMAG" localSheetId="20">'[18]#REF'!#REF!</definedName>
    <definedName name="SAVMAG">'[18]#REF'!#REF!</definedName>
    <definedName name="SB">[58]IBASE!$AH$7:$AL$14</definedName>
    <definedName name="Scaling" localSheetId="5">[62]Assumptions!$B$15</definedName>
    <definedName name="Scaling" localSheetId="3">[62]Assumptions!$B$15</definedName>
    <definedName name="Scaling" localSheetId="17">[62]Assumptions!$B$15</definedName>
    <definedName name="Scaling" localSheetId="8">[62]Assumptions!$B$15</definedName>
    <definedName name="Scaling">[62]Assumptions!$B$15</definedName>
    <definedName name="SCCT_CHONDK" localSheetId="5">[7]SCCT!$M$1</definedName>
    <definedName name="SCCT_CHONDK" localSheetId="3">[7]SCCT!$M$1</definedName>
    <definedName name="SCCT_CHONDK" localSheetId="17">[7]SCCT!$M$1</definedName>
    <definedName name="SCCT_CHONDK" localSheetId="8">[7]SCCT!$M$1</definedName>
    <definedName name="SCCT_CHONDK">[7]SCCT!$M$1</definedName>
    <definedName name="SCCT_KC" localSheetId="5">[7]SCCT!$I$2</definedName>
    <definedName name="SCCT_KC" localSheetId="3">[7]SCCT!$I$2</definedName>
    <definedName name="SCCT_KC" localSheetId="17">[7]SCCT!$I$2</definedName>
    <definedName name="SCCT_KC" localSheetId="8">[7]SCCT!$I$2</definedName>
    <definedName name="SCCT_KC">[7]SCCT!$I$2</definedName>
    <definedName name="SCCT_KD" localSheetId="5">[7]SCCT!$G$2</definedName>
    <definedName name="SCCT_KD" localSheetId="3">[7]SCCT!$G$2</definedName>
    <definedName name="SCCT_KD" localSheetId="17">[7]SCCT!$G$2</definedName>
    <definedName name="SCCT_KD" localSheetId="8">[7]SCCT!$G$2</definedName>
    <definedName name="SCCT_KD">[7]SCCT!$G$2</definedName>
    <definedName name="SCCT_MADT" localSheetId="5">[7]SCCT!$D$1</definedName>
    <definedName name="SCCT_MADT" localSheetId="3">[7]SCCT!$D$1</definedName>
    <definedName name="SCCT_MADT" localSheetId="17">[7]SCCT!$D$1</definedName>
    <definedName name="SCCT_MADT" localSheetId="8">[7]SCCT!$D$1</definedName>
    <definedName name="SCCT_MADT">[7]SCCT!$D$1</definedName>
    <definedName name="SCCT_NC" localSheetId="5">[7]SCCT!$I$1</definedName>
    <definedName name="SCCT_NC" localSheetId="3">[7]SCCT!$I$1</definedName>
    <definedName name="SCCT_NC" localSheetId="17">[7]SCCT!$I$1</definedName>
    <definedName name="SCCT_NC" localSheetId="8">[7]SCCT!$I$1</definedName>
    <definedName name="SCCT_NC">[7]SCCT!$I$1</definedName>
    <definedName name="SCCT_ND" localSheetId="5">[7]SCCT!$G$1</definedName>
    <definedName name="SCCT_ND" localSheetId="3">[7]SCCT!$G$1</definedName>
    <definedName name="SCCT_ND" localSheetId="17">[7]SCCT!$G$1</definedName>
    <definedName name="SCCT_ND" localSheetId="8">[7]SCCT!$G$1</definedName>
    <definedName name="SCCT_ND">[7]SCCT!$G$1</definedName>
    <definedName name="SCCT_SHTK" localSheetId="5">[7]SCCT!$D$2</definedName>
    <definedName name="SCCT_SHTK" localSheetId="3">[7]SCCT!$D$2</definedName>
    <definedName name="SCCT_SHTK" localSheetId="17">[7]SCCT!$D$2</definedName>
    <definedName name="SCCT_SHTK" localSheetId="8">[7]SCCT!$D$2</definedName>
    <definedName name="SCCT_SHTK">[7]SCCT!$D$2</definedName>
    <definedName name="scedule">"'file:///A:/KHIROSAW/WINXL/FPV/95FPV/PACKAGE/INDSEG1.XLS'#$'VARIANCE ANALYSIS'.$#REF!$#REF!:$#REF!$#REF!"</definedName>
    <definedName name="SCH" localSheetId="7">#REF!</definedName>
    <definedName name="SCH" localSheetId="15">#REF!</definedName>
    <definedName name="SCH" localSheetId="1">#REF!</definedName>
    <definedName name="SCH" localSheetId="18">#REF!</definedName>
    <definedName name="SCH" localSheetId="16">#REF!</definedName>
    <definedName name="SCH" localSheetId="6">#REF!</definedName>
    <definedName name="SCH" localSheetId="3">#REF!</definedName>
    <definedName name="SCH" localSheetId="17">#REF!</definedName>
    <definedName name="SCH" localSheetId="8">#REF!</definedName>
    <definedName name="SCH" localSheetId="4">#REF!</definedName>
    <definedName name="SCH" localSheetId="20">#REF!</definedName>
    <definedName name="SCH">#REF!</definedName>
    <definedName name="SChonsei" localSheetId="7">#REF!</definedName>
    <definedName name="SChonsei" localSheetId="15">#REF!</definedName>
    <definedName name="SChonsei" localSheetId="1">#REF!</definedName>
    <definedName name="SChonsei" localSheetId="18">#REF!</definedName>
    <definedName name="SChonsei" localSheetId="16">#REF!</definedName>
    <definedName name="SChonsei" localSheetId="6">#REF!</definedName>
    <definedName name="SChonsei" localSheetId="5">#REF!</definedName>
    <definedName name="SChonsei" localSheetId="3">#REF!</definedName>
    <definedName name="SChonsei" localSheetId="17">#REF!</definedName>
    <definedName name="SChonsei" localSheetId="8">#REF!</definedName>
    <definedName name="SChonsei" localSheetId="4">#REF!</definedName>
    <definedName name="SChonsei" localSheetId="20">#REF!</definedName>
    <definedName name="SChonsei">#REF!</definedName>
    <definedName name="SCTH_CHONDK" localSheetId="5">[7]SCTH!$J$1</definedName>
    <definedName name="SCTH_CHONDK" localSheetId="3">[7]SCTH!$J$1</definedName>
    <definedName name="SCTH_CHONDK" localSheetId="17">[7]SCTH!$J$1</definedName>
    <definedName name="SCTH_CHONDK" localSheetId="8">[7]SCTH!$J$1</definedName>
    <definedName name="SCTH_CHONDK">[7]SCTH!$J$1</definedName>
    <definedName name="SCTH_KC" localSheetId="5">[7]SCTH!$I$2</definedName>
    <definedName name="SCTH_KC" localSheetId="3">[7]SCTH!$I$2</definedName>
    <definedName name="SCTH_KC" localSheetId="17">[7]SCTH!$I$2</definedName>
    <definedName name="SCTH_KC" localSheetId="8">[7]SCTH!$I$2</definedName>
    <definedName name="SCTH_KC">[7]SCTH!$I$2</definedName>
    <definedName name="SCTH_KD" localSheetId="5">[7]SCTH!$G$2</definedName>
    <definedName name="SCTH_KD" localSheetId="3">[7]SCTH!$G$2</definedName>
    <definedName name="SCTH_KD" localSheetId="17">[7]SCTH!$G$2</definedName>
    <definedName name="SCTH_KD" localSheetId="8">[7]SCTH!$G$2</definedName>
    <definedName name="SCTH_KD">[7]SCTH!$G$2</definedName>
    <definedName name="SCTH_NC" localSheetId="5">[7]SCTH!$I$1</definedName>
    <definedName name="SCTH_NC" localSheetId="3">[7]SCTH!$I$1</definedName>
    <definedName name="SCTH_NC" localSheetId="17">[7]SCTH!$I$1</definedName>
    <definedName name="SCTH_NC" localSheetId="8">[7]SCTH!$I$1</definedName>
    <definedName name="SCTH_NC">[7]SCTH!$I$1</definedName>
    <definedName name="SCTH_ND" localSheetId="5">[7]SCTH!$G$1</definedName>
    <definedName name="SCTH_ND" localSheetId="3">[7]SCTH!$G$1</definedName>
    <definedName name="SCTH_ND" localSheetId="17">[7]SCTH!$G$1</definedName>
    <definedName name="SCTH_ND" localSheetId="8">[7]SCTH!$G$1</definedName>
    <definedName name="SCTH_ND">[7]SCTH!$G$1</definedName>
    <definedName name="SCTH_SHTK" localSheetId="5">[7]SCTH!$D$1</definedName>
    <definedName name="SCTH_SHTK" localSheetId="3">[7]SCTH!$D$1</definedName>
    <definedName name="SCTH_SHTK" localSheetId="17">[7]SCTH!$D$1</definedName>
    <definedName name="SCTH_SHTK" localSheetId="8">[7]SCTH!$D$1</definedName>
    <definedName name="SCTH_SHTK">[7]SCTH!$D$1</definedName>
    <definedName name="sd" localSheetId="7">#REF!</definedName>
    <definedName name="sd" localSheetId="15">#REF!</definedName>
    <definedName name="sd" localSheetId="1">#REF!</definedName>
    <definedName name="sd" localSheetId="18">#REF!</definedName>
    <definedName name="sd" localSheetId="16">#REF!</definedName>
    <definedName name="sd" localSheetId="6">#REF!</definedName>
    <definedName name="sd" localSheetId="3">#REF!</definedName>
    <definedName name="sd" localSheetId="17">#REF!</definedName>
    <definedName name="sd" localSheetId="8">#REF!</definedName>
    <definedName name="sd" localSheetId="4">#REF!</definedName>
    <definedName name="sd" localSheetId="20">#REF!</definedName>
    <definedName name="sd">#REF!</definedName>
    <definedName name="SDDK_C" localSheetId="5">[7]SDDK!$K$6:$K$2000</definedName>
    <definedName name="SDDK_C" localSheetId="3">[7]SDDK!$K$6:$K$2000</definedName>
    <definedName name="SDDK_C" localSheetId="17">[7]SDDK!$K$6:$K$2000</definedName>
    <definedName name="SDDK_C" localSheetId="8">[7]SDDK!$K$6:$K$2000</definedName>
    <definedName name="SDDK_C">[7]SDDK!$K$6:$K$2000</definedName>
    <definedName name="SDDK_CO" localSheetId="5">[7]SDDK!$E$6:$E$249</definedName>
    <definedName name="SDDK_CO" localSheetId="3">[7]SDDK!$E$6:$E$249</definedName>
    <definedName name="SDDK_CO" localSheetId="17">[7]SDDK!$E$6:$E$249</definedName>
    <definedName name="SDDK_CO" localSheetId="8">[7]SDDK!$E$6:$E$249</definedName>
    <definedName name="SDDK_CO">[7]SDDK!$E$6:$E$249</definedName>
    <definedName name="SDDK_MADT" localSheetId="5">[7]SDDK!$H$6:$H$2000</definedName>
    <definedName name="SDDK_MADT" localSheetId="3">[7]SDDK!$H$6:$H$2000</definedName>
    <definedName name="SDDK_MADT" localSheetId="17">[7]SDDK!$H$6:$H$2000</definedName>
    <definedName name="SDDK_MADT" localSheetId="8">[7]SDDK!$H$6:$H$2000</definedName>
    <definedName name="SDDK_MADT">[7]SDDK!$H$6:$H$2000</definedName>
    <definedName name="SDDK_MH" localSheetId="5">[7]SDDK!$O$6:$O$199</definedName>
    <definedName name="SDDK_MH" localSheetId="3">[7]SDDK!$O$6:$O$199</definedName>
    <definedName name="SDDK_MH" localSheetId="17">[7]SDDK!$O$6:$O$199</definedName>
    <definedName name="SDDK_MH" localSheetId="8">[7]SDDK!$O$6:$O$199</definedName>
    <definedName name="SDDK_MH">[7]SDDK!$O$6:$O$199</definedName>
    <definedName name="SDDK_MK" localSheetId="5">[7]SDDK!$U$6:$U$199</definedName>
    <definedName name="SDDK_MK" localSheetId="3">[7]SDDK!$U$6:$U$199</definedName>
    <definedName name="SDDK_MK" localSheetId="17">[7]SDDK!$U$6:$U$199</definedName>
    <definedName name="SDDK_MK" localSheetId="8">[7]SDDK!$U$6:$U$199</definedName>
    <definedName name="SDDK_MK">[7]SDDK!$U$6:$U$199</definedName>
    <definedName name="SDDK_N" localSheetId="5">[7]SDDK!$J$6:$J$52000</definedName>
    <definedName name="SDDK_N" localSheetId="3">[7]SDDK!$J$6:$J$52000</definedName>
    <definedName name="SDDK_N" localSheetId="17">[7]SDDK!$J$6:$J$52000</definedName>
    <definedName name="SDDK_N" localSheetId="8">[7]SDDK!$J$6:$J$52000</definedName>
    <definedName name="SDDK_N">[7]SDDK!$J$6:$J$52000</definedName>
    <definedName name="SDDK_NO" localSheetId="5">[7]SDDK!$D$6:$D$249</definedName>
    <definedName name="SDDK_NO" localSheetId="3">[7]SDDK!$D$6:$D$249</definedName>
    <definedName name="SDDK_NO" localSheetId="17">[7]SDDK!$D$6:$D$249</definedName>
    <definedName name="SDDK_NO" localSheetId="8">[7]SDDK!$D$6:$D$249</definedName>
    <definedName name="SDDK_NO">[7]SDDK!$D$6:$D$249</definedName>
    <definedName name="SDDK_SL" localSheetId="5">[7]SDDK!$R$6:$R$199</definedName>
    <definedName name="SDDK_SL" localSheetId="3">[7]SDDK!$R$6:$R$199</definedName>
    <definedName name="SDDK_SL" localSheetId="17">[7]SDDK!$R$6:$R$199</definedName>
    <definedName name="SDDK_SL" localSheetId="8">[7]SDDK!$R$6:$R$199</definedName>
    <definedName name="SDDK_SL">[7]SDDK!$R$6:$R$199</definedName>
    <definedName name="SDDK_TIEN" localSheetId="5">[7]SDDK!$L$6:$L$2000</definedName>
    <definedName name="SDDK_TIEN" localSheetId="3">[7]SDDK!$L$6:$L$2000</definedName>
    <definedName name="SDDK_TIEN" localSheetId="17">[7]SDDK!$L$6:$L$2000</definedName>
    <definedName name="SDDK_TIEN" localSheetId="8">[7]SDDK!$L$6:$L$2000</definedName>
    <definedName name="SDDK_TIEN">[7]SDDK!$L$6:$L$2000</definedName>
    <definedName name="SDDK_TK1" localSheetId="5">[7]SDDK!$A$6:$A$249</definedName>
    <definedName name="SDDK_TK1" localSheetId="3">[7]SDDK!$A$6:$A$249</definedName>
    <definedName name="SDDK_TK1" localSheetId="17">[7]SDDK!$A$6:$A$249</definedName>
    <definedName name="SDDK_TK1" localSheetId="8">[7]SDDK!$A$6:$A$249</definedName>
    <definedName name="SDDK_TK1">[7]SDDK!$A$6:$A$249</definedName>
    <definedName name="SDDK_TK2" localSheetId="7">[7]SDDK!$B$6:$B$249</definedName>
    <definedName name="SDDK_TK2" localSheetId="15">[7]SDDK!$B$6:$B$249</definedName>
    <definedName name="SDDK_TK2" localSheetId="10">[7]SDDK!$B$6:$B$249</definedName>
    <definedName name="SDDK_TK2" localSheetId="14">[7]SDDK!$B$6:$B$249</definedName>
    <definedName name="SDDK_TK2" localSheetId="5">[7]SDDK!$B$6:$B$249</definedName>
    <definedName name="SDDK_TK2" localSheetId="3">[7]SDDK!$B$6:$B$249</definedName>
    <definedName name="SDDK_TK2" localSheetId="17">[7]SDDK!$B$6:$B$249</definedName>
    <definedName name="SDDK_TK2" localSheetId="8">[7]SDDK!$B$6:$B$249</definedName>
    <definedName name="SDDK_TK2">[7]SDDK!$B$6:$B$249</definedName>
    <definedName name="SDDK_TKTT" localSheetId="7">[7]SDDK!$T$6:$T$199</definedName>
    <definedName name="SDDK_TKTT" localSheetId="15">[7]SDDK!$T$6:$T$199</definedName>
    <definedName name="SDDK_TKTT" localSheetId="10">[7]SDDK!$T$6:$T$199</definedName>
    <definedName name="SDDK_TKTT" localSheetId="14">[7]SDDK!$T$6:$T$199</definedName>
    <definedName name="SDDK_TKTT" localSheetId="5">[7]SDDK!$T$6:$T$199</definedName>
    <definedName name="SDDK_TKTT" localSheetId="3">[7]SDDK!$T$6:$T$199</definedName>
    <definedName name="SDDK_TKTT" localSheetId="17">[7]SDDK!$T$6:$T$199</definedName>
    <definedName name="SDDK_TKTT" localSheetId="8">[7]SDDK!$T$6:$T$199</definedName>
    <definedName name="SDDK_TKTT">[7]SDDK!$T$6:$T$199</definedName>
    <definedName name="Select_members" localSheetId="7">'2018-2022'!Select_members</definedName>
    <definedName name="Select_members" localSheetId="15">'2018-2022 SF'!Select_members</definedName>
    <definedName name="Select_members" localSheetId="16">B!Select_members</definedName>
    <definedName name="Select_members" localSheetId="5">[17]!Select_members</definedName>
    <definedName name="Select_members" localSheetId="3">[17]!Select_members</definedName>
    <definedName name="Select_members" localSheetId="17">[17]!Select_members</definedName>
    <definedName name="Select_members" localSheetId="8">[17]!Select_members</definedName>
    <definedName name="Select_members" localSheetId="4">Reconciliation!Select_members</definedName>
    <definedName name="Select_members" localSheetId="2">'Summary 2018 - MF'!Select_members</definedName>
    <definedName name="Select_members">[0]!Select_members</definedName>
    <definedName name="Select_members_10" localSheetId="7">'2018-2022'!Select_members_10</definedName>
    <definedName name="Select_members_10" localSheetId="15">'2018-2022 SF'!Select_members_10</definedName>
    <definedName name="Select_members_10" localSheetId="16">B!Select_members_10</definedName>
    <definedName name="Select_members_10" localSheetId="5">[17]!Select_members_10</definedName>
    <definedName name="Select_members_10" localSheetId="3">[17]!Select_members_10</definedName>
    <definedName name="Select_members_10" localSheetId="17">[17]!Select_members_10</definedName>
    <definedName name="Select_members_10" localSheetId="8">[17]!Select_members_10</definedName>
    <definedName name="Select_members_10" localSheetId="4">Reconciliation!Select_members_10</definedName>
    <definedName name="Select_members_10" localSheetId="2">'Summary 2018 - MF'!Select_members_10</definedName>
    <definedName name="Select_members_10">[0]!Select_members_10</definedName>
    <definedName name="SEPARATE" localSheetId="7">#REF!</definedName>
    <definedName name="SEPARATE" localSheetId="15">#REF!</definedName>
    <definedName name="SEPARATE" localSheetId="1">#REF!</definedName>
    <definedName name="SEPARATE" localSheetId="18">#REF!</definedName>
    <definedName name="SEPARATE" localSheetId="16">#REF!</definedName>
    <definedName name="SEPARATE" localSheetId="6">#REF!</definedName>
    <definedName name="SEPARATE" localSheetId="10">#REF!</definedName>
    <definedName name="SEPARATE" localSheetId="14">#REF!</definedName>
    <definedName name="SEPARATE" localSheetId="5">#REF!</definedName>
    <definedName name="SEPARATE" localSheetId="3">#REF!</definedName>
    <definedName name="SEPARATE" localSheetId="17">#REF!</definedName>
    <definedName name="SEPARATE" localSheetId="8">#REF!</definedName>
    <definedName name="SEPARATE" localSheetId="4">#REF!</definedName>
    <definedName name="SEPARATE" localSheetId="20">#REF!</definedName>
    <definedName name="SEPARATE">#REF!</definedName>
    <definedName name="sept00" localSheetId="7">#REF!</definedName>
    <definedName name="sept00" localSheetId="15">#REF!</definedName>
    <definedName name="sept00" localSheetId="1">#REF!</definedName>
    <definedName name="sept00" localSheetId="18">#REF!</definedName>
    <definedName name="sept00" localSheetId="16">#REF!</definedName>
    <definedName name="sept00" localSheetId="6">#REF!</definedName>
    <definedName name="sept00" localSheetId="5">#REF!</definedName>
    <definedName name="sept00" localSheetId="3">#REF!</definedName>
    <definedName name="sept00" localSheetId="17">#REF!</definedName>
    <definedName name="sept00" localSheetId="8">#REF!</definedName>
    <definedName name="sept00" localSheetId="4">#REF!</definedName>
    <definedName name="sept00" localSheetId="20">#REF!</definedName>
    <definedName name="sept00">#REF!</definedName>
    <definedName name="Server_Select_Change" localSheetId="7">'2018-2022'!Server_Select_Change</definedName>
    <definedName name="Server_Select_Change" localSheetId="15">'2018-2022 SF'!Server_Select_Change</definedName>
    <definedName name="Server_Select_Change" localSheetId="16">B!Server_Select_Change</definedName>
    <definedName name="Server_Select_Change" localSheetId="5">[17]!Server_Select_Change</definedName>
    <definedName name="Server_Select_Change" localSheetId="3">[17]!Server_Select_Change</definedName>
    <definedName name="Server_Select_Change" localSheetId="17">[17]!Server_Select_Change</definedName>
    <definedName name="Server_Select_Change" localSheetId="8">[17]!Server_Select_Change</definedName>
    <definedName name="Server_Select_Change" localSheetId="4">Reconciliation!Server_Select_Change</definedName>
    <definedName name="Server_Select_Change" localSheetId="2">'Summary 2018 - MF'!Server_Select_Change</definedName>
    <definedName name="Server_Select_Change">[0]!Server_Select_Change</definedName>
    <definedName name="Server_Select_Change_10" localSheetId="7">'2018-2022'!Server_Select_Change_10</definedName>
    <definedName name="Server_Select_Change_10" localSheetId="15">'2018-2022 SF'!Server_Select_Change_10</definedName>
    <definedName name="Server_Select_Change_10" localSheetId="16">B!Server_Select_Change_10</definedName>
    <definedName name="Server_Select_Change_10" localSheetId="5">[17]!Server_Select_Change_10</definedName>
    <definedName name="Server_Select_Change_10" localSheetId="3">[17]!Server_Select_Change_10</definedName>
    <definedName name="Server_Select_Change_10" localSheetId="17">[17]!Server_Select_Change_10</definedName>
    <definedName name="Server_Select_Change_10" localSheetId="8">[17]!Server_Select_Change_10</definedName>
    <definedName name="Server_Select_Change_10" localSheetId="4">Reconciliation!Server_Select_Change_10</definedName>
    <definedName name="Server_Select_Change_10" localSheetId="2">'Summary 2018 - MF'!Server_Select_Change_10</definedName>
    <definedName name="Server_Select_Change_10">[0]!Server_Select_Change_10</definedName>
    <definedName name="services" localSheetId="7">#REF!</definedName>
    <definedName name="services" localSheetId="15">#REF!</definedName>
    <definedName name="services" localSheetId="1">#REF!</definedName>
    <definedName name="services" localSheetId="18">#REF!</definedName>
    <definedName name="services" localSheetId="16">#REF!</definedName>
    <definedName name="services" localSheetId="6">#REF!</definedName>
    <definedName name="services" localSheetId="5">#REF!</definedName>
    <definedName name="services" localSheetId="3">#REF!</definedName>
    <definedName name="services" localSheetId="17">#REF!</definedName>
    <definedName name="services" localSheetId="8">#REF!</definedName>
    <definedName name="services" localSheetId="4">#REF!</definedName>
    <definedName name="services" localSheetId="20">#REF!</definedName>
    <definedName name="services">#REF!</definedName>
    <definedName name="Services1" localSheetId="7">[43]BDGTCE!#REF!</definedName>
    <definedName name="Services1" localSheetId="15">[43]BDGTCE!#REF!</definedName>
    <definedName name="Services1" localSheetId="1">[43]BDGTCE!#REF!</definedName>
    <definedName name="Services1" localSheetId="18">[43]BDGTCE!#REF!</definedName>
    <definedName name="Services1" localSheetId="16">[43]BDGTCE!#REF!</definedName>
    <definedName name="Services1" localSheetId="6">[43]BDGTCE!#REF!</definedName>
    <definedName name="Services1" localSheetId="5">[43]BDGTCE!#REF!</definedName>
    <definedName name="Services1" localSheetId="3">[43]BDGTCE!#REF!</definedName>
    <definedName name="Services1" localSheetId="17">[43]BDGTCE!#REF!</definedName>
    <definedName name="Services1" localSheetId="8">[43]BDGTCE!#REF!</definedName>
    <definedName name="Services1" localSheetId="4">[43]BDGTCE!#REF!</definedName>
    <definedName name="Services1" localSheetId="20">[43]BDGTCE!#REF!</definedName>
    <definedName name="Services1">[43]BDGTCE!#REF!</definedName>
    <definedName name="sfashgh" localSheetId="7">'2018-2022'!sfashgh</definedName>
    <definedName name="sfashgh" localSheetId="15">'2018-2022 SF'!sfashgh</definedName>
    <definedName name="sfashgh" localSheetId="16">B!sfashgh</definedName>
    <definedName name="sfashgh" localSheetId="5">[17]!sfashgh</definedName>
    <definedName name="sfashgh" localSheetId="3">[17]!sfashgh</definedName>
    <definedName name="sfashgh" localSheetId="17">[17]!sfashgh</definedName>
    <definedName name="sfashgh" localSheetId="8">[17]!sfashgh</definedName>
    <definedName name="sfashgh" localSheetId="4">Reconciliation!sfashgh</definedName>
    <definedName name="sfashgh" localSheetId="2">'Summary 2018 - MF'!sfashgh</definedName>
    <definedName name="sfashgh">[0]!sfashgh</definedName>
    <definedName name="sfashgh_10" localSheetId="7">'2018-2022'!sfashgh_10</definedName>
    <definedName name="sfashgh_10" localSheetId="15">'2018-2022 SF'!sfashgh_10</definedName>
    <definedName name="sfashgh_10" localSheetId="16">B!sfashgh_10</definedName>
    <definedName name="sfashgh_10" localSheetId="5">[17]!sfashgh_10</definedName>
    <definedName name="sfashgh_10" localSheetId="3">[17]!sfashgh_10</definedName>
    <definedName name="sfashgh_10" localSheetId="17">[17]!sfashgh_10</definedName>
    <definedName name="sfashgh_10" localSheetId="8">[17]!sfashgh_10</definedName>
    <definedName name="sfashgh_10" localSheetId="4">Reconciliation!sfashgh_10</definedName>
    <definedName name="sfashgh_10" localSheetId="2">'Summary 2018 - MF'!sfashgh_10</definedName>
    <definedName name="sfashgh_10">[0]!sfashgh_10</definedName>
    <definedName name="sfsagsgfd" localSheetId="7">'2018-2022'!sfsagsgfd</definedName>
    <definedName name="sfsagsgfd" localSheetId="15">'2018-2022 SF'!sfsagsgfd</definedName>
    <definedName name="sfsagsgfd" localSheetId="16">B!sfsagsgfd</definedName>
    <definedName name="sfsagsgfd" localSheetId="5">[17]!sfsagsgfd</definedName>
    <definedName name="sfsagsgfd" localSheetId="3">[17]!sfsagsgfd</definedName>
    <definedName name="sfsagsgfd" localSheetId="17">[17]!sfsagsgfd</definedName>
    <definedName name="sfsagsgfd" localSheetId="8">[17]!sfsagsgfd</definedName>
    <definedName name="sfsagsgfd" localSheetId="4">Reconciliation!sfsagsgfd</definedName>
    <definedName name="sfsagsgfd" localSheetId="2">'Summary 2018 - MF'!sfsagsgfd</definedName>
    <definedName name="sfsagsgfd">[0]!sfsagsgfd</definedName>
    <definedName name="sfsagsgfd_10" localSheetId="7">'2018-2022'!sfsagsgfd_10</definedName>
    <definedName name="sfsagsgfd_10" localSheetId="15">'2018-2022 SF'!sfsagsgfd_10</definedName>
    <definedName name="sfsagsgfd_10" localSheetId="16">B!sfsagsgfd_10</definedName>
    <definedName name="sfsagsgfd_10" localSheetId="5">[17]!sfsagsgfd_10</definedName>
    <definedName name="sfsagsgfd_10" localSheetId="3">[17]!sfsagsgfd_10</definedName>
    <definedName name="sfsagsgfd_10" localSheetId="17">[17]!sfsagsgfd_10</definedName>
    <definedName name="sfsagsgfd_10" localSheetId="8">[17]!sfsagsgfd_10</definedName>
    <definedName name="sfsagsgfd_10" localSheetId="4">Reconciliation!sfsagsgfd_10</definedName>
    <definedName name="sfsagsgfd_10" localSheetId="2">'Summary 2018 - MF'!sfsagsgfd_10</definedName>
    <definedName name="sfsagsgfd_10">[0]!sfsagsgfd_10</definedName>
    <definedName name="sfsddfd" localSheetId="7">'2018-2022'!sfsddfd</definedName>
    <definedName name="sfsddfd" localSheetId="15">'2018-2022 SF'!sfsddfd</definedName>
    <definedName name="sfsddfd" localSheetId="16">B!sfsddfd</definedName>
    <definedName name="sfsddfd" localSheetId="5">[17]!sfsddfd</definedName>
    <definedName name="sfsddfd" localSheetId="3">[17]!sfsddfd</definedName>
    <definedName name="sfsddfd" localSheetId="17">[17]!sfsddfd</definedName>
    <definedName name="sfsddfd" localSheetId="8">[17]!sfsddfd</definedName>
    <definedName name="sfsddfd" localSheetId="4">Reconciliation!sfsddfd</definedName>
    <definedName name="sfsddfd" localSheetId="2">'Summary 2018 - MF'!sfsddfd</definedName>
    <definedName name="sfsddfd">[0]!sfsddfd</definedName>
    <definedName name="sfsddfd_10" localSheetId="7">'2018-2022'!sfsddfd_10</definedName>
    <definedName name="sfsddfd_10" localSheetId="15">'2018-2022 SF'!sfsddfd_10</definedName>
    <definedName name="sfsddfd_10" localSheetId="16">B!sfsddfd_10</definedName>
    <definedName name="sfsddfd_10" localSheetId="5">[17]!sfsddfd_10</definedName>
    <definedName name="sfsddfd_10" localSheetId="3">[17]!sfsddfd_10</definedName>
    <definedName name="sfsddfd_10" localSheetId="17">[17]!sfsddfd_10</definedName>
    <definedName name="sfsddfd_10" localSheetId="8">[17]!sfsddfd_10</definedName>
    <definedName name="sfsddfd_10" localSheetId="4">Reconciliation!sfsddfd_10</definedName>
    <definedName name="sfsddfd_10" localSheetId="2">'Summary 2018 - MF'!sfsddfd_10</definedName>
    <definedName name="sfsddfd_10">[0]!sfsddfd_10</definedName>
    <definedName name="sh" localSheetId="5">[7]SCTH!$D$1</definedName>
    <definedName name="sh" localSheetId="3">[7]SCTH!$D$1</definedName>
    <definedName name="sh" localSheetId="17">[7]SCTH!$D$1</definedName>
    <definedName name="sh" localSheetId="8">[7]SCTH!$D$1</definedName>
    <definedName name="sh">[7]SCTH!$D$1</definedName>
    <definedName name="sht" localSheetId="7">#REF!</definedName>
    <definedName name="sht" localSheetId="15">#REF!</definedName>
    <definedName name="sht" localSheetId="1">#REF!</definedName>
    <definedName name="sht" localSheetId="18">#REF!</definedName>
    <definedName name="sht" localSheetId="16">#REF!</definedName>
    <definedName name="sht" localSheetId="6">#REF!</definedName>
    <definedName name="sht" localSheetId="3">#REF!</definedName>
    <definedName name="sht" localSheetId="17">#REF!</definedName>
    <definedName name="sht" localSheetId="8">#REF!</definedName>
    <definedName name="sht" localSheetId="4">#REF!</definedName>
    <definedName name="sht" localSheetId="20">#REF!</definedName>
    <definedName name="sht">#REF!</definedName>
    <definedName name="SIZE" localSheetId="7">#REF!</definedName>
    <definedName name="SIZE" localSheetId="15">#REF!</definedName>
    <definedName name="SIZE" localSheetId="1">#REF!</definedName>
    <definedName name="SIZE" localSheetId="18">#REF!</definedName>
    <definedName name="SIZE" localSheetId="16">#REF!</definedName>
    <definedName name="SIZE" localSheetId="6">#REF!</definedName>
    <definedName name="SIZE" localSheetId="3">#REF!</definedName>
    <definedName name="SIZE" localSheetId="17">#REF!</definedName>
    <definedName name="SIZE" localSheetId="8">#REF!</definedName>
    <definedName name="SIZE" localSheetId="4">#REF!</definedName>
    <definedName name="SIZE" localSheetId="20">#REF!</definedName>
    <definedName name="SIZE">#REF!</definedName>
    <definedName name="skd">[32]gvl!$Q$37</definedName>
    <definedName name="SL" localSheetId="7">#REF!</definedName>
    <definedName name="SL" localSheetId="15">#REF!</definedName>
    <definedName name="SL" localSheetId="1">#REF!</definedName>
    <definedName name="SL" localSheetId="18">#REF!</definedName>
    <definedName name="SL" localSheetId="16">#REF!</definedName>
    <definedName name="SL" localSheetId="6">#REF!</definedName>
    <definedName name="SL" localSheetId="3">#REF!</definedName>
    <definedName name="SL" localSheetId="17">#REF!</definedName>
    <definedName name="SL" localSheetId="8">#REF!</definedName>
    <definedName name="SL" localSheetId="4">#REF!</definedName>
    <definedName name="SL" localSheetId="20">#REF!</definedName>
    <definedName name="SL">#REF!</definedName>
    <definedName name="SLX" localSheetId="7">#REF!</definedName>
    <definedName name="SLX" localSheetId="15">#REF!</definedName>
    <definedName name="SLX" localSheetId="1">#REF!</definedName>
    <definedName name="SLX" localSheetId="18">#REF!</definedName>
    <definedName name="SLX" localSheetId="16">#REF!</definedName>
    <definedName name="SLX" localSheetId="6">#REF!</definedName>
    <definedName name="SLX" localSheetId="3">#REF!</definedName>
    <definedName name="SLX" localSheetId="17">#REF!</definedName>
    <definedName name="SLX" localSheetId="8">#REF!</definedName>
    <definedName name="SLX" localSheetId="4">#REF!</definedName>
    <definedName name="SLX" localSheetId="20">#REF!</definedName>
    <definedName name="SLX">#REF!</definedName>
    <definedName name="SModel">'[54]Model List'!$G$2:$G$320</definedName>
    <definedName name="SOCHITIET2" localSheetId="7">#REF!</definedName>
    <definedName name="SOCHITIET2" localSheetId="15">#REF!</definedName>
    <definedName name="SOCHITIET2" localSheetId="1">#REF!</definedName>
    <definedName name="SOCHITIET2" localSheetId="18">#REF!</definedName>
    <definedName name="SOCHITIET2" localSheetId="16">#REF!</definedName>
    <definedName name="SOCHITIET2" localSheetId="6">#REF!</definedName>
    <definedName name="SOCHITIET2" localSheetId="3">#REF!</definedName>
    <definedName name="SOCHITIET2" localSheetId="17">#REF!</definedName>
    <definedName name="SOCHITIET2" localSheetId="8">#REF!</definedName>
    <definedName name="SOCHITIET2" localSheetId="4">#REF!</definedName>
    <definedName name="SOCHITIET2" localSheetId="20">#REF!</definedName>
    <definedName name="SOCHITIET2">#REF!</definedName>
    <definedName name="SOCHITIET3" localSheetId="7">#REF!</definedName>
    <definedName name="SOCHITIET3" localSheetId="15">#REF!</definedName>
    <definedName name="SOCHITIET3" localSheetId="1">#REF!</definedName>
    <definedName name="SOCHITIET3" localSheetId="18">#REF!</definedName>
    <definedName name="SOCHITIET3" localSheetId="16">#REF!</definedName>
    <definedName name="SOCHITIET3" localSheetId="6">#REF!</definedName>
    <definedName name="SOCHITIET3" localSheetId="3">#REF!</definedName>
    <definedName name="SOCHITIET3" localSheetId="17">#REF!</definedName>
    <definedName name="SOCHITIET3" localSheetId="8">#REF!</definedName>
    <definedName name="SOCHITIET3" localSheetId="4">#REF!</definedName>
    <definedName name="SOCHITIET3" localSheetId="20">#REF!</definedName>
    <definedName name="SOCHITIET3">#REF!</definedName>
    <definedName name="SOCHITIET4" localSheetId="7">#REF!</definedName>
    <definedName name="SOCHITIET4" localSheetId="15">#REF!</definedName>
    <definedName name="SOCHITIET4" localSheetId="1">#REF!</definedName>
    <definedName name="SOCHITIET4" localSheetId="18">#REF!</definedName>
    <definedName name="SOCHITIET4" localSheetId="16">#REF!</definedName>
    <definedName name="SOCHITIET4" localSheetId="6">#REF!</definedName>
    <definedName name="SOCHITIET4" localSheetId="3">#REF!</definedName>
    <definedName name="SOCHITIET4" localSheetId="17">#REF!</definedName>
    <definedName name="SOCHITIET4" localSheetId="8">#REF!</definedName>
    <definedName name="SOCHITIET4" localSheetId="4">#REF!</definedName>
    <definedName name="SOCHITIET4" localSheetId="20">#REF!</definedName>
    <definedName name="SOCHITIET4">#REF!</definedName>
    <definedName name="SOCHITIET5" localSheetId="7">#REF!</definedName>
    <definedName name="SOCHITIET5" localSheetId="15">#REF!</definedName>
    <definedName name="SOCHITIET5" localSheetId="1">#REF!</definedName>
    <definedName name="SOCHITIET5" localSheetId="18">#REF!</definedName>
    <definedName name="SOCHITIET5" localSheetId="16">#REF!</definedName>
    <definedName name="SOCHITIET5" localSheetId="6">#REF!</definedName>
    <definedName name="SOCHITIET5" localSheetId="3">#REF!</definedName>
    <definedName name="SOCHITIET5" localSheetId="17">#REF!</definedName>
    <definedName name="SOCHITIET5" localSheetId="8">#REF!</definedName>
    <definedName name="SOCHITIET5" localSheetId="4">#REF!</definedName>
    <definedName name="SOCHITIET5" localSheetId="20">#REF!</definedName>
    <definedName name="SOCHITIET5">#REF!</definedName>
    <definedName name="SOCHITIET6" localSheetId="7">#REF!</definedName>
    <definedName name="SOCHITIET6" localSheetId="15">#REF!</definedName>
    <definedName name="SOCHITIET6" localSheetId="1">#REF!</definedName>
    <definedName name="SOCHITIET6" localSheetId="18">#REF!</definedName>
    <definedName name="SOCHITIET6" localSheetId="16">#REF!</definedName>
    <definedName name="SOCHITIET6" localSheetId="6">#REF!</definedName>
    <definedName name="SOCHITIET6" localSheetId="3">#REF!</definedName>
    <definedName name="SOCHITIET6" localSheetId="17">#REF!</definedName>
    <definedName name="SOCHITIET6" localSheetId="8">#REF!</definedName>
    <definedName name="SOCHITIET6" localSheetId="4">#REF!</definedName>
    <definedName name="SOCHITIET6" localSheetId="20">#REF!</definedName>
    <definedName name="SOCHITIET6">#REF!</definedName>
    <definedName name="solieu" localSheetId="7">#REF!</definedName>
    <definedName name="solieu" localSheetId="15">#REF!</definedName>
    <definedName name="solieu" localSheetId="1">#REF!</definedName>
    <definedName name="solieu" localSheetId="18">#REF!</definedName>
    <definedName name="solieu" localSheetId="16">#REF!</definedName>
    <definedName name="solieu" localSheetId="6">#REF!</definedName>
    <definedName name="solieu" localSheetId="3">#REF!</definedName>
    <definedName name="solieu" localSheetId="17">#REF!</definedName>
    <definedName name="solieu" localSheetId="8">#REF!</definedName>
    <definedName name="solieu" localSheetId="4">#REF!</definedName>
    <definedName name="solieu" localSheetId="20">#REF!</definedName>
    <definedName name="solieu">#REF!</definedName>
    <definedName name="SOLUONG" localSheetId="7">#REF!</definedName>
    <definedName name="SOLUONG" localSheetId="15">#REF!</definedName>
    <definedName name="SOLUONG" localSheetId="1">#REF!</definedName>
    <definedName name="SOLUONG" localSheetId="18">#REF!</definedName>
    <definedName name="SOLUONG" localSheetId="16">#REF!</definedName>
    <definedName name="SOLUONG" localSheetId="6">#REF!</definedName>
    <definedName name="SOLUONG" localSheetId="3">#REF!</definedName>
    <definedName name="SOLUONG" localSheetId="17">#REF!</definedName>
    <definedName name="SOLUONG" localSheetId="8">#REF!</definedName>
    <definedName name="SOLUONG" localSheetId="4">#REF!</definedName>
    <definedName name="SOLUONG" localSheetId="20">#REF!</definedName>
    <definedName name="SOLUONG">#REF!</definedName>
    <definedName name="SOLUONGNHAP" localSheetId="7">#REF!</definedName>
    <definedName name="SOLUONGNHAP" localSheetId="15">#REF!</definedName>
    <definedName name="SOLUONGNHAP" localSheetId="1">#REF!</definedName>
    <definedName name="SOLUONGNHAP" localSheetId="18">#REF!</definedName>
    <definedName name="SOLUONGNHAP" localSheetId="16">#REF!</definedName>
    <definedName name="SOLUONGNHAP" localSheetId="6">#REF!</definedName>
    <definedName name="SOLUONGNHAP" localSheetId="3">#REF!</definedName>
    <definedName name="SOLUONGNHAP" localSheetId="17">#REF!</definedName>
    <definedName name="SOLUONGNHAP" localSheetId="8">#REF!</definedName>
    <definedName name="SOLUONGNHAP" localSheetId="4">#REF!</definedName>
    <definedName name="SOLUONGNHAP" localSheetId="20">#REF!</definedName>
    <definedName name="SOLUONGNHAP">#REF!</definedName>
    <definedName name="SOLUONGXUAT" localSheetId="7">#REF!</definedName>
    <definedName name="SOLUONGXUAT" localSheetId="15">#REF!</definedName>
    <definedName name="SOLUONGXUAT" localSheetId="1">#REF!</definedName>
    <definedName name="SOLUONGXUAT" localSheetId="18">#REF!</definedName>
    <definedName name="SOLUONGXUAT" localSheetId="16">#REF!</definedName>
    <definedName name="SOLUONGXUAT" localSheetId="6">#REF!</definedName>
    <definedName name="SOLUONGXUAT" localSheetId="3">#REF!</definedName>
    <definedName name="SOLUONGXUAT" localSheetId="17">#REF!</definedName>
    <definedName name="SOLUONGXUAT" localSheetId="8">#REF!</definedName>
    <definedName name="SOLUONGXUAT" localSheetId="4">#REF!</definedName>
    <definedName name="SOLUONGXUAT" localSheetId="20">#REF!</definedName>
    <definedName name="SOLUONGXUAT">#REF!</definedName>
    <definedName name="SOO">#N/A</definedName>
    <definedName name="SORT" localSheetId="7">#REF!</definedName>
    <definedName name="SORT" localSheetId="15">#REF!</definedName>
    <definedName name="SORT" localSheetId="1">#REF!</definedName>
    <definedName name="SORT" localSheetId="18">#REF!</definedName>
    <definedName name="SORT" localSheetId="16">#REF!</definedName>
    <definedName name="SORT" localSheetId="6">#REF!</definedName>
    <definedName name="sort" localSheetId="5">"$#REF!.$#REF!$#REF!"</definedName>
    <definedName name="sort" localSheetId="3">"$#REF!.$#REF!$#REF!"</definedName>
    <definedName name="sort" localSheetId="17">"$#REF!.$#REF!$#REF!"</definedName>
    <definedName name="sort" localSheetId="8">"$#REF!.$#REF!$#REF!"</definedName>
    <definedName name="sort" localSheetId="4">"$#REF!.$#REF!$#REF!"</definedName>
    <definedName name="sort" localSheetId="2">"$#REF!.$#REF!$#REF!"</definedName>
    <definedName name="SORT" localSheetId="20">#REF!</definedName>
    <definedName name="SORT">#REF!</definedName>
    <definedName name="SORT_AREA">'[63]DI-ESTI'!$A$8:$R$489</definedName>
    <definedName name="SP" localSheetId="7">#REF!</definedName>
    <definedName name="SP" localSheetId="15">#REF!</definedName>
    <definedName name="SP" localSheetId="1">#REF!</definedName>
    <definedName name="SP" localSheetId="18">#REF!</definedName>
    <definedName name="SP" localSheetId="16">#REF!</definedName>
    <definedName name="SP" localSheetId="6">#REF!</definedName>
    <definedName name="SP" localSheetId="5">'[54]Equipment List Guideline'!$L$5:$L$9</definedName>
    <definedName name="SP" localSheetId="3">'[54]Equipment List Guideline'!$L$5:$L$9</definedName>
    <definedName name="SP" localSheetId="17">'[54]Equipment List Guideline'!$L$5:$L$9</definedName>
    <definedName name="SP" localSheetId="8">'[54]Equipment List Guideline'!$L$5:$L$9</definedName>
    <definedName name="SP" localSheetId="4">#REF!</definedName>
    <definedName name="SP" localSheetId="20">#REF!</definedName>
    <definedName name="SP">#REF!</definedName>
    <definedName name="SP1.V2.0" localSheetId="7">#REF!</definedName>
    <definedName name="SP1.V2.0" localSheetId="15">#REF!</definedName>
    <definedName name="SP1.V2.0" localSheetId="1">#REF!</definedName>
    <definedName name="SP1.V2.0" localSheetId="18">#REF!</definedName>
    <definedName name="SP1.V2.0" localSheetId="16">#REF!</definedName>
    <definedName name="SP1.V2.0" localSheetId="6">#REF!</definedName>
    <definedName name="SP1.V2.0" localSheetId="5">#REF!</definedName>
    <definedName name="SP1.V2.0" localSheetId="3">#REF!</definedName>
    <definedName name="SP1.V2.0" localSheetId="17">#REF!</definedName>
    <definedName name="SP1.V2.0" localSheetId="8">#REF!</definedName>
    <definedName name="SP1.V2.0" localSheetId="4">#REF!</definedName>
    <definedName name="SP1.V2.0" localSheetId="20">#REF!</definedName>
    <definedName name="SP1.V2.0">#REF!</definedName>
    <definedName name="SP1.v3.0" localSheetId="7">#REF!</definedName>
    <definedName name="SP1.v3.0" localSheetId="15">#REF!</definedName>
    <definedName name="SP1.v3.0" localSheetId="1">#REF!</definedName>
    <definedName name="SP1.v3.0" localSheetId="18">#REF!</definedName>
    <definedName name="SP1.v3.0" localSheetId="16">#REF!</definedName>
    <definedName name="SP1.v3.0" localSheetId="6">#REF!</definedName>
    <definedName name="SP1.v3.0" localSheetId="5">#REF!</definedName>
    <definedName name="SP1.v3.0" localSheetId="3">#REF!</definedName>
    <definedName name="SP1.v3.0" localSheetId="17">#REF!</definedName>
    <definedName name="SP1.v3.0" localSheetId="8">#REF!</definedName>
    <definedName name="SP1.v3.0" localSheetId="4">#REF!</definedName>
    <definedName name="SP1.v3.0" localSheetId="20">#REF!</definedName>
    <definedName name="SP1.v3.0">#REF!</definedName>
    <definedName name="SP2.v1.0" localSheetId="7">#REF!</definedName>
    <definedName name="SP2.v1.0" localSheetId="15">#REF!</definedName>
    <definedName name="SP2.v1.0" localSheetId="1">#REF!</definedName>
    <definedName name="SP2.v1.0" localSheetId="18">#REF!</definedName>
    <definedName name="SP2.v1.0" localSheetId="16">#REF!</definedName>
    <definedName name="SP2.v1.0" localSheetId="6">#REF!</definedName>
    <definedName name="SP2.v1.0" localSheetId="5">#REF!</definedName>
    <definedName name="SP2.v1.0" localSheetId="3">#REF!</definedName>
    <definedName name="SP2.v1.0" localSheetId="17">#REF!</definedName>
    <definedName name="SP2.v1.0" localSheetId="8">#REF!</definedName>
    <definedName name="SP2.v1.0" localSheetId="4">#REF!</definedName>
    <definedName name="SP2.v1.0" localSheetId="20">#REF!</definedName>
    <definedName name="SP2.v1.0">#REF!</definedName>
    <definedName name="SPEC" localSheetId="7">#REF!</definedName>
    <definedName name="SPEC" localSheetId="15">#REF!</definedName>
    <definedName name="SPEC" localSheetId="1">#REF!</definedName>
    <definedName name="SPEC" localSheetId="18">#REF!</definedName>
    <definedName name="SPEC" localSheetId="16">#REF!</definedName>
    <definedName name="SPEC" localSheetId="6">#REF!</definedName>
    <definedName name="SPEC" localSheetId="5">#REF!</definedName>
    <definedName name="SPEC" localSheetId="3">#REF!</definedName>
    <definedName name="SPEC" localSheetId="17">#REF!</definedName>
    <definedName name="SPEC" localSheetId="8">#REF!</definedName>
    <definedName name="SPEC" localSheetId="4">#REF!</definedName>
    <definedName name="SPEC" localSheetId="20">#REF!</definedName>
    <definedName name="SPEC">#REF!</definedName>
    <definedName name="SPECSUMMARY" localSheetId="7">#REF!</definedName>
    <definedName name="SPECSUMMARY" localSheetId="15">#REF!</definedName>
    <definedName name="SPECSUMMARY" localSheetId="1">#REF!</definedName>
    <definedName name="SPECSUMMARY" localSheetId="18">#REF!</definedName>
    <definedName name="SPECSUMMARY" localSheetId="16">#REF!</definedName>
    <definedName name="SPECSUMMARY" localSheetId="6">#REF!</definedName>
    <definedName name="SPECSUMMARY" localSheetId="5">#REF!</definedName>
    <definedName name="SPECSUMMARY" localSheetId="3">#REF!</definedName>
    <definedName name="SPECSUMMARY" localSheetId="17">#REF!</definedName>
    <definedName name="SPECSUMMARY" localSheetId="8">#REF!</definedName>
    <definedName name="SPECSUMMARY" localSheetId="4">#REF!</definedName>
    <definedName name="SPECSUMMARY" localSheetId="20">#REF!</definedName>
    <definedName name="SPECSUMMARY">#REF!</definedName>
    <definedName name="ssas" localSheetId="7">#REF!</definedName>
    <definedName name="ssas" localSheetId="15">#REF!</definedName>
    <definedName name="ssas" localSheetId="1">#REF!</definedName>
    <definedName name="ssas" localSheetId="18">#REF!</definedName>
    <definedName name="ssas" localSheetId="16">#REF!</definedName>
    <definedName name="ssas" localSheetId="6">#REF!</definedName>
    <definedName name="ssas" localSheetId="5">#REF!</definedName>
    <definedName name="ssas" localSheetId="3">#REF!</definedName>
    <definedName name="ssas" localSheetId="17">#REF!</definedName>
    <definedName name="ssas" localSheetId="13">#REF!</definedName>
    <definedName name="ssas" localSheetId="8">#REF!</definedName>
    <definedName name="ssas" localSheetId="4">#REF!</definedName>
    <definedName name="ssas" localSheetId="20">#REF!</definedName>
    <definedName name="ssas">#REF!</definedName>
    <definedName name="ssss" localSheetId="7">[29]노무비!#REF!</definedName>
    <definedName name="ssss" localSheetId="15">[29]노무비!#REF!</definedName>
    <definedName name="ssss" localSheetId="1">[29]노무비!#REF!</definedName>
    <definedName name="ssss" localSheetId="18">[29]노무비!#REF!</definedName>
    <definedName name="ssss" localSheetId="16">[29]노무비!#REF!</definedName>
    <definedName name="ssss" localSheetId="6">[29]노무비!#REF!</definedName>
    <definedName name="ssss" localSheetId="5">[29]노무비!#REF!</definedName>
    <definedName name="ssss" localSheetId="3">[29]노무비!#REF!</definedName>
    <definedName name="ssss" localSheetId="17">[29]노무비!#REF!</definedName>
    <definedName name="ssss" localSheetId="8">[29]노무비!#REF!</definedName>
    <definedName name="ssss" localSheetId="4">[29]노무비!#REF!</definedName>
    <definedName name="ssss" localSheetId="20">[29]노무비!#REF!</definedName>
    <definedName name="ssss">[29]노무비!#REF!</definedName>
    <definedName name="ST44_RHD_Probe_Average__Per_Unit">"$#REF!.$B$6:$U$37"</definedName>
    <definedName name="ST44_RHD_Probe_GT__Per_Unit">"$#REF!.$B$39:$U$70"</definedName>
    <definedName name="ST44_RHD_Probe_GT_Limited__Per_Unit">"$#REF!.$B$72:$U$103"</definedName>
    <definedName name="staff">"$#REF!.$#REF!$#REF!:$#REF!$#REF!"</definedName>
    <definedName name="staffing" localSheetId="7">#REF!</definedName>
    <definedName name="staffing" localSheetId="15">#REF!</definedName>
    <definedName name="staffing" localSheetId="1">#REF!</definedName>
    <definedName name="staffing" localSheetId="18">#REF!</definedName>
    <definedName name="staffing" localSheetId="16">#REF!</definedName>
    <definedName name="staffing" localSheetId="6">#REF!</definedName>
    <definedName name="staffing" localSheetId="5">#REF!</definedName>
    <definedName name="staffing" localSheetId="3">#REF!</definedName>
    <definedName name="staffing" localSheetId="17">#REF!</definedName>
    <definedName name="staffing" localSheetId="8">#REF!</definedName>
    <definedName name="staffing" localSheetId="4">#REF!</definedName>
    <definedName name="staffing" localSheetId="20">#REF!</definedName>
    <definedName name="staffing">#REF!</definedName>
    <definedName name="Start_1" localSheetId="7">#REF!</definedName>
    <definedName name="Start_1" localSheetId="15">#REF!</definedName>
    <definedName name="Start_1" localSheetId="1">#REF!</definedName>
    <definedName name="Start_1" localSheetId="18">#REF!</definedName>
    <definedName name="Start_1" localSheetId="16">#REF!</definedName>
    <definedName name="Start_1" localSheetId="6">#REF!</definedName>
    <definedName name="Start_1" localSheetId="5">#REF!</definedName>
    <definedName name="Start_1" localSheetId="3">#REF!</definedName>
    <definedName name="Start_1" localSheetId="17">#REF!</definedName>
    <definedName name="Start_1" localSheetId="8">#REF!</definedName>
    <definedName name="Start_1" localSheetId="4">#REF!</definedName>
    <definedName name="Start_1" localSheetId="20">#REF!</definedName>
    <definedName name="Start_1">#REF!</definedName>
    <definedName name="Start_10" localSheetId="7">#REF!</definedName>
    <definedName name="Start_10" localSheetId="15">#REF!</definedName>
    <definedName name="Start_10" localSheetId="1">#REF!</definedName>
    <definedName name="Start_10" localSheetId="18">#REF!</definedName>
    <definedName name="Start_10" localSheetId="16">#REF!</definedName>
    <definedName name="Start_10" localSheetId="6">#REF!</definedName>
    <definedName name="Start_10" localSheetId="5">#REF!</definedName>
    <definedName name="Start_10" localSheetId="3">#REF!</definedName>
    <definedName name="Start_10" localSheetId="17">#REF!</definedName>
    <definedName name="Start_10" localSheetId="8">#REF!</definedName>
    <definedName name="Start_10" localSheetId="4">#REF!</definedName>
    <definedName name="Start_10" localSheetId="20">#REF!</definedName>
    <definedName name="Start_10">#REF!</definedName>
    <definedName name="Start_11" localSheetId="7">#REF!</definedName>
    <definedName name="Start_11" localSheetId="15">#REF!</definedName>
    <definedName name="Start_11" localSheetId="1">#REF!</definedName>
    <definedName name="Start_11" localSheetId="18">#REF!</definedName>
    <definedName name="Start_11" localSheetId="16">#REF!</definedName>
    <definedName name="Start_11" localSheetId="6">#REF!</definedName>
    <definedName name="Start_11" localSheetId="5">#REF!</definedName>
    <definedName name="Start_11" localSheetId="3">#REF!</definedName>
    <definedName name="Start_11" localSheetId="17">#REF!</definedName>
    <definedName name="Start_11" localSheetId="8">#REF!</definedName>
    <definedName name="Start_11" localSheetId="4">#REF!</definedName>
    <definedName name="Start_11" localSheetId="20">#REF!</definedName>
    <definedName name="Start_11">#REF!</definedName>
    <definedName name="Start_12" localSheetId="7">#REF!</definedName>
    <definedName name="Start_12" localSheetId="15">#REF!</definedName>
    <definedName name="Start_12" localSheetId="1">#REF!</definedName>
    <definedName name="Start_12" localSheetId="18">#REF!</definedName>
    <definedName name="Start_12" localSheetId="16">#REF!</definedName>
    <definedName name="Start_12" localSheetId="6">#REF!</definedName>
    <definedName name="Start_12" localSheetId="5">#REF!</definedName>
    <definedName name="Start_12" localSheetId="3">#REF!</definedName>
    <definedName name="Start_12" localSheetId="17">#REF!</definedName>
    <definedName name="Start_12" localSheetId="8">#REF!</definedName>
    <definedName name="Start_12" localSheetId="4">#REF!</definedName>
    <definedName name="Start_12" localSheetId="20">#REF!</definedName>
    <definedName name="Start_12">#REF!</definedName>
    <definedName name="Start_13" localSheetId="7">#REF!</definedName>
    <definedName name="Start_13" localSheetId="15">#REF!</definedName>
    <definedName name="Start_13" localSheetId="1">#REF!</definedName>
    <definedName name="Start_13" localSheetId="18">#REF!</definedName>
    <definedName name="Start_13" localSheetId="16">#REF!</definedName>
    <definedName name="Start_13" localSheetId="6">#REF!</definedName>
    <definedName name="Start_13" localSheetId="5">#REF!</definedName>
    <definedName name="Start_13" localSheetId="3">#REF!</definedName>
    <definedName name="Start_13" localSheetId="17">#REF!</definedName>
    <definedName name="Start_13" localSheetId="8">#REF!</definedName>
    <definedName name="Start_13" localSheetId="4">#REF!</definedName>
    <definedName name="Start_13" localSheetId="20">#REF!</definedName>
    <definedName name="Start_13">#REF!</definedName>
    <definedName name="Start_2" localSheetId="7">#REF!</definedName>
    <definedName name="Start_2" localSheetId="15">#REF!</definedName>
    <definedName name="Start_2" localSheetId="1">#REF!</definedName>
    <definedName name="Start_2" localSheetId="18">#REF!</definedName>
    <definedName name="Start_2" localSheetId="16">#REF!</definedName>
    <definedName name="Start_2" localSheetId="6">#REF!</definedName>
    <definedName name="Start_2" localSheetId="5">#REF!</definedName>
    <definedName name="Start_2" localSheetId="3">#REF!</definedName>
    <definedName name="Start_2" localSheetId="17">#REF!</definedName>
    <definedName name="Start_2" localSheetId="8">#REF!</definedName>
    <definedName name="Start_2" localSheetId="4">#REF!</definedName>
    <definedName name="Start_2" localSheetId="20">#REF!</definedName>
    <definedName name="Start_2">#REF!</definedName>
    <definedName name="Start_3" localSheetId="7">#REF!</definedName>
    <definedName name="Start_3" localSheetId="15">#REF!</definedName>
    <definedName name="Start_3" localSheetId="1">#REF!</definedName>
    <definedName name="Start_3" localSheetId="18">#REF!</definedName>
    <definedName name="Start_3" localSheetId="16">#REF!</definedName>
    <definedName name="Start_3" localSheetId="6">#REF!</definedName>
    <definedName name="Start_3" localSheetId="5">#REF!</definedName>
    <definedName name="Start_3" localSheetId="3">#REF!</definedName>
    <definedName name="Start_3" localSheetId="17">#REF!</definedName>
    <definedName name="Start_3" localSheetId="8">#REF!</definedName>
    <definedName name="Start_3" localSheetId="4">#REF!</definedName>
    <definedName name="Start_3" localSheetId="20">#REF!</definedName>
    <definedName name="Start_3">#REF!</definedName>
    <definedName name="Start_4" localSheetId="7">#REF!</definedName>
    <definedName name="Start_4" localSheetId="15">#REF!</definedName>
    <definedName name="Start_4" localSheetId="1">#REF!</definedName>
    <definedName name="Start_4" localSheetId="18">#REF!</definedName>
    <definedName name="Start_4" localSheetId="16">#REF!</definedName>
    <definedName name="Start_4" localSheetId="6">#REF!</definedName>
    <definedName name="Start_4" localSheetId="5">#REF!</definedName>
    <definedName name="Start_4" localSheetId="3">#REF!</definedName>
    <definedName name="Start_4" localSheetId="17">#REF!</definedName>
    <definedName name="Start_4" localSheetId="8">#REF!</definedName>
    <definedName name="Start_4" localSheetId="4">#REF!</definedName>
    <definedName name="Start_4" localSheetId="20">#REF!</definedName>
    <definedName name="Start_4">#REF!</definedName>
    <definedName name="Start_5" localSheetId="7">#REF!</definedName>
    <definedName name="Start_5" localSheetId="15">#REF!</definedName>
    <definedName name="Start_5" localSheetId="1">#REF!</definedName>
    <definedName name="Start_5" localSheetId="18">#REF!</definedName>
    <definedName name="Start_5" localSheetId="16">#REF!</definedName>
    <definedName name="Start_5" localSheetId="6">#REF!</definedName>
    <definedName name="Start_5" localSheetId="5">#REF!</definedName>
    <definedName name="Start_5" localSheetId="3">#REF!</definedName>
    <definedName name="Start_5" localSheetId="17">#REF!</definedName>
    <definedName name="Start_5" localSheetId="8">#REF!</definedName>
    <definedName name="Start_5" localSheetId="4">#REF!</definedName>
    <definedName name="Start_5" localSheetId="20">#REF!</definedName>
    <definedName name="Start_5">#REF!</definedName>
    <definedName name="Start_6" localSheetId="7">#REF!</definedName>
    <definedName name="Start_6" localSheetId="15">#REF!</definedName>
    <definedName name="Start_6" localSheetId="1">#REF!</definedName>
    <definedName name="Start_6" localSheetId="18">#REF!</definedName>
    <definedName name="Start_6" localSheetId="16">#REF!</definedName>
    <definedName name="Start_6" localSheetId="6">#REF!</definedName>
    <definedName name="Start_6" localSheetId="5">#REF!</definedName>
    <definedName name="Start_6" localSheetId="3">#REF!</definedName>
    <definedName name="Start_6" localSheetId="17">#REF!</definedName>
    <definedName name="Start_6" localSheetId="8">#REF!</definedName>
    <definedName name="Start_6" localSheetId="4">#REF!</definedName>
    <definedName name="Start_6" localSheetId="20">#REF!</definedName>
    <definedName name="Start_6">#REF!</definedName>
    <definedName name="Start_7" localSheetId="7">#REF!</definedName>
    <definedName name="Start_7" localSheetId="15">#REF!</definedName>
    <definedName name="Start_7" localSheetId="1">#REF!</definedName>
    <definedName name="Start_7" localSheetId="18">#REF!</definedName>
    <definedName name="Start_7" localSheetId="16">#REF!</definedName>
    <definedName name="Start_7" localSheetId="6">#REF!</definedName>
    <definedName name="Start_7" localSheetId="5">#REF!</definedName>
    <definedName name="Start_7" localSheetId="3">#REF!</definedName>
    <definedName name="Start_7" localSheetId="17">#REF!</definedName>
    <definedName name="Start_7" localSheetId="8">#REF!</definedName>
    <definedName name="Start_7" localSheetId="4">#REF!</definedName>
    <definedName name="Start_7" localSheetId="20">#REF!</definedName>
    <definedName name="Start_7">#REF!</definedName>
    <definedName name="Start_8" localSheetId="7">#REF!</definedName>
    <definedName name="Start_8" localSheetId="15">#REF!</definedName>
    <definedName name="Start_8" localSheetId="1">#REF!</definedName>
    <definedName name="Start_8" localSheetId="18">#REF!</definedName>
    <definedName name="Start_8" localSheetId="16">#REF!</definedName>
    <definedName name="Start_8" localSheetId="6">#REF!</definedName>
    <definedName name="Start_8" localSheetId="5">#REF!</definedName>
    <definedName name="Start_8" localSheetId="3">#REF!</definedName>
    <definedName name="Start_8" localSheetId="17">#REF!</definedName>
    <definedName name="Start_8" localSheetId="8">#REF!</definedName>
    <definedName name="Start_8" localSheetId="4">#REF!</definedName>
    <definedName name="Start_8" localSheetId="20">#REF!</definedName>
    <definedName name="Start_8">#REF!</definedName>
    <definedName name="Start_9" localSheetId="7">#REF!</definedName>
    <definedName name="Start_9" localSheetId="15">#REF!</definedName>
    <definedName name="Start_9" localSheetId="1">#REF!</definedName>
    <definedName name="Start_9" localSheetId="18">#REF!</definedName>
    <definedName name="Start_9" localSheetId="16">#REF!</definedName>
    <definedName name="Start_9" localSheetId="6">#REF!</definedName>
    <definedName name="Start_9" localSheetId="5">#REF!</definedName>
    <definedName name="Start_9" localSheetId="3">#REF!</definedName>
    <definedName name="Start_9" localSheetId="17">#REF!</definedName>
    <definedName name="Start_9" localSheetId="8">#REF!</definedName>
    <definedName name="Start_9" localSheetId="4">#REF!</definedName>
    <definedName name="Start_9" localSheetId="20">#REF!</definedName>
    <definedName name="Start_9">#REF!</definedName>
    <definedName name="StartChart" localSheetId="7">[22]!StartChart</definedName>
    <definedName name="StartChart" localSheetId="1">[22]!StartChart</definedName>
    <definedName name="StartChart" localSheetId="18">[22]!StartChart</definedName>
    <definedName name="StartChart" localSheetId="16">[22]!StartChart</definedName>
    <definedName name="StartChart" localSheetId="6">[22]!StartChart</definedName>
    <definedName name="StartChart" localSheetId="3">[22]!StartChart</definedName>
    <definedName name="StartChart" localSheetId="17">[22]!StartChart</definedName>
    <definedName name="StartChart" localSheetId="8">[22]!StartChart</definedName>
    <definedName name="StartChart" localSheetId="4">[22]!StartChart</definedName>
    <definedName name="StartChart" localSheetId="20">[22]!StartChart</definedName>
    <definedName name="StartChart">[22]!StartChart</definedName>
    <definedName name="StartSeller" localSheetId="7">[22]!StartSeller</definedName>
    <definedName name="StartSeller" localSheetId="1">[22]!StartSeller</definedName>
    <definedName name="StartSeller" localSheetId="18">[22]!StartSeller</definedName>
    <definedName name="StartSeller" localSheetId="16">[22]!StartSeller</definedName>
    <definedName name="StartSeller" localSheetId="6">[22]!StartSeller</definedName>
    <definedName name="StartSeller" localSheetId="3">[22]!StartSeller</definedName>
    <definedName name="StartSeller" localSheetId="17">[22]!StartSeller</definedName>
    <definedName name="StartSeller" localSheetId="8">[22]!StartSeller</definedName>
    <definedName name="StartSeller" localSheetId="4">[22]!StartSeller</definedName>
    <definedName name="StartSeller" localSheetId="20">[22]!StartSeller</definedName>
    <definedName name="StartSeller">[22]!StartSeller</definedName>
    <definedName name="stdvansegment">"$#REF!.$#REF!$#REF!:$#REF!$#REF!"</definedName>
    <definedName name="stgetwer" localSheetId="7">'2018-2022'!stgetwer</definedName>
    <definedName name="stgetwer" localSheetId="15">'2018-2022 SF'!stgetwer</definedName>
    <definedName name="stgetwer" localSheetId="16">B!stgetwer</definedName>
    <definedName name="stgetwer" localSheetId="5">[17]!stgetwer</definedName>
    <definedName name="stgetwer" localSheetId="3">[17]!stgetwer</definedName>
    <definedName name="stgetwer" localSheetId="17">[17]!stgetwer</definedName>
    <definedName name="stgetwer" localSheetId="8">[17]!stgetwer</definedName>
    <definedName name="stgetwer" localSheetId="4">Reconciliation!stgetwer</definedName>
    <definedName name="stgetwer" localSheetId="2">'Summary 2018 - MF'!stgetwer</definedName>
    <definedName name="stgetwer">[0]!stgetwer</definedName>
    <definedName name="stgetwer_10" localSheetId="7">'2018-2022'!stgetwer_10</definedName>
    <definedName name="stgetwer_10" localSheetId="15">'2018-2022 SF'!stgetwer_10</definedName>
    <definedName name="stgetwer_10" localSheetId="16">B!stgetwer_10</definedName>
    <definedName name="stgetwer_10" localSheetId="5">[17]!stgetwer_10</definedName>
    <definedName name="stgetwer_10" localSheetId="3">[17]!stgetwer_10</definedName>
    <definedName name="stgetwer_10" localSheetId="17">[17]!stgetwer_10</definedName>
    <definedName name="stgetwer_10" localSheetId="8">[17]!stgetwer_10</definedName>
    <definedName name="stgetwer_10" localSheetId="4">Reconciliation!stgetwer_10</definedName>
    <definedName name="stgetwer_10" localSheetId="2">'Summary 2018 - MF'!stgetwer_10</definedName>
    <definedName name="stgetwer_10">[0]!stgetwer_10</definedName>
    <definedName name="stocks">"'file:///A:/iaofsm-m/2000 Fcst/649 (12+0)/Cash Flow/nm_cash2000_649.xls'#$'NM Cash SUMMARY'.$#REF!$#REF!"</definedName>
    <definedName name="STVN">"'file:///media/8666-37CC/o%20D/clients/Emsa/Ms%20Trang/Kien-NKC%202009.xls.xls'#$'NKC 2009'.$F$2:$F$1121"</definedName>
    <definedName name="SUMMARY" localSheetId="7">#REF!</definedName>
    <definedName name="SUMMARY" localSheetId="15">#REF!</definedName>
    <definedName name="SUMMARY" localSheetId="1">#REF!</definedName>
    <definedName name="SUMMARY" localSheetId="18">#REF!</definedName>
    <definedName name="SUMMARY" localSheetId="16">#REF!</definedName>
    <definedName name="SUMMARY" localSheetId="6">#REF!</definedName>
    <definedName name="SUMMARY" localSheetId="10">#REF!</definedName>
    <definedName name="SUMMARY" localSheetId="14">#REF!</definedName>
    <definedName name="SUMMARY" localSheetId="5">#REF!</definedName>
    <definedName name="SUMMARY" localSheetId="3">#REF!</definedName>
    <definedName name="SUMMARY" localSheetId="17">#REF!</definedName>
    <definedName name="SUMMARY" localSheetId="8">#REF!</definedName>
    <definedName name="SUMMARY" localSheetId="4">#REF!</definedName>
    <definedName name="SUMMARY" localSheetId="20">#REF!</definedName>
    <definedName name="SUMMARY">#REF!</definedName>
    <definedName name="SUMMS" localSheetId="7">'[18]#REF'!#REF!</definedName>
    <definedName name="SUMMS" localSheetId="15">'[18]#REF'!#REF!</definedName>
    <definedName name="SUMMS" localSheetId="1">'[18]#REF'!#REF!</definedName>
    <definedName name="SUMMS" localSheetId="18">'[18]#REF'!#REF!</definedName>
    <definedName name="SUMMS" localSheetId="16">'[18]#REF'!#REF!</definedName>
    <definedName name="SUMMS" localSheetId="6">'[18]#REF'!#REF!</definedName>
    <definedName name="SUMMS" localSheetId="5">'[18]#REF'!#REF!</definedName>
    <definedName name="SUMMS" localSheetId="3">'[18]#REF'!#REF!</definedName>
    <definedName name="SUMMS" localSheetId="17">'[18]#REF'!#REF!</definedName>
    <definedName name="SUMMS" localSheetId="8">'[18]#REF'!#REF!</definedName>
    <definedName name="SUMMS" localSheetId="4">'[18]#REF'!#REF!</definedName>
    <definedName name="SUMMS" localSheetId="20">'[18]#REF'!#REF!</definedName>
    <definedName name="SUMMS">'[18]#REF'!#REF!</definedName>
    <definedName name="supplies" localSheetId="7">#REF!</definedName>
    <definedName name="supplies" localSheetId="15">#REF!</definedName>
    <definedName name="supplies" localSheetId="1">#REF!</definedName>
    <definedName name="supplies" localSheetId="18">#REF!</definedName>
    <definedName name="supplies" localSheetId="16">#REF!</definedName>
    <definedName name="supplies" localSheetId="6">#REF!</definedName>
    <definedName name="supplies" localSheetId="5">#REF!</definedName>
    <definedName name="supplies" localSheetId="3">#REF!</definedName>
    <definedName name="supplies" localSheetId="17">#REF!</definedName>
    <definedName name="supplies" localSheetId="8">#REF!</definedName>
    <definedName name="supplies" localSheetId="4">#REF!</definedName>
    <definedName name="supplies" localSheetId="20">#REF!</definedName>
    <definedName name="supplies">#REF!</definedName>
    <definedName name="SupportBonus" localSheetId="7">#REF!</definedName>
    <definedName name="SupportBonus" localSheetId="15">#REF!</definedName>
    <definedName name="SupportBonus" localSheetId="1">#REF!</definedName>
    <definedName name="SupportBonus" localSheetId="18">#REF!</definedName>
    <definedName name="SupportBonus" localSheetId="16">#REF!</definedName>
    <definedName name="SupportBonus" localSheetId="6">#REF!</definedName>
    <definedName name="SupportBonus" localSheetId="5">#REF!</definedName>
    <definedName name="SupportBonus" localSheetId="3">#REF!</definedName>
    <definedName name="SupportBonus" localSheetId="17">#REF!</definedName>
    <definedName name="SupportBonus" localSheetId="8">#REF!</definedName>
    <definedName name="SupportBonus" localSheetId="4">#REF!</definedName>
    <definedName name="SupportBonus" localSheetId="20">#REF!</definedName>
    <definedName name="SupportBonus">#REF!</definedName>
    <definedName name="SVA">"$#REF!.$O$1:$AI$22"</definedName>
    <definedName name="SVT_CHONDK" localSheetId="5">'[7]So CT vat tu'!$J$1</definedName>
    <definedName name="SVT_CHONDK" localSheetId="3">'[7]So CT vat tu'!$J$1</definedName>
    <definedName name="SVT_CHONDK" localSheetId="17">'[7]So CT vat tu'!$J$1</definedName>
    <definedName name="SVT_CHONDK" localSheetId="8">'[7]So CT vat tu'!$J$1</definedName>
    <definedName name="SVT_CHONDK">'[7]So CT vat tu'!$J$1</definedName>
    <definedName name="SVT_KC" localSheetId="5">'[7]So CT vat tu'!$I$2</definedName>
    <definedName name="SVT_KC" localSheetId="3">'[7]So CT vat tu'!$I$2</definedName>
    <definedName name="SVT_KC" localSheetId="17">'[7]So CT vat tu'!$I$2</definedName>
    <definedName name="SVT_KC" localSheetId="8">'[7]So CT vat tu'!$I$2</definedName>
    <definedName name="SVT_KC">'[7]So CT vat tu'!$I$2</definedName>
    <definedName name="SVT_KD" localSheetId="5">'[7]So CT vat tu'!$G$2</definedName>
    <definedName name="SVT_KD" localSheetId="3">'[7]So CT vat tu'!$G$2</definedName>
    <definedName name="SVT_KD" localSheetId="17">'[7]So CT vat tu'!$G$2</definedName>
    <definedName name="SVT_KD" localSheetId="8">'[7]So CT vat tu'!$G$2</definedName>
    <definedName name="SVT_KD">'[7]So CT vat tu'!$G$2</definedName>
    <definedName name="SVT_MH" localSheetId="5">'[7]So CT vat tu'!$B$1</definedName>
    <definedName name="SVT_MH" localSheetId="3">'[7]So CT vat tu'!$B$1</definedName>
    <definedName name="SVT_MH" localSheetId="17">'[7]So CT vat tu'!$B$1</definedName>
    <definedName name="SVT_MH" localSheetId="8">'[7]So CT vat tu'!$B$1</definedName>
    <definedName name="SVT_MH">'[7]So CT vat tu'!$B$1</definedName>
    <definedName name="SVT_MK" localSheetId="5">'[7]So CT vat tu'!$D$1</definedName>
    <definedName name="SVT_MK" localSheetId="3">'[7]So CT vat tu'!$D$1</definedName>
    <definedName name="SVT_MK" localSheetId="17">'[7]So CT vat tu'!$D$1</definedName>
    <definedName name="SVT_MK" localSheetId="8">'[7]So CT vat tu'!$D$1</definedName>
    <definedName name="SVT_MK">'[7]So CT vat tu'!$D$1</definedName>
    <definedName name="SVT_NC" localSheetId="5">'[7]So CT vat tu'!$I$1</definedName>
    <definedName name="SVT_NC" localSheetId="3">'[7]So CT vat tu'!$I$1</definedName>
    <definedName name="SVT_NC" localSheetId="17">'[7]So CT vat tu'!$I$1</definedName>
    <definedName name="SVT_NC" localSheetId="8">'[7]So CT vat tu'!$I$1</definedName>
    <definedName name="SVT_NC">'[7]So CT vat tu'!$I$1</definedName>
    <definedName name="SVT_ND" localSheetId="5">'[7]So CT vat tu'!$G$1</definedName>
    <definedName name="SVT_ND" localSheetId="3">'[7]So CT vat tu'!$G$1</definedName>
    <definedName name="SVT_ND" localSheetId="17">'[7]So CT vat tu'!$G$1</definedName>
    <definedName name="SVT_ND" localSheetId="8">'[7]So CT vat tu'!$G$1</definedName>
    <definedName name="SVT_ND">'[7]So CT vat tu'!$G$1</definedName>
    <definedName name="t" localSheetId="11">'[1]HD-XUAT'!#REF!</definedName>
    <definedName name="t" localSheetId="7">#REF!,#REF!,#REF!</definedName>
    <definedName name="t" localSheetId="15">#REF!,#REF!,#REF!</definedName>
    <definedName name="t" localSheetId="1">#REF!,#REF!,#REF!</definedName>
    <definedName name="t" localSheetId="18">#REF!,#REF!,#REF!</definedName>
    <definedName name="t" localSheetId="16">#REF!,#REF!,#REF!</definedName>
    <definedName name="t" localSheetId="6">#REF!,#REF!,#REF!</definedName>
    <definedName name="T" localSheetId="5">#REF!</definedName>
    <definedName name="T" localSheetId="3">#REF!</definedName>
    <definedName name="T" localSheetId="17">#REF!</definedName>
    <definedName name="T" localSheetId="8">#REF!</definedName>
    <definedName name="t" localSheetId="4">#REF!,#REF!,#REF!</definedName>
    <definedName name="t" localSheetId="20">#REF!,#REF!,#REF!</definedName>
    <definedName name="t">#REF!,#REF!,#REF!</definedName>
    <definedName name="t103p" localSheetId="7">#REF!</definedName>
    <definedName name="t103p" localSheetId="15">#REF!</definedName>
    <definedName name="t103p" localSheetId="1">#REF!</definedName>
    <definedName name="t103p" localSheetId="18">#REF!</definedName>
    <definedName name="t103p" localSheetId="16">#REF!</definedName>
    <definedName name="t103p" localSheetId="6">#REF!</definedName>
    <definedName name="t103p" localSheetId="3">#REF!</definedName>
    <definedName name="t103p" localSheetId="17">#REF!</definedName>
    <definedName name="t103p" localSheetId="8">#REF!</definedName>
    <definedName name="t103p" localSheetId="4">#REF!</definedName>
    <definedName name="t103p" localSheetId="20">#REF!</definedName>
    <definedName name="t103p">#REF!</definedName>
    <definedName name="t10m" localSheetId="7">#REF!</definedName>
    <definedName name="t10m" localSheetId="15">#REF!</definedName>
    <definedName name="t10m" localSheetId="1">#REF!</definedName>
    <definedName name="t10m" localSheetId="18">#REF!</definedName>
    <definedName name="t10m" localSheetId="16">#REF!</definedName>
    <definedName name="t10m" localSheetId="6">#REF!</definedName>
    <definedName name="t10m" localSheetId="3">#REF!</definedName>
    <definedName name="t10m" localSheetId="17">#REF!</definedName>
    <definedName name="t10m" localSheetId="8">#REF!</definedName>
    <definedName name="t10m" localSheetId="4">#REF!</definedName>
    <definedName name="t10m" localSheetId="20">#REF!</definedName>
    <definedName name="t10m">#REF!</definedName>
    <definedName name="t121p" localSheetId="7">#REF!</definedName>
    <definedName name="t121p" localSheetId="15">#REF!</definedName>
    <definedName name="t121p" localSheetId="1">#REF!</definedName>
    <definedName name="t121p" localSheetId="18">#REF!</definedName>
    <definedName name="t121p" localSheetId="16">#REF!</definedName>
    <definedName name="t121p" localSheetId="6">#REF!</definedName>
    <definedName name="t121p" localSheetId="3">#REF!</definedName>
    <definedName name="t121p" localSheetId="17">#REF!</definedName>
    <definedName name="t121p" localSheetId="8">#REF!</definedName>
    <definedName name="t121p" localSheetId="4">#REF!</definedName>
    <definedName name="t121p" localSheetId="20">#REF!</definedName>
    <definedName name="t121p">#REF!</definedName>
    <definedName name="T12nc" localSheetId="7">#REF!</definedName>
    <definedName name="T12nc" localSheetId="15">#REF!</definedName>
    <definedName name="T12nc" localSheetId="1">#REF!</definedName>
    <definedName name="T12nc" localSheetId="18">#REF!</definedName>
    <definedName name="T12nc" localSheetId="16">#REF!</definedName>
    <definedName name="T12nc" localSheetId="6">#REF!</definedName>
    <definedName name="T12nc" localSheetId="3">#REF!</definedName>
    <definedName name="T12nc" localSheetId="17">#REF!</definedName>
    <definedName name="T12nc" localSheetId="8">#REF!</definedName>
    <definedName name="T12nc" localSheetId="4">#REF!</definedName>
    <definedName name="T12nc" localSheetId="20">#REF!</definedName>
    <definedName name="T12nc">#REF!</definedName>
    <definedName name="T12vl" localSheetId="7">#REF!</definedName>
    <definedName name="T12vl" localSheetId="15">#REF!</definedName>
    <definedName name="T12vl" localSheetId="1">#REF!</definedName>
    <definedName name="T12vl" localSheetId="18">#REF!</definedName>
    <definedName name="T12vl" localSheetId="16">#REF!</definedName>
    <definedName name="T12vl" localSheetId="6">#REF!</definedName>
    <definedName name="T12vl" localSheetId="3">#REF!</definedName>
    <definedName name="T12vl" localSheetId="17">#REF!</definedName>
    <definedName name="T12vl" localSheetId="8">#REF!</definedName>
    <definedName name="T12vl" localSheetId="4">#REF!</definedName>
    <definedName name="T12vl" localSheetId="20">#REF!</definedName>
    <definedName name="T12vl">#REF!</definedName>
    <definedName name="t7m" localSheetId="7">#REF!</definedName>
    <definedName name="t7m" localSheetId="15">#REF!</definedName>
    <definedName name="t7m" localSheetId="1">#REF!</definedName>
    <definedName name="t7m" localSheetId="18">#REF!</definedName>
    <definedName name="t7m" localSheetId="16">#REF!</definedName>
    <definedName name="t7m" localSheetId="6">#REF!</definedName>
    <definedName name="t7m" localSheetId="3">#REF!</definedName>
    <definedName name="t7m" localSheetId="17">#REF!</definedName>
    <definedName name="t7m" localSheetId="8">#REF!</definedName>
    <definedName name="t7m" localSheetId="4">#REF!</definedName>
    <definedName name="t7m" localSheetId="20">#REF!</definedName>
    <definedName name="t7m">#REF!</definedName>
    <definedName name="t8m" localSheetId="7">#REF!</definedName>
    <definedName name="t8m" localSheetId="15">#REF!</definedName>
    <definedName name="t8m" localSheetId="1">#REF!</definedName>
    <definedName name="t8m" localSheetId="18">#REF!</definedName>
    <definedName name="t8m" localSheetId="16">#REF!</definedName>
    <definedName name="t8m" localSheetId="6">#REF!</definedName>
    <definedName name="t8m" localSheetId="3">#REF!</definedName>
    <definedName name="t8m" localSheetId="17">#REF!</definedName>
    <definedName name="t8m" localSheetId="8">#REF!</definedName>
    <definedName name="t8m" localSheetId="4">#REF!</definedName>
    <definedName name="t8m" localSheetId="20">#REF!</definedName>
    <definedName name="t8m">#REF!</definedName>
    <definedName name="Taikhoan" localSheetId="5">'[64]Tai khoan'!$A$3:$C$93</definedName>
    <definedName name="Taikhoan" localSheetId="3">'[64]Tai khoan'!$A$3:$C$93</definedName>
    <definedName name="Taikhoan" localSheetId="17">'[64]Tai khoan'!$A$3:$C$93</definedName>
    <definedName name="Taikhoan" localSheetId="8">'[64]Tai khoan'!$A$3:$C$93</definedName>
    <definedName name="Taikhoan">'[64]Tai khoan'!$A$3:$C$93</definedName>
    <definedName name="TAM" localSheetId="7">'[41]Accrual Jul''17'!TAM</definedName>
    <definedName name="TAM" localSheetId="1">'[41]Accrual Jul''17'!TAM</definedName>
    <definedName name="TAM" localSheetId="18">'[41]Accrual Jul''17'!TAM</definedName>
    <definedName name="TAM" localSheetId="16">'[41]Accrual Jul''17'!TAM</definedName>
    <definedName name="TAM" localSheetId="6">'[41]Accrual Jul''17'!TAM</definedName>
    <definedName name="TAM" localSheetId="3">'[41]Accrual Jul''17'!TAM</definedName>
    <definedName name="TAM" localSheetId="17">'[41]Accrual Jul''17'!TAM</definedName>
    <definedName name="TAM" localSheetId="8">'[41]Accrual Jul''17'!TAM</definedName>
    <definedName name="TAM" localSheetId="4">'[41]Accrual Jul''17'!TAM</definedName>
    <definedName name="TAM" localSheetId="20">'[41]Accrual Jul''17'!TAM</definedName>
    <definedName name="TAM">'[41]Accrual Jul''17'!TAM</definedName>
    <definedName name="TAM_DIENGIAI" localSheetId="5">[7]TAM!$D$8</definedName>
    <definedName name="TAM_DIENGIAI" localSheetId="3">[7]TAM!$D$8</definedName>
    <definedName name="TAM_DIENGIAI" localSheetId="17">[7]TAM!$D$8</definedName>
    <definedName name="TAM_DIENGIAI" localSheetId="8">[7]TAM!$D$8</definedName>
    <definedName name="TAM_DIENGIAI">[7]TAM!$D$8</definedName>
    <definedName name="TAM_KHON" localSheetId="5">[7]TAM!$AA$8</definedName>
    <definedName name="TAM_KHON" localSheetId="3">[7]TAM!$AA$8</definedName>
    <definedName name="TAM_KHON" localSheetId="17">[7]TAM!$AA$8</definedName>
    <definedName name="TAM_KHON" localSheetId="8">[7]TAM!$AA$8</definedName>
    <definedName name="TAM_KHON">[7]TAM!$AA$8</definedName>
    <definedName name="TAM_KHOX" localSheetId="5">[7]TAM!$AB$8</definedName>
    <definedName name="TAM_KHOX" localSheetId="3">[7]TAM!$AB$8</definedName>
    <definedName name="TAM_KHOX" localSheetId="17">[7]TAM!$AB$8</definedName>
    <definedName name="TAM_KHOX" localSheetId="8">[7]TAM!$AB$8</definedName>
    <definedName name="TAM_KHOX">[7]TAM!$AB$8</definedName>
    <definedName name="TAM_NGAYCT" localSheetId="5">[7]TAM!$C$8</definedName>
    <definedName name="TAM_NGAYCT" localSheetId="3">[7]TAM!$C$8</definedName>
    <definedName name="TAM_NGAYCT" localSheetId="17">[7]TAM!$C$8</definedName>
    <definedName name="TAM_NGAYCT" localSheetId="8">[7]TAM!$C$8</definedName>
    <definedName name="TAM_NGAYCT">[7]TAM!$C$8</definedName>
    <definedName name="TAM_SOCT" localSheetId="5">[7]TAM!$B$8</definedName>
    <definedName name="TAM_SOCT" localSheetId="3">[7]TAM!$B$8</definedName>
    <definedName name="TAM_SOCT" localSheetId="17">[7]TAM!$B$8</definedName>
    <definedName name="TAM_SOCT" localSheetId="8">[7]TAM!$B$8</definedName>
    <definedName name="TAM_SOCT">[7]TAM!$B$8</definedName>
    <definedName name="TAM_SOHD" localSheetId="5">[7]TAM!$E$8</definedName>
    <definedName name="TAM_SOHD" localSheetId="3">[7]TAM!$E$8</definedName>
    <definedName name="TAM_SOHD" localSheetId="17">[7]TAM!$E$8</definedName>
    <definedName name="TAM_SOHD" localSheetId="8">[7]TAM!$E$8</definedName>
    <definedName name="TAM_SOHD">[7]TAM!$E$8</definedName>
    <definedName name="Taurus_Average">"$#REF!.$W$6:$AP$32"</definedName>
    <definedName name="Taurus_Sedan_3.0_GL">"$#REF!.$W$34:$AP$63"</definedName>
    <definedName name="Taurus_Sedan_3.8_3.0_LX">"$#REF!.$W$65:$AP$94"</definedName>
    <definedName name="Taurus_Sedan_SHO">"$#REF!.$W$96:$AP$125"</definedName>
    <definedName name="Taurus_Wagon_3.0_GL">"$#REF!.$W$127:$AP$156"</definedName>
    <definedName name="Taurus_Wagon_3.0_LX">"$#REF!.$W$158:$AP$187"</definedName>
    <definedName name="TaxTV">10%</definedName>
    <definedName name="TaxXL">5%</definedName>
    <definedName name="tb" localSheetId="7">#REF!</definedName>
    <definedName name="tb" localSheetId="15">#REF!</definedName>
    <definedName name="tb" localSheetId="1">#REF!</definedName>
    <definedName name="tb" localSheetId="18">#REF!</definedName>
    <definedName name="tb" localSheetId="16">#REF!</definedName>
    <definedName name="tb" localSheetId="6">#REF!</definedName>
    <definedName name="tb" localSheetId="5">[13]gVL!$N$26</definedName>
    <definedName name="tb" localSheetId="3">[13]gVL!$N$26</definedName>
    <definedName name="tb" localSheetId="17">[13]gVL!$N$26</definedName>
    <definedName name="tb" localSheetId="8">[13]gVL!$N$26</definedName>
    <definedName name="tb" localSheetId="4">#REF!</definedName>
    <definedName name="tb" localSheetId="20">#REF!</definedName>
    <definedName name="tb">#REF!</definedName>
    <definedName name="TBCS" localSheetId="7">#REF!</definedName>
    <definedName name="TBCS" localSheetId="15">#REF!</definedName>
    <definedName name="TBCS" localSheetId="1">#REF!</definedName>
    <definedName name="TBCS" localSheetId="18">#REF!</definedName>
    <definedName name="TBCS" localSheetId="16">#REF!</definedName>
    <definedName name="TBCS" localSheetId="6">#REF!</definedName>
    <definedName name="TBCS" localSheetId="5">#REF!</definedName>
    <definedName name="TBCS" localSheetId="3">#REF!</definedName>
    <definedName name="TBCS" localSheetId="17">#REF!</definedName>
    <definedName name="TBCS" localSheetId="8">#REF!</definedName>
    <definedName name="TBCS" localSheetId="4">#REF!</definedName>
    <definedName name="TBCS" localSheetId="20">#REF!</definedName>
    <definedName name="TBCS">#REF!</definedName>
    <definedName name="TBCS_ST" localSheetId="7">#REF!</definedName>
    <definedName name="TBCS_ST" localSheetId="15">#REF!</definedName>
    <definedName name="TBCS_ST" localSheetId="1">#REF!</definedName>
    <definedName name="TBCS_ST" localSheetId="18">#REF!</definedName>
    <definedName name="TBCS_ST" localSheetId="16">#REF!</definedName>
    <definedName name="TBCS_ST" localSheetId="6">#REF!</definedName>
    <definedName name="TBCS_ST" localSheetId="5">#REF!</definedName>
    <definedName name="TBCS_ST" localSheetId="3">#REF!</definedName>
    <definedName name="TBCS_ST" localSheetId="17">#REF!</definedName>
    <definedName name="TBCS_ST" localSheetId="8">#REF!</definedName>
    <definedName name="TBCS_ST" localSheetId="4">#REF!</definedName>
    <definedName name="TBCS_ST" localSheetId="20">#REF!</definedName>
    <definedName name="TBCS_ST">#REF!</definedName>
    <definedName name="TBTH" localSheetId="7">#REF!</definedName>
    <definedName name="TBTH" localSheetId="15">#REF!</definedName>
    <definedName name="TBTH" localSheetId="1">#REF!</definedName>
    <definedName name="TBTH" localSheetId="18">#REF!</definedName>
    <definedName name="TBTH" localSheetId="16">#REF!</definedName>
    <definedName name="TBTH" localSheetId="6">#REF!</definedName>
    <definedName name="TBTH" localSheetId="5">#REF!</definedName>
    <definedName name="TBTH" localSheetId="3">#REF!</definedName>
    <definedName name="TBTH" localSheetId="17">#REF!</definedName>
    <definedName name="TBTH" localSheetId="8">#REF!</definedName>
    <definedName name="TBTH" localSheetId="4">#REF!</definedName>
    <definedName name="TBTH" localSheetId="20">#REF!</definedName>
    <definedName name="TBTH">#REF!</definedName>
    <definedName name="TBTH_ST" localSheetId="7">#REF!</definedName>
    <definedName name="TBTH_ST" localSheetId="15">#REF!</definedName>
    <definedName name="TBTH_ST" localSheetId="1">#REF!</definedName>
    <definedName name="TBTH_ST" localSheetId="18">#REF!</definedName>
    <definedName name="TBTH_ST" localSheetId="16">#REF!</definedName>
    <definedName name="TBTH_ST" localSheetId="6">#REF!</definedName>
    <definedName name="TBTH_ST" localSheetId="5">#REF!</definedName>
    <definedName name="TBTH_ST" localSheetId="3">#REF!</definedName>
    <definedName name="TBTH_ST" localSheetId="17">#REF!</definedName>
    <definedName name="TBTH_ST" localSheetId="8">#REF!</definedName>
    <definedName name="TBTH_ST" localSheetId="4">#REF!</definedName>
    <definedName name="TBTH_ST" localSheetId="20">#REF!</definedName>
    <definedName name="TBTH_ST">#REF!</definedName>
    <definedName name="TBXD" localSheetId="7">#REF!</definedName>
    <definedName name="TBXD" localSheetId="15">#REF!</definedName>
    <definedName name="TBXD" localSheetId="1">#REF!</definedName>
    <definedName name="TBXD" localSheetId="18">#REF!</definedName>
    <definedName name="TBXD" localSheetId="16">#REF!</definedName>
    <definedName name="TBXD" localSheetId="6">#REF!</definedName>
    <definedName name="TBXD" localSheetId="3">#REF!</definedName>
    <definedName name="TBXD" localSheetId="17">#REF!</definedName>
    <definedName name="TBXD" localSheetId="8">#REF!</definedName>
    <definedName name="TBXD" localSheetId="4">#REF!</definedName>
    <definedName name="TBXD" localSheetId="20">#REF!</definedName>
    <definedName name="TBXD">#REF!</definedName>
    <definedName name="TC" localSheetId="7">#REF!</definedName>
    <definedName name="TC" localSheetId="15">#REF!</definedName>
    <definedName name="TC" localSheetId="1">#REF!</definedName>
    <definedName name="TC" localSheetId="18">#REF!</definedName>
    <definedName name="TC" localSheetId="16">#REF!</definedName>
    <definedName name="TC" localSheetId="6">#REF!</definedName>
    <definedName name="TC" localSheetId="3">#REF!</definedName>
    <definedName name="TC" localSheetId="17">#REF!</definedName>
    <definedName name="TC" localSheetId="8">#REF!</definedName>
    <definedName name="TC" localSheetId="4">#REF!</definedName>
    <definedName name="TC" localSheetId="20">#REF!</definedName>
    <definedName name="TC">#REF!</definedName>
    <definedName name="TCCS" localSheetId="7">#REF!</definedName>
    <definedName name="TCCS" localSheetId="15">#REF!</definedName>
    <definedName name="TCCS" localSheetId="1">#REF!</definedName>
    <definedName name="TCCS" localSheetId="18">#REF!</definedName>
    <definedName name="TCCS" localSheetId="16">#REF!</definedName>
    <definedName name="TCCS" localSheetId="6">#REF!</definedName>
    <definedName name="TCCS" localSheetId="5">#REF!</definedName>
    <definedName name="TCCS" localSheetId="3">#REF!</definedName>
    <definedName name="TCCS" localSheetId="17">#REF!</definedName>
    <definedName name="TCCS" localSheetId="8">#REF!</definedName>
    <definedName name="TCCS" localSheetId="4">#REF!</definedName>
    <definedName name="TCCS" localSheetId="20">#REF!</definedName>
    <definedName name="TCCS">#REF!</definedName>
    <definedName name="TCCS_ST" localSheetId="7">#REF!</definedName>
    <definedName name="TCCS_ST" localSheetId="15">#REF!</definedName>
    <definedName name="TCCS_ST" localSheetId="1">#REF!</definedName>
    <definedName name="TCCS_ST" localSheetId="18">#REF!</definedName>
    <definedName name="TCCS_ST" localSheetId="16">#REF!</definedName>
    <definedName name="TCCS_ST" localSheetId="6">#REF!</definedName>
    <definedName name="TCCS_ST" localSheetId="5">#REF!</definedName>
    <definedName name="TCCS_ST" localSheetId="3">#REF!</definedName>
    <definedName name="TCCS_ST" localSheetId="17">#REF!</definedName>
    <definedName name="TCCS_ST" localSheetId="8">#REF!</definedName>
    <definedName name="TCCS_ST" localSheetId="4">#REF!</definedName>
    <definedName name="TCCS_ST" localSheetId="20">#REF!</definedName>
    <definedName name="TCCS_ST">#REF!</definedName>
    <definedName name="TCCS_VAT" localSheetId="7">#REF!</definedName>
    <definedName name="TCCS_VAT" localSheetId="15">#REF!</definedName>
    <definedName name="TCCS_VAT" localSheetId="1">#REF!</definedName>
    <definedName name="TCCS_VAT" localSheetId="18">#REF!</definedName>
    <definedName name="TCCS_VAT" localSheetId="16">#REF!</definedName>
    <definedName name="TCCS_VAT" localSheetId="6">#REF!</definedName>
    <definedName name="TCCS_VAT" localSheetId="5">#REF!</definedName>
    <definedName name="TCCS_VAT" localSheetId="3">#REF!</definedName>
    <definedName name="TCCS_VAT" localSheetId="17">#REF!</definedName>
    <definedName name="TCCS_VAT" localSheetId="8">#REF!</definedName>
    <definedName name="TCCS_VAT" localSheetId="4">#REF!</definedName>
    <definedName name="TCCS_VAT" localSheetId="20">#REF!</definedName>
    <definedName name="TCCS_VAT">#REF!</definedName>
    <definedName name="TChonsei" localSheetId="7">#REF!</definedName>
    <definedName name="TChonsei" localSheetId="15">#REF!</definedName>
    <definedName name="TChonsei" localSheetId="1">#REF!</definedName>
    <definedName name="TChonsei" localSheetId="18">#REF!</definedName>
    <definedName name="TChonsei" localSheetId="16">#REF!</definedName>
    <definedName name="TChonsei" localSheetId="6">#REF!</definedName>
    <definedName name="TChonsei" localSheetId="5">#REF!</definedName>
    <definedName name="TChonsei" localSheetId="3">#REF!</definedName>
    <definedName name="TChonsei" localSheetId="17">#REF!</definedName>
    <definedName name="TChonsei" localSheetId="8">#REF!</definedName>
    <definedName name="TChonsei" localSheetId="4">#REF!</definedName>
    <definedName name="TChonsei" localSheetId="20">#REF!</definedName>
    <definedName name="TChonsei">#REF!</definedName>
    <definedName name="TCM" localSheetId="7">#REF!</definedName>
    <definedName name="TCM" localSheetId="15">#REF!</definedName>
    <definedName name="TCM" localSheetId="1">#REF!</definedName>
    <definedName name="TCM" localSheetId="18">#REF!</definedName>
    <definedName name="TCM" localSheetId="16">#REF!</definedName>
    <definedName name="TCM" localSheetId="6">#REF!</definedName>
    <definedName name="TCM" localSheetId="5">#REF!</definedName>
    <definedName name="TCM" localSheetId="3">#REF!</definedName>
    <definedName name="TCM" localSheetId="17">#REF!</definedName>
    <definedName name="TCM" localSheetId="8">#REF!</definedName>
    <definedName name="TCM" localSheetId="4">#REF!</definedName>
    <definedName name="TCM" localSheetId="20">#REF!</definedName>
    <definedName name="TCM">#REF!</definedName>
    <definedName name="TCM_ST" localSheetId="7">#REF!</definedName>
    <definedName name="TCM_ST" localSheetId="15">#REF!</definedName>
    <definedName name="TCM_ST" localSheetId="1">#REF!</definedName>
    <definedName name="TCM_ST" localSheetId="18">#REF!</definedName>
    <definedName name="TCM_ST" localSheetId="16">#REF!</definedName>
    <definedName name="TCM_ST" localSheetId="6">#REF!</definedName>
    <definedName name="TCM_ST" localSheetId="5">#REF!</definedName>
    <definedName name="TCM_ST" localSheetId="3">#REF!</definedName>
    <definedName name="TCM_ST" localSheetId="17">#REF!</definedName>
    <definedName name="TCM_ST" localSheetId="8">#REF!</definedName>
    <definedName name="TCM_ST" localSheetId="4">#REF!</definedName>
    <definedName name="TCM_ST" localSheetId="20">#REF!</definedName>
    <definedName name="TCM_ST">#REF!</definedName>
    <definedName name="TCM_VAT" localSheetId="7">#REF!</definedName>
    <definedName name="TCM_VAT" localSheetId="15">#REF!</definedName>
    <definedName name="TCM_VAT" localSheetId="1">#REF!</definedName>
    <definedName name="TCM_VAT" localSheetId="18">#REF!</definedName>
    <definedName name="TCM_VAT" localSheetId="16">#REF!</definedName>
    <definedName name="TCM_VAT" localSheetId="6">#REF!</definedName>
    <definedName name="TCM_VAT" localSheetId="5">#REF!</definedName>
    <definedName name="TCM_VAT" localSheetId="3">#REF!</definedName>
    <definedName name="TCM_VAT" localSheetId="17">#REF!</definedName>
    <definedName name="TCM_VAT" localSheetId="8">#REF!</definedName>
    <definedName name="TCM_VAT" localSheetId="4">#REF!</definedName>
    <definedName name="TCM_VAT" localSheetId="20">#REF!</definedName>
    <definedName name="TCM_VAT">#REF!</definedName>
    <definedName name="td" localSheetId="7">#REF!</definedName>
    <definedName name="td" localSheetId="15">#REF!</definedName>
    <definedName name="td" localSheetId="1">#REF!</definedName>
    <definedName name="td" localSheetId="18">#REF!</definedName>
    <definedName name="td" localSheetId="16">#REF!</definedName>
    <definedName name="td" localSheetId="6">#REF!</definedName>
    <definedName name="td" localSheetId="3">#REF!</definedName>
    <definedName name="td" localSheetId="17">#REF!</definedName>
    <definedName name="td" localSheetId="8">#REF!</definedName>
    <definedName name="td" localSheetId="4">#REF!</definedName>
    <definedName name="td" localSheetId="20">#REF!</definedName>
    <definedName name="td">#REF!</definedName>
    <definedName name="TDeposit" localSheetId="7">#REF!</definedName>
    <definedName name="TDeposit" localSheetId="15">#REF!</definedName>
    <definedName name="TDeposit" localSheetId="1">#REF!</definedName>
    <definedName name="TDeposit" localSheetId="18">#REF!</definedName>
    <definedName name="TDeposit" localSheetId="16">#REF!</definedName>
    <definedName name="TDeposit" localSheetId="6">#REF!</definedName>
    <definedName name="TDeposit" localSheetId="5">#REF!</definedName>
    <definedName name="TDeposit" localSheetId="3">#REF!</definedName>
    <definedName name="TDeposit" localSheetId="17">#REF!</definedName>
    <definedName name="TDeposit" localSheetId="8">#REF!</definedName>
    <definedName name="TDeposit" localSheetId="4">#REF!</definedName>
    <definedName name="TDeposit" localSheetId="20">#REF!</definedName>
    <definedName name="TDeposit">#REF!</definedName>
    <definedName name="TEMP">"$#REF!.$H$26"</definedName>
    <definedName name="TEMP1">"$#REF!.$H$26"</definedName>
    <definedName name="TENANT" localSheetId="11">#REF!</definedName>
    <definedName name="TENANT" localSheetId="7">#REF!</definedName>
    <definedName name="TENANT" localSheetId="15">#REF!</definedName>
    <definedName name="TENANT" localSheetId="1">#REF!</definedName>
    <definedName name="TENANT" localSheetId="18">#REF!</definedName>
    <definedName name="TENANT" localSheetId="16">#REF!</definedName>
    <definedName name="TENANT" localSheetId="6">#REF!</definedName>
    <definedName name="TENANT" localSheetId="10">#REF!</definedName>
    <definedName name="TENANT" localSheetId="14">#REF!</definedName>
    <definedName name="TENANT" localSheetId="5">#REF!</definedName>
    <definedName name="TENANT" localSheetId="3">#REF!</definedName>
    <definedName name="TENANT" localSheetId="17">#REF!</definedName>
    <definedName name="TENANT" localSheetId="8">#REF!</definedName>
    <definedName name="TENANT" localSheetId="4">#REF!</definedName>
    <definedName name="TENANT" localSheetId="20">#REF!</definedName>
    <definedName name="TENANT">#REF!</definedName>
    <definedName name="TEST0" localSheetId="7">#REF!</definedName>
    <definedName name="TEST0" localSheetId="15">#REF!</definedName>
    <definedName name="TEST0" localSheetId="1">#REF!</definedName>
    <definedName name="TEST0" localSheetId="18">#REF!</definedName>
    <definedName name="TEST0" localSheetId="16">#REF!</definedName>
    <definedName name="TEST0" localSheetId="6">#REF!</definedName>
    <definedName name="TEST0" localSheetId="10">#REF!</definedName>
    <definedName name="TEST0" localSheetId="14">#REF!</definedName>
    <definedName name="TEST0" localSheetId="5">#REF!</definedName>
    <definedName name="TEST0" localSheetId="3">#REF!</definedName>
    <definedName name="TEST0" localSheetId="17">#REF!</definedName>
    <definedName name="TEST0" localSheetId="8">#REF!</definedName>
    <definedName name="TEST0" localSheetId="4">#REF!</definedName>
    <definedName name="TEST0" localSheetId="20">#REF!</definedName>
    <definedName name="TEST0">#REF!</definedName>
    <definedName name="TEST1" localSheetId="7">#REF!</definedName>
    <definedName name="TEST1" localSheetId="15">#REF!</definedName>
    <definedName name="TEST1" localSheetId="1">#REF!</definedName>
    <definedName name="TEST1" localSheetId="18">#REF!</definedName>
    <definedName name="TEST1" localSheetId="16">#REF!</definedName>
    <definedName name="TEST1" localSheetId="6">#REF!</definedName>
    <definedName name="TEST1" localSheetId="10">#REF!</definedName>
    <definedName name="TEST1" localSheetId="14">#REF!</definedName>
    <definedName name="TEST1" localSheetId="5">#REF!</definedName>
    <definedName name="TEST1" localSheetId="3">#REF!</definedName>
    <definedName name="TEST1" localSheetId="17">#REF!</definedName>
    <definedName name="TEST1" localSheetId="8">#REF!</definedName>
    <definedName name="TEST1" localSheetId="4">#REF!</definedName>
    <definedName name="TEST1" localSheetId="20">#REF!</definedName>
    <definedName name="TEST1">#REF!</definedName>
    <definedName name="TEST2" localSheetId="7">#REF!</definedName>
    <definedName name="TEST2" localSheetId="15">#REF!</definedName>
    <definedName name="TEST2" localSheetId="1">#REF!</definedName>
    <definedName name="TEST2" localSheetId="18">#REF!</definedName>
    <definedName name="TEST2" localSheetId="16">#REF!</definedName>
    <definedName name="TEST2" localSheetId="6">#REF!</definedName>
    <definedName name="TEST2" localSheetId="10">#REF!</definedName>
    <definedName name="TEST2" localSheetId="14">#REF!</definedName>
    <definedName name="TEST2" localSheetId="5">#REF!</definedName>
    <definedName name="TEST2" localSheetId="3">#REF!</definedName>
    <definedName name="TEST2" localSheetId="17">#REF!</definedName>
    <definedName name="TEST2" localSheetId="8">#REF!</definedName>
    <definedName name="TEST2" localSheetId="4">#REF!</definedName>
    <definedName name="TEST2" localSheetId="20">#REF!</definedName>
    <definedName name="TEST2">#REF!</definedName>
    <definedName name="TEST3" localSheetId="7">#REF!</definedName>
    <definedName name="TEST3" localSheetId="15">#REF!</definedName>
    <definedName name="TEST3" localSheetId="1">#REF!</definedName>
    <definedName name="TEST3" localSheetId="18">#REF!</definedName>
    <definedName name="TEST3" localSheetId="16">#REF!</definedName>
    <definedName name="TEST3" localSheetId="6">#REF!</definedName>
    <definedName name="TEST3" localSheetId="10">#REF!</definedName>
    <definedName name="TEST3" localSheetId="14">#REF!</definedName>
    <definedName name="TEST3" localSheetId="5">#REF!</definedName>
    <definedName name="TEST3" localSheetId="3">#REF!</definedName>
    <definedName name="TEST3" localSheetId="17">#REF!</definedName>
    <definedName name="TEST3" localSheetId="8">#REF!</definedName>
    <definedName name="TEST3" localSheetId="4">#REF!</definedName>
    <definedName name="TEST3" localSheetId="20">#REF!</definedName>
    <definedName name="TEST3">#REF!</definedName>
    <definedName name="TESTHKEY" localSheetId="7">#REF!</definedName>
    <definedName name="TESTHKEY" localSheetId="15">#REF!</definedName>
    <definedName name="TESTHKEY" localSheetId="1">#REF!</definedName>
    <definedName name="TESTHKEY" localSheetId="18">#REF!</definedName>
    <definedName name="TESTHKEY" localSheetId="16">#REF!</definedName>
    <definedName name="TESTHKEY" localSheetId="6">#REF!</definedName>
    <definedName name="TESTHKEY" localSheetId="10">#REF!</definedName>
    <definedName name="TESTHKEY" localSheetId="14">#REF!</definedName>
    <definedName name="TESTHKEY" localSheetId="5">#REF!</definedName>
    <definedName name="TESTHKEY" localSheetId="3">#REF!</definedName>
    <definedName name="TESTHKEY" localSheetId="17">#REF!</definedName>
    <definedName name="TESTHKEY" localSheetId="8">#REF!</definedName>
    <definedName name="TESTHKEY" localSheetId="4">#REF!</definedName>
    <definedName name="TESTHKEY" localSheetId="20">#REF!</definedName>
    <definedName name="TESTHKEY">#REF!</definedName>
    <definedName name="TESTKEYS" localSheetId="7">#REF!</definedName>
    <definedName name="TESTKEYS" localSheetId="15">#REF!</definedName>
    <definedName name="TESTKEYS" localSheetId="1">#REF!</definedName>
    <definedName name="TESTKEYS" localSheetId="18">#REF!</definedName>
    <definedName name="TESTKEYS" localSheetId="16">#REF!</definedName>
    <definedName name="TESTKEYS" localSheetId="6">#REF!</definedName>
    <definedName name="TESTKEYS" localSheetId="10">#REF!</definedName>
    <definedName name="TESTKEYS" localSheetId="14">#REF!</definedName>
    <definedName name="TESTKEYS" localSheetId="5">#REF!</definedName>
    <definedName name="TESTKEYS" localSheetId="3">#REF!</definedName>
    <definedName name="TESTKEYS" localSheetId="17">#REF!</definedName>
    <definedName name="TESTKEYS" localSheetId="8">#REF!</definedName>
    <definedName name="TESTKEYS" localSheetId="4">#REF!</definedName>
    <definedName name="TESTKEYS" localSheetId="20">#REF!</definedName>
    <definedName name="TESTKEYS">#REF!</definedName>
    <definedName name="TESTVKEY" localSheetId="7">#REF!</definedName>
    <definedName name="TESTVKEY" localSheetId="15">#REF!</definedName>
    <definedName name="TESTVKEY" localSheetId="1">#REF!</definedName>
    <definedName name="TESTVKEY" localSheetId="18">#REF!</definedName>
    <definedName name="TESTVKEY" localSheetId="16">#REF!</definedName>
    <definedName name="TESTVKEY" localSheetId="6">#REF!</definedName>
    <definedName name="TESTVKEY" localSheetId="10">#REF!</definedName>
    <definedName name="TESTVKEY" localSheetId="14">#REF!</definedName>
    <definedName name="TESTVKEY" localSheetId="5">#REF!</definedName>
    <definedName name="TESTVKEY" localSheetId="3">#REF!</definedName>
    <definedName name="TESTVKEY" localSheetId="17">#REF!</definedName>
    <definedName name="TESTVKEY" localSheetId="8">#REF!</definedName>
    <definedName name="TESTVKEY" localSheetId="4">#REF!</definedName>
    <definedName name="TESTVKEY" localSheetId="20">#REF!</definedName>
    <definedName name="TESTVKEY">#REF!</definedName>
    <definedName name="text" localSheetId="7">#REF!</definedName>
    <definedName name="text" localSheetId="15">#REF!</definedName>
    <definedName name="text" localSheetId="1">#REF!</definedName>
    <definedName name="text" localSheetId="18">#REF!</definedName>
    <definedName name="text" localSheetId="16">#REF!</definedName>
    <definedName name="text" localSheetId="6">#REF!</definedName>
    <definedName name="text" localSheetId="5">#REF!</definedName>
    <definedName name="text" localSheetId="3">#REF!</definedName>
    <definedName name="text" localSheetId="17">#REF!</definedName>
    <definedName name="text" localSheetId="13">#REF!</definedName>
    <definedName name="text" localSheetId="8">#REF!</definedName>
    <definedName name="text" localSheetId="4">#REF!</definedName>
    <definedName name="text" localSheetId="20">#REF!</definedName>
    <definedName name="text">#REF!</definedName>
    <definedName name="Textname">"Text 26"</definedName>
    <definedName name="TextRefCopy1" localSheetId="7">#REF!</definedName>
    <definedName name="TextRefCopy1" localSheetId="15">#REF!</definedName>
    <definedName name="TextRefCopy1" localSheetId="1">#REF!</definedName>
    <definedName name="TextRefCopy1" localSheetId="18">#REF!</definedName>
    <definedName name="TextRefCopy1" localSheetId="16">#REF!</definedName>
    <definedName name="TextRefCopy1" localSheetId="6">#REF!</definedName>
    <definedName name="TextRefCopy1" localSheetId="5">#REF!</definedName>
    <definedName name="TextRefCopy1" localSheetId="3">#REF!</definedName>
    <definedName name="TextRefCopy1" localSheetId="17">#REF!</definedName>
    <definedName name="TextRefCopy1" localSheetId="8">#REF!</definedName>
    <definedName name="TextRefCopy1" localSheetId="4">#REF!</definedName>
    <definedName name="TextRefCopy1" localSheetId="20">#REF!</definedName>
    <definedName name="TextRefCopy1">#REF!</definedName>
    <definedName name="TextRefCopy10" localSheetId="7">#REF!</definedName>
    <definedName name="TextRefCopy10" localSheetId="15">#REF!</definedName>
    <definedName name="TextRefCopy10" localSheetId="1">#REF!</definedName>
    <definedName name="TextRefCopy10" localSheetId="18">#REF!</definedName>
    <definedName name="TextRefCopy10" localSheetId="16">#REF!</definedName>
    <definedName name="TextRefCopy10" localSheetId="6">#REF!</definedName>
    <definedName name="TextRefCopy10" localSheetId="5">#REF!</definedName>
    <definedName name="TextRefCopy10" localSheetId="3">#REF!</definedName>
    <definedName name="TextRefCopy10" localSheetId="17">#REF!</definedName>
    <definedName name="TextRefCopy10" localSheetId="8">#REF!</definedName>
    <definedName name="TextRefCopy10" localSheetId="4">#REF!</definedName>
    <definedName name="TextRefCopy10" localSheetId="20">#REF!</definedName>
    <definedName name="TextRefCopy10">#REF!</definedName>
    <definedName name="TextRefCopy11" localSheetId="7">#REF!</definedName>
    <definedName name="TextRefCopy11" localSheetId="15">#REF!</definedName>
    <definedName name="TextRefCopy11" localSheetId="1">#REF!</definedName>
    <definedName name="TextRefCopy11" localSheetId="18">#REF!</definedName>
    <definedName name="TextRefCopy11" localSheetId="16">#REF!</definedName>
    <definedName name="TextRefCopy11" localSheetId="6">#REF!</definedName>
    <definedName name="TextRefCopy11" localSheetId="5">#REF!</definedName>
    <definedName name="TextRefCopy11" localSheetId="3">#REF!</definedName>
    <definedName name="TextRefCopy11" localSheetId="17">#REF!</definedName>
    <definedName name="TextRefCopy11" localSheetId="8">#REF!</definedName>
    <definedName name="TextRefCopy11" localSheetId="4">#REF!</definedName>
    <definedName name="TextRefCopy11" localSheetId="20">#REF!</definedName>
    <definedName name="TextRefCopy11">#REF!</definedName>
    <definedName name="TextRefCopy12" localSheetId="7">#REF!</definedName>
    <definedName name="TextRefCopy12" localSheetId="15">#REF!</definedName>
    <definedName name="TextRefCopy12" localSheetId="1">#REF!</definedName>
    <definedName name="TextRefCopy12" localSheetId="18">#REF!</definedName>
    <definedName name="TextRefCopy12" localSheetId="16">#REF!</definedName>
    <definedName name="TextRefCopy12" localSheetId="6">#REF!</definedName>
    <definedName name="TextRefCopy12" localSheetId="5">#REF!</definedName>
    <definedName name="TextRefCopy12" localSheetId="3">#REF!</definedName>
    <definedName name="TextRefCopy12" localSheetId="17">#REF!</definedName>
    <definedName name="TextRefCopy12" localSheetId="8">#REF!</definedName>
    <definedName name="TextRefCopy12" localSheetId="4">#REF!</definedName>
    <definedName name="TextRefCopy12" localSheetId="20">#REF!</definedName>
    <definedName name="TextRefCopy12">#REF!</definedName>
    <definedName name="TextRefCopy13" localSheetId="7">#REF!</definedName>
    <definedName name="TextRefCopy13" localSheetId="15">#REF!</definedName>
    <definedName name="TextRefCopy13" localSheetId="1">#REF!</definedName>
    <definedName name="TextRefCopy13" localSheetId="18">#REF!</definedName>
    <definedName name="TextRefCopy13" localSheetId="16">#REF!</definedName>
    <definedName name="TextRefCopy13" localSheetId="6">#REF!</definedName>
    <definedName name="TextRefCopy13" localSheetId="5">#REF!</definedName>
    <definedName name="TextRefCopy13" localSheetId="3">#REF!</definedName>
    <definedName name="TextRefCopy13" localSheetId="17">#REF!</definedName>
    <definedName name="TextRefCopy13" localSheetId="8">#REF!</definedName>
    <definedName name="TextRefCopy13" localSheetId="4">#REF!</definedName>
    <definedName name="TextRefCopy13" localSheetId="20">#REF!</definedName>
    <definedName name="TextRefCopy13">#REF!</definedName>
    <definedName name="TextRefCopy14" localSheetId="7">#REF!</definedName>
    <definedName name="TextRefCopy14" localSheetId="15">#REF!</definedName>
    <definedName name="TextRefCopy14" localSheetId="1">#REF!</definedName>
    <definedName name="TextRefCopy14" localSheetId="18">#REF!</definedName>
    <definedName name="TextRefCopy14" localSheetId="16">#REF!</definedName>
    <definedName name="TextRefCopy14" localSheetId="6">#REF!</definedName>
    <definedName name="TextRefCopy14" localSheetId="5">#REF!</definedName>
    <definedName name="TextRefCopy14" localSheetId="3">#REF!</definedName>
    <definedName name="TextRefCopy14" localSheetId="17">#REF!</definedName>
    <definedName name="TextRefCopy14" localSheetId="8">#REF!</definedName>
    <definedName name="TextRefCopy14" localSheetId="4">#REF!</definedName>
    <definedName name="TextRefCopy14" localSheetId="20">#REF!</definedName>
    <definedName name="TextRefCopy14">#REF!</definedName>
    <definedName name="TextRefCopy15" localSheetId="7">#REF!</definedName>
    <definedName name="TextRefCopy15" localSheetId="15">#REF!</definedName>
    <definedName name="TextRefCopy15" localSheetId="1">#REF!</definedName>
    <definedName name="TextRefCopy15" localSheetId="18">#REF!</definedName>
    <definedName name="TextRefCopy15" localSheetId="16">#REF!</definedName>
    <definedName name="TextRefCopy15" localSheetId="6">#REF!</definedName>
    <definedName name="TextRefCopy15" localSheetId="5">#REF!</definedName>
    <definedName name="TextRefCopy15" localSheetId="3">#REF!</definedName>
    <definedName name="TextRefCopy15" localSheetId="17">#REF!</definedName>
    <definedName name="TextRefCopy15" localSheetId="8">#REF!</definedName>
    <definedName name="TextRefCopy15" localSheetId="4">#REF!</definedName>
    <definedName name="TextRefCopy15" localSheetId="20">#REF!</definedName>
    <definedName name="TextRefCopy15">#REF!</definedName>
    <definedName name="TextRefCopy16" localSheetId="7">#REF!</definedName>
    <definedName name="TextRefCopy16" localSheetId="15">#REF!</definedName>
    <definedName name="TextRefCopy16" localSheetId="1">#REF!</definedName>
    <definedName name="TextRefCopy16" localSheetId="18">#REF!</definedName>
    <definedName name="TextRefCopy16" localSheetId="16">#REF!</definedName>
    <definedName name="TextRefCopy16" localSheetId="6">#REF!</definedName>
    <definedName name="TextRefCopy16" localSheetId="5">#REF!</definedName>
    <definedName name="TextRefCopy16" localSheetId="3">#REF!</definedName>
    <definedName name="TextRefCopy16" localSheetId="17">#REF!</definedName>
    <definedName name="TextRefCopy16" localSheetId="8">#REF!</definedName>
    <definedName name="TextRefCopy16" localSheetId="4">#REF!</definedName>
    <definedName name="TextRefCopy16" localSheetId="20">#REF!</definedName>
    <definedName name="TextRefCopy16">#REF!</definedName>
    <definedName name="TextRefCopy17" localSheetId="7">#REF!</definedName>
    <definedName name="TextRefCopy17" localSheetId="15">#REF!</definedName>
    <definedName name="TextRefCopy17" localSheetId="1">#REF!</definedName>
    <definedName name="TextRefCopy17" localSheetId="18">#REF!</definedName>
    <definedName name="TextRefCopy17" localSheetId="16">#REF!</definedName>
    <definedName name="TextRefCopy17" localSheetId="6">#REF!</definedName>
    <definedName name="TextRefCopy17" localSheetId="5">#REF!</definedName>
    <definedName name="TextRefCopy17" localSheetId="3">#REF!</definedName>
    <definedName name="TextRefCopy17" localSheetId="17">#REF!</definedName>
    <definedName name="TextRefCopy17" localSheetId="8">#REF!</definedName>
    <definedName name="TextRefCopy17" localSheetId="4">#REF!</definedName>
    <definedName name="TextRefCopy17" localSheetId="20">#REF!</definedName>
    <definedName name="TextRefCopy17">#REF!</definedName>
    <definedName name="TextRefCopy18" localSheetId="7">#REF!</definedName>
    <definedName name="TextRefCopy18" localSheetId="15">#REF!</definedName>
    <definedName name="TextRefCopy18" localSheetId="1">#REF!</definedName>
    <definedName name="TextRefCopy18" localSheetId="18">#REF!</definedName>
    <definedName name="TextRefCopy18" localSheetId="16">#REF!</definedName>
    <definedName name="TextRefCopy18" localSheetId="6">#REF!</definedName>
    <definedName name="TextRefCopy18" localSheetId="5">#REF!</definedName>
    <definedName name="TextRefCopy18" localSheetId="3">#REF!</definedName>
    <definedName name="TextRefCopy18" localSheetId="17">#REF!</definedName>
    <definedName name="TextRefCopy18" localSheetId="8">#REF!</definedName>
    <definedName name="TextRefCopy18" localSheetId="4">#REF!</definedName>
    <definedName name="TextRefCopy18" localSheetId="20">#REF!</definedName>
    <definedName name="TextRefCopy18">#REF!</definedName>
    <definedName name="TextRefCopy19" localSheetId="7">#REF!</definedName>
    <definedName name="TextRefCopy19" localSheetId="15">#REF!</definedName>
    <definedName name="TextRefCopy19" localSheetId="1">#REF!</definedName>
    <definedName name="TextRefCopy19" localSheetId="18">#REF!</definedName>
    <definedName name="TextRefCopy19" localSheetId="16">#REF!</definedName>
    <definedName name="TextRefCopy19" localSheetId="6">#REF!</definedName>
    <definedName name="TextRefCopy19" localSheetId="5">#REF!</definedName>
    <definedName name="TextRefCopy19" localSheetId="3">#REF!</definedName>
    <definedName name="TextRefCopy19" localSheetId="17">#REF!</definedName>
    <definedName name="TextRefCopy19" localSheetId="8">#REF!</definedName>
    <definedName name="TextRefCopy19" localSheetId="4">#REF!</definedName>
    <definedName name="TextRefCopy19" localSheetId="20">#REF!</definedName>
    <definedName name="TextRefCopy19">#REF!</definedName>
    <definedName name="TextRefCopy2" localSheetId="7">#REF!</definedName>
    <definedName name="TextRefCopy2" localSheetId="15">#REF!</definedName>
    <definedName name="TextRefCopy2" localSheetId="1">#REF!</definedName>
    <definedName name="TextRefCopy2" localSheetId="18">#REF!</definedName>
    <definedName name="TextRefCopy2" localSheetId="16">#REF!</definedName>
    <definedName name="TextRefCopy2" localSheetId="6">#REF!</definedName>
    <definedName name="TextRefCopy2" localSheetId="5">#REF!</definedName>
    <definedName name="TextRefCopy2" localSheetId="3">#REF!</definedName>
    <definedName name="TextRefCopy2" localSheetId="17">#REF!</definedName>
    <definedName name="TextRefCopy2" localSheetId="8">#REF!</definedName>
    <definedName name="TextRefCopy2" localSheetId="4">#REF!</definedName>
    <definedName name="TextRefCopy2" localSheetId="20">#REF!</definedName>
    <definedName name="TextRefCopy2">#REF!</definedName>
    <definedName name="TextRefCopy20" localSheetId="7">#REF!</definedName>
    <definedName name="TextRefCopy20" localSheetId="15">#REF!</definedName>
    <definedName name="TextRefCopy20" localSheetId="1">#REF!</definedName>
    <definedName name="TextRefCopy20" localSheetId="18">#REF!</definedName>
    <definedName name="TextRefCopy20" localSheetId="16">#REF!</definedName>
    <definedName name="TextRefCopy20" localSheetId="6">#REF!</definedName>
    <definedName name="TextRefCopy20" localSheetId="5">#REF!</definedName>
    <definedName name="TextRefCopy20" localSheetId="3">#REF!</definedName>
    <definedName name="TextRefCopy20" localSheetId="17">#REF!</definedName>
    <definedName name="TextRefCopy20" localSheetId="8">#REF!</definedName>
    <definedName name="TextRefCopy20" localSheetId="4">#REF!</definedName>
    <definedName name="TextRefCopy20" localSheetId="20">#REF!</definedName>
    <definedName name="TextRefCopy20">#REF!</definedName>
    <definedName name="TextRefCopy21" localSheetId="7">#REF!</definedName>
    <definedName name="TextRefCopy21" localSheetId="15">#REF!</definedName>
    <definedName name="TextRefCopy21" localSheetId="1">#REF!</definedName>
    <definedName name="TextRefCopy21" localSheetId="18">#REF!</definedName>
    <definedName name="TextRefCopy21" localSheetId="16">#REF!</definedName>
    <definedName name="TextRefCopy21" localSheetId="6">#REF!</definedName>
    <definedName name="TextRefCopy21" localSheetId="5">#REF!</definedName>
    <definedName name="TextRefCopy21" localSheetId="3">#REF!</definedName>
    <definedName name="TextRefCopy21" localSheetId="17">#REF!</definedName>
    <definedName name="TextRefCopy21" localSheetId="8">#REF!</definedName>
    <definedName name="TextRefCopy21" localSheetId="4">#REF!</definedName>
    <definedName name="TextRefCopy21" localSheetId="20">#REF!</definedName>
    <definedName name="TextRefCopy21">#REF!</definedName>
    <definedName name="TextRefCopy3" localSheetId="7">#REF!</definedName>
    <definedName name="TextRefCopy3" localSheetId="15">#REF!</definedName>
    <definedName name="TextRefCopy3" localSheetId="1">#REF!</definedName>
    <definedName name="TextRefCopy3" localSheetId="18">#REF!</definedName>
    <definedName name="TextRefCopy3" localSheetId="16">#REF!</definedName>
    <definedName name="TextRefCopy3" localSheetId="6">#REF!</definedName>
    <definedName name="TextRefCopy3" localSheetId="5">#REF!</definedName>
    <definedName name="TextRefCopy3" localSheetId="3">#REF!</definedName>
    <definedName name="TextRefCopy3" localSheetId="17">#REF!</definedName>
    <definedName name="TextRefCopy3" localSheetId="8">#REF!</definedName>
    <definedName name="TextRefCopy3" localSheetId="4">#REF!</definedName>
    <definedName name="TextRefCopy3" localSheetId="20">#REF!</definedName>
    <definedName name="TextRefCopy3">#REF!</definedName>
    <definedName name="TextRefCopy4" localSheetId="7">#REF!</definedName>
    <definedName name="TextRefCopy4" localSheetId="15">#REF!</definedName>
    <definedName name="TextRefCopy4" localSheetId="1">#REF!</definedName>
    <definedName name="TextRefCopy4" localSheetId="18">#REF!</definedName>
    <definedName name="TextRefCopy4" localSheetId="16">#REF!</definedName>
    <definedName name="TextRefCopy4" localSheetId="6">#REF!</definedName>
    <definedName name="TextRefCopy4" localSheetId="5">#REF!</definedName>
    <definedName name="TextRefCopy4" localSheetId="3">#REF!</definedName>
    <definedName name="TextRefCopy4" localSheetId="17">#REF!</definedName>
    <definedName name="TextRefCopy4" localSheetId="8">#REF!</definedName>
    <definedName name="TextRefCopy4" localSheetId="4">#REF!</definedName>
    <definedName name="TextRefCopy4" localSheetId="20">#REF!</definedName>
    <definedName name="TextRefCopy4">#REF!</definedName>
    <definedName name="TextRefCopy5" localSheetId="7">#REF!</definedName>
    <definedName name="TextRefCopy5" localSheetId="15">#REF!</definedName>
    <definedName name="TextRefCopy5" localSheetId="1">#REF!</definedName>
    <definedName name="TextRefCopy5" localSheetId="18">#REF!</definedName>
    <definedName name="TextRefCopy5" localSheetId="16">#REF!</definedName>
    <definedName name="TextRefCopy5" localSheetId="6">#REF!</definedName>
    <definedName name="TextRefCopy5" localSheetId="5">#REF!</definedName>
    <definedName name="TextRefCopy5" localSheetId="3">#REF!</definedName>
    <definedName name="TextRefCopy5" localSheetId="17">#REF!</definedName>
    <definedName name="TextRefCopy5" localSheetId="8">#REF!</definedName>
    <definedName name="TextRefCopy5" localSheetId="4">#REF!</definedName>
    <definedName name="TextRefCopy5" localSheetId="20">#REF!</definedName>
    <definedName name="TextRefCopy5">#REF!</definedName>
    <definedName name="TextRefCopy6" localSheetId="7">#REF!</definedName>
    <definedName name="TextRefCopy6" localSheetId="15">#REF!</definedName>
    <definedName name="TextRefCopy6" localSheetId="1">#REF!</definedName>
    <definedName name="TextRefCopy6" localSheetId="18">#REF!</definedName>
    <definedName name="TextRefCopy6" localSheetId="16">#REF!</definedName>
    <definedName name="TextRefCopy6" localSheetId="6">#REF!</definedName>
    <definedName name="TextRefCopy6" localSheetId="5">#REF!</definedName>
    <definedName name="TextRefCopy6" localSheetId="3">#REF!</definedName>
    <definedName name="TextRefCopy6" localSheetId="17">#REF!</definedName>
    <definedName name="TextRefCopy6" localSheetId="8">#REF!</definedName>
    <definedName name="TextRefCopy6" localSheetId="4">#REF!</definedName>
    <definedName name="TextRefCopy6" localSheetId="20">#REF!</definedName>
    <definedName name="TextRefCopy6">#REF!</definedName>
    <definedName name="TextRefCopy7" localSheetId="7">#REF!</definedName>
    <definedName name="TextRefCopy7" localSheetId="15">#REF!</definedName>
    <definedName name="TextRefCopy7" localSheetId="1">#REF!</definedName>
    <definedName name="TextRefCopy7" localSheetId="18">#REF!</definedName>
    <definedName name="TextRefCopy7" localSheetId="16">#REF!</definedName>
    <definedName name="TextRefCopy7" localSheetId="6">#REF!</definedName>
    <definedName name="TextRefCopy7" localSheetId="5">#REF!</definedName>
    <definedName name="TextRefCopy7" localSheetId="3">#REF!</definedName>
    <definedName name="TextRefCopy7" localSheetId="17">#REF!</definedName>
    <definedName name="TextRefCopy7" localSheetId="8">#REF!</definedName>
    <definedName name="TextRefCopy7" localSheetId="4">#REF!</definedName>
    <definedName name="TextRefCopy7" localSheetId="20">#REF!</definedName>
    <definedName name="TextRefCopy7">#REF!</definedName>
    <definedName name="TextRefCopy8" localSheetId="7">#REF!</definedName>
    <definedName name="TextRefCopy8" localSheetId="15">#REF!</definedName>
    <definedName name="TextRefCopy8" localSheetId="1">#REF!</definedName>
    <definedName name="TextRefCopy8" localSheetId="18">#REF!</definedName>
    <definedName name="TextRefCopy8" localSheetId="16">#REF!</definedName>
    <definedName name="TextRefCopy8" localSheetId="6">#REF!</definedName>
    <definedName name="TextRefCopy8" localSheetId="5">#REF!</definedName>
    <definedName name="TextRefCopy8" localSheetId="3">#REF!</definedName>
    <definedName name="TextRefCopy8" localSheetId="17">#REF!</definedName>
    <definedName name="TextRefCopy8" localSheetId="8">#REF!</definedName>
    <definedName name="TextRefCopy8" localSheetId="4">#REF!</definedName>
    <definedName name="TextRefCopy8" localSheetId="20">#REF!</definedName>
    <definedName name="TextRefCopy8">#REF!</definedName>
    <definedName name="TextRefCopy9" localSheetId="7">#REF!</definedName>
    <definedName name="TextRefCopy9" localSheetId="15">#REF!</definedName>
    <definedName name="TextRefCopy9" localSheetId="1">#REF!</definedName>
    <definedName name="TextRefCopy9" localSheetId="18">#REF!</definedName>
    <definedName name="TextRefCopy9" localSheetId="16">#REF!</definedName>
    <definedName name="TextRefCopy9" localSheetId="6">#REF!</definedName>
    <definedName name="TextRefCopy9" localSheetId="5">#REF!</definedName>
    <definedName name="TextRefCopy9" localSheetId="3">#REF!</definedName>
    <definedName name="TextRefCopy9" localSheetId="17">#REF!</definedName>
    <definedName name="TextRefCopy9" localSheetId="8">#REF!</definedName>
    <definedName name="TextRefCopy9" localSheetId="4">#REF!</definedName>
    <definedName name="TextRefCopy9" localSheetId="20">#REF!</definedName>
    <definedName name="TextRefCopy9">#REF!</definedName>
    <definedName name="TextRefCopyRangeCount" hidden="1">21</definedName>
    <definedName name="TG" localSheetId="7">#REF!</definedName>
    <definedName name="TG" localSheetId="15">#REF!</definedName>
    <definedName name="TG" localSheetId="1">#REF!</definedName>
    <definedName name="TG" localSheetId="18">#REF!</definedName>
    <definedName name="TG" localSheetId="16">#REF!</definedName>
    <definedName name="TG" localSheetId="6">#REF!</definedName>
    <definedName name="tg" localSheetId="5">#REF!</definedName>
    <definedName name="tg" localSheetId="3">#REF!</definedName>
    <definedName name="tg" localSheetId="17">#REF!</definedName>
    <definedName name="tg" localSheetId="8">#REF!</definedName>
    <definedName name="TG" localSheetId="4">#REF!</definedName>
    <definedName name="TG" localSheetId="20">#REF!</definedName>
    <definedName name="TG">#REF!</definedName>
    <definedName name="tgvpc" localSheetId="7">#REF!</definedName>
    <definedName name="tgvpc" localSheetId="15">#REF!</definedName>
    <definedName name="tgvpc" localSheetId="1">#REF!</definedName>
    <definedName name="tgvpc" localSheetId="18">#REF!</definedName>
    <definedName name="tgvpc" localSheetId="16">#REF!</definedName>
    <definedName name="tgvpc" localSheetId="6">#REF!</definedName>
    <definedName name="tgvpc" localSheetId="3">#REF!</definedName>
    <definedName name="tgvpc" localSheetId="17">#REF!</definedName>
    <definedName name="tgvpc" localSheetId="8">#REF!</definedName>
    <definedName name="tgvpc" localSheetId="4">#REF!</definedName>
    <definedName name="tgvpc" localSheetId="20">#REF!</definedName>
    <definedName name="tgvpc">#REF!</definedName>
    <definedName name="th">[13]gVL!$N$20</definedName>
    <definedName name="TH_DEMTK" localSheetId="7">#REF!</definedName>
    <definedName name="TH_DEMTK" localSheetId="15">#REF!</definedName>
    <definedName name="TH_DEMTK" localSheetId="1">#REF!</definedName>
    <definedName name="TH_DEMTK" localSheetId="18">#REF!</definedName>
    <definedName name="TH_DEMTK" localSheetId="16">#REF!</definedName>
    <definedName name="TH_DEMTK" localSheetId="6">#REF!</definedName>
    <definedName name="TH_DEMTK" localSheetId="14">#REF!</definedName>
    <definedName name="TH_DEMTK" localSheetId="5">#REF!</definedName>
    <definedName name="TH_DEMTK" localSheetId="3">#REF!</definedName>
    <definedName name="TH_DEMTK" localSheetId="17">#REF!</definedName>
    <definedName name="TH_DEMTK" localSheetId="8">#REF!</definedName>
    <definedName name="TH_DEMTK" localSheetId="4">#REF!</definedName>
    <definedName name="TH_DEMTK" localSheetId="20">#REF!</definedName>
    <definedName name="TH_DEMTK">#REF!</definedName>
    <definedName name="TH_DIENGIAI" localSheetId="7">#REF!</definedName>
    <definedName name="TH_DIENGIAI" localSheetId="15">#REF!</definedName>
    <definedName name="TH_DIENGIAI" localSheetId="1">#REF!</definedName>
    <definedName name="TH_DIENGIAI" localSheetId="18">#REF!</definedName>
    <definedName name="TH_DIENGIAI" localSheetId="16">#REF!</definedName>
    <definedName name="TH_DIENGIAI" localSheetId="6">#REF!</definedName>
    <definedName name="TH_DIENGIAI" localSheetId="14">#REF!</definedName>
    <definedName name="TH_DIENGIAI" localSheetId="5">#REF!</definedName>
    <definedName name="TH_DIENGIAI" localSheetId="3">#REF!</definedName>
    <definedName name="TH_DIENGIAI" localSheetId="17">#REF!</definedName>
    <definedName name="TH_DIENGIAI" localSheetId="8">#REF!</definedName>
    <definedName name="TH_DIENGIAI" localSheetId="4">#REF!</definedName>
    <definedName name="TH_DIENGIAI" localSheetId="20">#REF!</definedName>
    <definedName name="TH_DIENGIAI">#REF!</definedName>
    <definedName name="TH_DIENGIAI1" localSheetId="7">#REF!</definedName>
    <definedName name="TH_DIENGIAI1" localSheetId="15">#REF!</definedName>
    <definedName name="TH_DIENGIAI1" localSheetId="1">#REF!</definedName>
    <definedName name="TH_DIENGIAI1" localSheetId="18">#REF!</definedName>
    <definedName name="TH_DIENGIAI1" localSheetId="16">#REF!</definedName>
    <definedName name="TH_DIENGIAI1" localSheetId="6">#REF!</definedName>
    <definedName name="TH_DIENGIAI1" localSheetId="14">#REF!</definedName>
    <definedName name="TH_DIENGIAI1" localSheetId="5">#REF!</definedName>
    <definedName name="TH_DIENGIAI1" localSheetId="3">#REF!</definedName>
    <definedName name="TH_DIENGIAI1" localSheetId="17">#REF!</definedName>
    <definedName name="TH_DIENGIAI1" localSheetId="8">#REF!</definedName>
    <definedName name="TH_DIENGIAI1" localSheetId="4">#REF!</definedName>
    <definedName name="TH_DIENGIAI1" localSheetId="20">#REF!</definedName>
    <definedName name="TH_DIENGIAI1">#REF!</definedName>
    <definedName name="TH_DT" localSheetId="7">#REF!</definedName>
    <definedName name="TH_DT" localSheetId="15">#REF!</definedName>
    <definedName name="TH_DT" localSheetId="1">#REF!</definedName>
    <definedName name="TH_DT" localSheetId="18">#REF!</definedName>
    <definedName name="TH_DT" localSheetId="16">#REF!</definedName>
    <definedName name="TH_DT" localSheetId="6">#REF!</definedName>
    <definedName name="TH_DT" localSheetId="14">#REF!</definedName>
    <definedName name="TH_DT" localSheetId="5">#REF!</definedName>
    <definedName name="TH_DT" localSheetId="3">#REF!</definedName>
    <definedName name="TH_DT" localSheetId="17">#REF!</definedName>
    <definedName name="TH_DT" localSheetId="8">#REF!</definedName>
    <definedName name="TH_DT" localSheetId="4">#REF!</definedName>
    <definedName name="TH_DT" localSheetId="20">#REF!</definedName>
    <definedName name="TH_DT">#REF!</definedName>
    <definedName name="TH_ENDTKNO" localSheetId="7">#REF!</definedName>
    <definedName name="TH_ENDTKNO" localSheetId="15">#REF!</definedName>
    <definedName name="TH_ENDTKNO" localSheetId="1">#REF!</definedName>
    <definedName name="TH_ENDTKNO" localSheetId="18">#REF!</definedName>
    <definedName name="TH_ENDTKNO" localSheetId="16">#REF!</definedName>
    <definedName name="TH_ENDTKNO" localSheetId="6">#REF!</definedName>
    <definedName name="TH_ENDTKNO" localSheetId="14">#REF!</definedName>
    <definedName name="TH_ENDTKNO" localSheetId="5">#REF!</definedName>
    <definedName name="TH_ENDTKNO" localSheetId="3">#REF!</definedName>
    <definedName name="TH_ENDTKNO" localSheetId="17">#REF!</definedName>
    <definedName name="TH_ENDTKNO" localSheetId="8">#REF!</definedName>
    <definedName name="TH_ENDTKNO" localSheetId="4">#REF!</definedName>
    <definedName name="TH_ENDTKNO" localSheetId="20">#REF!</definedName>
    <definedName name="TH_ENDTKNO">#REF!</definedName>
    <definedName name="TH_ENDTT" localSheetId="7">#REF!</definedName>
    <definedName name="TH_ENDTT" localSheetId="15">#REF!</definedName>
    <definedName name="TH_ENDTT" localSheetId="1">#REF!</definedName>
    <definedName name="TH_ENDTT" localSheetId="18">#REF!</definedName>
    <definedName name="TH_ENDTT" localSheetId="16">#REF!</definedName>
    <definedName name="TH_ENDTT" localSheetId="6">#REF!</definedName>
    <definedName name="TH_ENDTT" localSheetId="14">#REF!</definedName>
    <definedName name="TH_ENDTT" localSheetId="5">#REF!</definedName>
    <definedName name="TH_ENDTT" localSheetId="3">#REF!</definedName>
    <definedName name="TH_ENDTT" localSheetId="17">#REF!</definedName>
    <definedName name="TH_ENDTT" localSheetId="8">#REF!</definedName>
    <definedName name="TH_ENDTT" localSheetId="4">#REF!</definedName>
    <definedName name="TH_ENDTT" localSheetId="20">#REF!</definedName>
    <definedName name="TH_ENDTT">#REF!</definedName>
    <definedName name="TH_GHICHU" localSheetId="7">#REF!</definedName>
    <definedName name="TH_GHICHU" localSheetId="15">#REF!</definedName>
    <definedName name="TH_GHICHU" localSheetId="1">#REF!</definedName>
    <definedName name="TH_GHICHU" localSheetId="18">#REF!</definedName>
    <definedName name="TH_GHICHU" localSheetId="16">#REF!</definedName>
    <definedName name="TH_GHICHU" localSheetId="6">#REF!</definedName>
    <definedName name="TH_GHICHU" localSheetId="14">#REF!</definedName>
    <definedName name="TH_GHICHU" localSheetId="5">#REF!</definedName>
    <definedName name="TH_GHICHU" localSheetId="3">#REF!</definedName>
    <definedName name="TH_GHICHU" localSheetId="17">#REF!</definedName>
    <definedName name="TH_GHICHU" localSheetId="8">#REF!</definedName>
    <definedName name="TH_GHICHU" localSheetId="4">#REF!</definedName>
    <definedName name="TH_GHICHU" localSheetId="20">#REF!</definedName>
    <definedName name="TH_GHICHU">#REF!</definedName>
    <definedName name="TH_GHICHU1" localSheetId="7">#REF!</definedName>
    <definedName name="TH_GHICHU1" localSheetId="15">#REF!</definedName>
    <definedName name="TH_GHICHU1" localSheetId="1">#REF!</definedName>
    <definedName name="TH_GHICHU1" localSheetId="18">#REF!</definedName>
    <definedName name="TH_GHICHU1" localSheetId="16">#REF!</definedName>
    <definedName name="TH_GHICHU1" localSheetId="6">#REF!</definedName>
    <definedName name="TH_GHICHU1" localSheetId="14">#REF!</definedName>
    <definedName name="TH_GHICHU1" localSheetId="5">#REF!</definedName>
    <definedName name="TH_GHICHU1" localSheetId="3">#REF!</definedName>
    <definedName name="TH_GHICHU1" localSheetId="17">#REF!</definedName>
    <definedName name="TH_GHICHU1" localSheetId="8">#REF!</definedName>
    <definedName name="TH_GHICHU1" localSheetId="4">#REF!</definedName>
    <definedName name="TH_GHICHU1" localSheetId="20">#REF!</definedName>
    <definedName name="TH_GHICHU1">#REF!</definedName>
    <definedName name="TH_KHHD" localSheetId="7">#REF!</definedName>
    <definedName name="TH_KHHD" localSheetId="15">#REF!</definedName>
    <definedName name="TH_KHHD" localSheetId="1">#REF!</definedName>
    <definedName name="TH_KHHD" localSheetId="18">#REF!</definedName>
    <definedName name="TH_KHHD" localSheetId="16">#REF!</definedName>
    <definedName name="TH_KHHD" localSheetId="6">#REF!</definedName>
    <definedName name="TH_KHHD" localSheetId="14">#REF!</definedName>
    <definedName name="TH_KHHD" localSheetId="5">#REF!</definedName>
    <definedName name="TH_KHHD" localSheetId="3">#REF!</definedName>
    <definedName name="TH_KHHD" localSheetId="17">#REF!</definedName>
    <definedName name="TH_KHHD" localSheetId="8">#REF!</definedName>
    <definedName name="TH_KHHD" localSheetId="4">#REF!</definedName>
    <definedName name="TH_KHHD" localSheetId="20">#REF!</definedName>
    <definedName name="TH_KHHD">#REF!</definedName>
    <definedName name="TH_KHHD1" localSheetId="7">#REF!</definedName>
    <definedName name="TH_KHHD1" localSheetId="15">#REF!</definedName>
    <definedName name="TH_KHHD1" localSheetId="1">#REF!</definedName>
    <definedName name="TH_KHHD1" localSheetId="18">#REF!</definedName>
    <definedName name="TH_KHHD1" localSheetId="16">#REF!</definedName>
    <definedName name="TH_KHHD1" localSheetId="6">#REF!</definedName>
    <definedName name="TH_KHHD1" localSheetId="14">#REF!</definedName>
    <definedName name="TH_KHHD1" localSheetId="5">#REF!</definedName>
    <definedName name="TH_KHHD1" localSheetId="3">#REF!</definedName>
    <definedName name="TH_KHHD1" localSheetId="17">#REF!</definedName>
    <definedName name="TH_KHHD1" localSheetId="8">#REF!</definedName>
    <definedName name="TH_KHHD1" localSheetId="4">#REF!</definedName>
    <definedName name="TH_KHHD1" localSheetId="20">#REF!</definedName>
    <definedName name="TH_KHHD1">#REF!</definedName>
    <definedName name="TH_KTTK" localSheetId="7">#REF!</definedName>
    <definedName name="TH_KTTK" localSheetId="15">#REF!</definedName>
    <definedName name="TH_KTTK" localSheetId="1">#REF!</definedName>
    <definedName name="TH_KTTK" localSheetId="18">#REF!</definedName>
    <definedName name="TH_KTTK" localSheetId="16">#REF!</definedName>
    <definedName name="TH_KTTK" localSheetId="6">#REF!</definedName>
    <definedName name="TH_KTTK" localSheetId="14">#REF!</definedName>
    <definedName name="TH_KTTK" localSheetId="5">#REF!</definedName>
    <definedName name="TH_KTTK" localSheetId="3">#REF!</definedName>
    <definedName name="TH_KTTK" localSheetId="17">#REF!</definedName>
    <definedName name="TH_KTTK" localSheetId="8">#REF!</definedName>
    <definedName name="TH_KTTK" localSheetId="4">#REF!</definedName>
    <definedName name="TH_KTTK" localSheetId="20">#REF!</definedName>
    <definedName name="TH_KTTK">#REF!</definedName>
    <definedName name="TH_KYKT" localSheetId="7">#REF!</definedName>
    <definedName name="TH_KYKT" localSheetId="15">#REF!</definedName>
    <definedName name="TH_KYKT" localSheetId="1">#REF!</definedName>
    <definedName name="TH_KYKT" localSheetId="18">#REF!</definedName>
    <definedName name="TH_KYKT" localSheetId="16">#REF!</definedName>
    <definedName name="TH_KYKT" localSheetId="6">#REF!</definedName>
    <definedName name="TH_KYKT" localSheetId="14">#REF!</definedName>
    <definedName name="TH_KYKT" localSheetId="5">#REF!</definedName>
    <definedName name="TH_KYKT" localSheetId="3">#REF!</definedName>
    <definedName name="TH_KYKT" localSheetId="17">#REF!</definedName>
    <definedName name="TH_KYKT" localSheetId="8">#REF!</definedName>
    <definedName name="TH_KYKT" localSheetId="4">#REF!</definedName>
    <definedName name="TH_KYKT" localSheetId="20">#REF!</definedName>
    <definedName name="TH_KYKT">#REF!</definedName>
    <definedName name="TH_KYKT1" localSheetId="7">#REF!</definedName>
    <definedName name="TH_KYKT1" localSheetId="15">#REF!</definedName>
    <definedName name="TH_KYKT1" localSheetId="1">#REF!</definedName>
    <definedName name="TH_KYKT1" localSheetId="18">#REF!</definedName>
    <definedName name="TH_KYKT1" localSheetId="16">#REF!</definedName>
    <definedName name="TH_KYKT1" localSheetId="6">#REF!</definedName>
    <definedName name="TH_KYKT1" localSheetId="14">#REF!</definedName>
    <definedName name="TH_KYKT1" localSheetId="5">#REF!</definedName>
    <definedName name="TH_KYKT1" localSheetId="3">#REF!</definedName>
    <definedName name="TH_KYKT1" localSheetId="17">#REF!</definedName>
    <definedName name="TH_KYKT1" localSheetId="8">#REF!</definedName>
    <definedName name="TH_KYKT1" localSheetId="4">#REF!</definedName>
    <definedName name="TH_KYKT1" localSheetId="20">#REF!</definedName>
    <definedName name="TH_KYKT1">#REF!</definedName>
    <definedName name="TH_LOAIHD" localSheetId="7">#REF!</definedName>
    <definedName name="TH_LOAIHD" localSheetId="15">#REF!</definedName>
    <definedName name="TH_LOAIHD" localSheetId="1">#REF!</definedName>
    <definedName name="TH_LOAIHD" localSheetId="18">#REF!</definedName>
    <definedName name="TH_LOAIHD" localSheetId="16">#REF!</definedName>
    <definedName name="TH_LOAIHD" localSheetId="6">#REF!</definedName>
    <definedName name="TH_LOAIHD" localSheetId="14">#REF!</definedName>
    <definedName name="TH_LOAIHD" localSheetId="5">#REF!</definedName>
    <definedName name="TH_LOAIHD" localSheetId="3">#REF!</definedName>
    <definedName name="TH_LOAIHD" localSheetId="17">#REF!</definedName>
    <definedName name="TH_LOAIHD" localSheetId="8">#REF!</definedName>
    <definedName name="TH_LOAIHD" localSheetId="4">#REF!</definedName>
    <definedName name="TH_LOAIHD" localSheetId="20">#REF!</definedName>
    <definedName name="TH_LOAIHD">#REF!</definedName>
    <definedName name="TH_LOAIHD1" localSheetId="7">#REF!</definedName>
    <definedName name="TH_LOAIHD1" localSheetId="15">#REF!</definedName>
    <definedName name="TH_LOAIHD1" localSheetId="1">#REF!</definedName>
    <definedName name="TH_LOAIHD1" localSheetId="18">#REF!</definedName>
    <definedName name="TH_LOAIHD1" localSheetId="16">#REF!</definedName>
    <definedName name="TH_LOAIHD1" localSheetId="6">#REF!</definedName>
    <definedName name="TH_LOAIHD1" localSheetId="14">#REF!</definedName>
    <definedName name="TH_LOAIHD1" localSheetId="5">#REF!</definedName>
    <definedName name="TH_LOAIHD1" localSheetId="3">#REF!</definedName>
    <definedName name="TH_LOAIHD1" localSheetId="17">#REF!</definedName>
    <definedName name="TH_LOAIHD1" localSheetId="8">#REF!</definedName>
    <definedName name="TH_LOAIHD1" localSheetId="4">#REF!</definedName>
    <definedName name="TH_LOAIHD1" localSheetId="20">#REF!</definedName>
    <definedName name="TH_LOAIHD1">#REF!</definedName>
    <definedName name="TH_LOAINT" localSheetId="7">#REF!</definedName>
    <definedName name="TH_LOAINT" localSheetId="15">#REF!</definedName>
    <definedName name="TH_LOAINT" localSheetId="1">#REF!</definedName>
    <definedName name="TH_LOAINT" localSheetId="18">#REF!</definedName>
    <definedName name="TH_LOAINT" localSheetId="16">#REF!</definedName>
    <definedName name="TH_LOAINT" localSheetId="6">#REF!</definedName>
    <definedName name="TH_LOAINT" localSheetId="14">#REF!</definedName>
    <definedName name="TH_LOAINT" localSheetId="5">#REF!</definedName>
    <definedName name="TH_LOAINT" localSheetId="3">#REF!</definedName>
    <definedName name="TH_LOAINT" localSheetId="17">#REF!</definedName>
    <definedName name="TH_LOAINT" localSheetId="8">#REF!</definedName>
    <definedName name="TH_LOAINT" localSheetId="4">#REF!</definedName>
    <definedName name="TH_LOAINT" localSheetId="20">#REF!</definedName>
    <definedName name="TH_LOAINT">#REF!</definedName>
    <definedName name="TH_LOAINT1" localSheetId="7">#REF!</definedName>
    <definedName name="TH_LOAINT1" localSheetId="15">#REF!</definedName>
    <definedName name="TH_LOAINT1" localSheetId="1">#REF!</definedName>
    <definedName name="TH_LOAINT1" localSheetId="18">#REF!</definedName>
    <definedName name="TH_LOAINT1" localSheetId="16">#REF!</definedName>
    <definedName name="TH_LOAINT1" localSheetId="6">#REF!</definedName>
    <definedName name="TH_LOAINT1" localSheetId="14">#REF!</definedName>
    <definedName name="TH_LOAINT1" localSheetId="5">#REF!</definedName>
    <definedName name="TH_LOAINT1" localSheetId="3">#REF!</definedName>
    <definedName name="TH_LOAINT1" localSheetId="17">#REF!</definedName>
    <definedName name="TH_LOAINT1" localSheetId="8">#REF!</definedName>
    <definedName name="TH_LOAINT1" localSheetId="4">#REF!</definedName>
    <definedName name="TH_LOAINT1" localSheetId="20">#REF!</definedName>
    <definedName name="TH_LOAINT1">#REF!</definedName>
    <definedName name="TH_MABT" localSheetId="7">#REF!</definedName>
    <definedName name="TH_MABT" localSheetId="15">#REF!</definedName>
    <definedName name="TH_MABT" localSheetId="1">#REF!</definedName>
    <definedName name="TH_MABT" localSheetId="18">#REF!</definedName>
    <definedName name="TH_MABT" localSheetId="16">#REF!</definedName>
    <definedName name="TH_MABT" localSheetId="6">#REF!</definedName>
    <definedName name="TH_MABT" localSheetId="14">#REF!</definedName>
    <definedName name="TH_MABT" localSheetId="5">#REF!</definedName>
    <definedName name="TH_MABT" localSheetId="3">#REF!</definedName>
    <definedName name="TH_MABT" localSheetId="17">#REF!</definedName>
    <definedName name="TH_MABT" localSheetId="8">#REF!</definedName>
    <definedName name="TH_MABT" localSheetId="4">#REF!</definedName>
    <definedName name="TH_MABT" localSheetId="20">#REF!</definedName>
    <definedName name="TH_MABT">#REF!</definedName>
    <definedName name="TH_MABT1" localSheetId="7">#REF!</definedName>
    <definedName name="TH_MABT1" localSheetId="15">#REF!</definedName>
    <definedName name="TH_MABT1" localSheetId="1">#REF!</definedName>
    <definedName name="TH_MABT1" localSheetId="18">#REF!</definedName>
    <definedName name="TH_MABT1" localSheetId="16">#REF!</definedName>
    <definedName name="TH_MABT1" localSheetId="6">#REF!</definedName>
    <definedName name="TH_MABT1" localSheetId="14">#REF!</definedName>
    <definedName name="TH_MABT1" localSheetId="5">#REF!</definedName>
    <definedName name="TH_MABT1" localSheetId="3">#REF!</definedName>
    <definedName name="TH_MABT1" localSheetId="17">#REF!</definedName>
    <definedName name="TH_MABT1" localSheetId="8">#REF!</definedName>
    <definedName name="TH_MABT1" localSheetId="4">#REF!</definedName>
    <definedName name="TH_MABT1" localSheetId="20">#REF!</definedName>
    <definedName name="TH_MABT1">#REF!</definedName>
    <definedName name="TH_MADT" localSheetId="7">#REF!</definedName>
    <definedName name="TH_MADT" localSheetId="15">#REF!</definedName>
    <definedName name="TH_MADT" localSheetId="1">#REF!</definedName>
    <definedName name="TH_MADT" localSheetId="18">#REF!</definedName>
    <definedName name="TH_MADT" localSheetId="16">#REF!</definedName>
    <definedName name="TH_MADT" localSheetId="6">#REF!</definedName>
    <definedName name="TH_MADT" localSheetId="14">#REF!</definedName>
    <definedName name="TH_MADT" localSheetId="5">#REF!</definedName>
    <definedName name="TH_MADT" localSheetId="3">#REF!</definedName>
    <definedName name="TH_MADT" localSheetId="17">#REF!</definedName>
    <definedName name="TH_MADT" localSheetId="8">#REF!</definedName>
    <definedName name="TH_MADT" localSheetId="4">#REF!</definedName>
    <definedName name="TH_MADT" localSheetId="20">#REF!</definedName>
    <definedName name="TH_MADT">#REF!</definedName>
    <definedName name="TH_MADT1" localSheetId="7">#REF!</definedName>
    <definedName name="TH_MADT1" localSheetId="15">#REF!</definedName>
    <definedName name="TH_MADT1" localSheetId="1">#REF!</definedName>
    <definedName name="TH_MADT1" localSheetId="18">#REF!</definedName>
    <definedName name="TH_MADT1" localSheetId="16">#REF!</definedName>
    <definedName name="TH_MADT1" localSheetId="6">#REF!</definedName>
    <definedName name="TH_MADT1" localSheetId="14">#REF!</definedName>
    <definedName name="TH_MADT1" localSheetId="5">#REF!</definedName>
    <definedName name="TH_MADT1" localSheetId="3">#REF!</definedName>
    <definedName name="TH_MADT1" localSheetId="17">#REF!</definedName>
    <definedName name="TH_MADT1" localSheetId="8">#REF!</definedName>
    <definedName name="TH_MADT1" localSheetId="4">#REF!</definedName>
    <definedName name="TH_MADT1" localSheetId="20">#REF!</definedName>
    <definedName name="TH_MADT1">#REF!</definedName>
    <definedName name="TH_MST" localSheetId="7">#REF!</definedName>
    <definedName name="TH_MST" localSheetId="15">#REF!</definedName>
    <definedName name="TH_MST" localSheetId="1">#REF!</definedName>
    <definedName name="TH_MST" localSheetId="18">#REF!</definedName>
    <definedName name="TH_MST" localSheetId="16">#REF!</definedName>
    <definedName name="TH_MST" localSheetId="6">#REF!</definedName>
    <definedName name="TH_MST" localSheetId="14">#REF!</definedName>
    <definedName name="TH_MST" localSheetId="5">#REF!</definedName>
    <definedName name="TH_MST" localSheetId="3">#REF!</definedName>
    <definedName name="TH_MST" localSheetId="17">#REF!</definedName>
    <definedName name="TH_MST" localSheetId="8">#REF!</definedName>
    <definedName name="TH_MST" localSheetId="4">#REF!</definedName>
    <definedName name="TH_MST" localSheetId="20">#REF!</definedName>
    <definedName name="TH_MST">#REF!</definedName>
    <definedName name="TH_MST1" localSheetId="7">#REF!</definedName>
    <definedName name="TH_MST1" localSheetId="15">#REF!</definedName>
    <definedName name="TH_MST1" localSheetId="1">#REF!</definedName>
    <definedName name="TH_MST1" localSheetId="18">#REF!</definedName>
    <definedName name="TH_MST1" localSheetId="16">#REF!</definedName>
    <definedName name="TH_MST1" localSheetId="6">#REF!</definedName>
    <definedName name="TH_MST1" localSheetId="14">#REF!</definedName>
    <definedName name="TH_MST1" localSheetId="5">#REF!</definedName>
    <definedName name="TH_MST1" localSheetId="3">#REF!</definedName>
    <definedName name="TH_MST1" localSheetId="17">#REF!</definedName>
    <definedName name="TH_MST1" localSheetId="8">#REF!</definedName>
    <definedName name="TH_MST1" localSheetId="4">#REF!</definedName>
    <definedName name="TH_MST1" localSheetId="20">#REF!</definedName>
    <definedName name="TH_MST1">#REF!</definedName>
    <definedName name="TH_NGAYCK" localSheetId="7">[7]HT!$I$4</definedName>
    <definedName name="TH_NGAYCK" localSheetId="15">[7]HT!$I$4</definedName>
    <definedName name="TH_NGAYCK" localSheetId="10">[7]HT!$I$4</definedName>
    <definedName name="TH_NGAYCK" localSheetId="14">[7]HT!$I$4</definedName>
    <definedName name="TH_NGAYCK" localSheetId="5">[7]HT!$I$4</definedName>
    <definedName name="TH_NGAYCK" localSheetId="3">[7]HT!$I$4</definedName>
    <definedName name="TH_NGAYCK" localSheetId="17">[7]HT!$I$4</definedName>
    <definedName name="TH_NGAYCK" localSheetId="8">[7]HT!$I$4</definedName>
    <definedName name="TH_NGAYCK">[7]HT!$I$4</definedName>
    <definedName name="TH_NGAYCT" localSheetId="7">#REF!</definedName>
    <definedName name="TH_NGAYCT" localSheetId="15">#REF!</definedName>
    <definedName name="TH_NGAYCT" localSheetId="1">#REF!</definedName>
    <definedName name="TH_NGAYCT" localSheetId="18">#REF!</definedName>
    <definedName name="TH_NGAYCT" localSheetId="16">#REF!</definedName>
    <definedName name="TH_NGAYCT" localSheetId="6">#REF!</definedName>
    <definedName name="TH_NGAYCT" localSheetId="10">#REF!</definedName>
    <definedName name="TH_NGAYCT" localSheetId="14">#REF!</definedName>
    <definedName name="TH_NGAYCT" localSheetId="5">#REF!</definedName>
    <definedName name="TH_NGAYCT" localSheetId="3">#REF!</definedName>
    <definedName name="TH_NGAYCT" localSheetId="17">#REF!</definedName>
    <definedName name="TH_NGAYCT" localSheetId="8">#REF!</definedName>
    <definedName name="TH_NGAYCT" localSheetId="4">#REF!</definedName>
    <definedName name="TH_NGAYCT" localSheetId="20">#REF!</definedName>
    <definedName name="TH_NGAYCT">#REF!</definedName>
    <definedName name="TH_NGAYCT1" localSheetId="7">#REF!</definedName>
    <definedName name="TH_NGAYCT1" localSheetId="15">#REF!</definedName>
    <definedName name="TH_NGAYCT1" localSheetId="1">#REF!</definedName>
    <definedName name="TH_NGAYCT1" localSheetId="18">#REF!</definedName>
    <definedName name="TH_NGAYCT1" localSheetId="16">#REF!</definedName>
    <definedName name="TH_NGAYCT1" localSheetId="6">#REF!</definedName>
    <definedName name="TH_NGAYCT1" localSheetId="10">#REF!</definedName>
    <definedName name="TH_NGAYCT1" localSheetId="14">#REF!</definedName>
    <definedName name="TH_NGAYCT1" localSheetId="5">#REF!</definedName>
    <definedName name="TH_NGAYCT1" localSheetId="3">#REF!</definedName>
    <definedName name="TH_NGAYCT1" localSheetId="17">#REF!</definedName>
    <definedName name="TH_NGAYCT1" localSheetId="8">#REF!</definedName>
    <definedName name="TH_NGAYCT1" localSheetId="4">#REF!</definedName>
    <definedName name="TH_NGAYCT1" localSheetId="20">#REF!</definedName>
    <definedName name="TH_NGAYCT1">#REF!</definedName>
    <definedName name="TH_NGAYHD" localSheetId="7">#REF!</definedName>
    <definedName name="TH_NGAYHD" localSheetId="15">#REF!</definedName>
    <definedName name="TH_NGAYHD" localSheetId="1">#REF!</definedName>
    <definedName name="TH_NGAYHD" localSheetId="18">#REF!</definedName>
    <definedName name="TH_NGAYHD" localSheetId="16">#REF!</definedName>
    <definedName name="TH_NGAYHD" localSheetId="6">#REF!</definedName>
    <definedName name="TH_NGAYHD" localSheetId="10">#REF!</definedName>
    <definedName name="TH_NGAYHD" localSheetId="14">#REF!</definedName>
    <definedName name="TH_NGAYHD" localSheetId="5">#REF!</definedName>
    <definedName name="TH_NGAYHD" localSheetId="3">#REF!</definedName>
    <definedName name="TH_NGAYHD" localSheetId="17">#REF!</definedName>
    <definedName name="TH_NGAYHD" localSheetId="8">#REF!</definedName>
    <definedName name="TH_NGAYHD" localSheetId="4">#REF!</definedName>
    <definedName name="TH_NGAYHD" localSheetId="20">#REF!</definedName>
    <definedName name="TH_NGAYHD">#REF!</definedName>
    <definedName name="TH_NGAYHD1" localSheetId="7">#REF!</definedName>
    <definedName name="TH_NGAYHD1" localSheetId="15">#REF!</definedName>
    <definedName name="TH_NGAYHD1" localSheetId="1">#REF!</definedName>
    <definedName name="TH_NGAYHD1" localSheetId="18">#REF!</definedName>
    <definedName name="TH_NGAYHD1" localSheetId="16">#REF!</definedName>
    <definedName name="TH_NGAYHD1" localSheetId="6">#REF!</definedName>
    <definedName name="TH_NGAYHD1" localSheetId="14">#REF!</definedName>
    <definedName name="TH_NGAYHD1" localSheetId="5">#REF!</definedName>
    <definedName name="TH_NGAYHD1" localSheetId="3">#REF!</definedName>
    <definedName name="TH_NGAYHD1" localSheetId="17">#REF!</definedName>
    <definedName name="TH_NGAYHD1" localSheetId="8">#REF!</definedName>
    <definedName name="TH_NGAYHD1" localSheetId="4">#REF!</definedName>
    <definedName name="TH_NGAYHD1" localSheetId="20">#REF!</definedName>
    <definedName name="TH_NGAYHD1">#REF!</definedName>
    <definedName name="TH_NV_TONQUY" localSheetId="7">#REF!</definedName>
    <definedName name="TH_NV_TONQUY" localSheetId="15">#REF!</definedName>
    <definedName name="TH_NV_TONQUY" localSheetId="1">#REF!</definedName>
    <definedName name="TH_NV_TONQUY" localSheetId="18">#REF!</definedName>
    <definedName name="TH_NV_TONQUY" localSheetId="16">#REF!</definedName>
    <definedName name="TH_NV_TONQUY" localSheetId="6">#REF!</definedName>
    <definedName name="TH_NV_TONQUY" localSheetId="14">#REF!</definedName>
    <definedName name="TH_NV_TONQUY" localSheetId="5">#REF!</definedName>
    <definedName name="TH_NV_TONQUY" localSheetId="3">#REF!</definedName>
    <definedName name="TH_NV_TONQUY" localSheetId="17">#REF!</definedName>
    <definedName name="TH_NV_TONQUY" localSheetId="8">#REF!</definedName>
    <definedName name="TH_NV_TONQUY" localSheetId="4">#REF!</definedName>
    <definedName name="TH_NV_TONQUY" localSheetId="20">#REF!</definedName>
    <definedName name="TH_NV_TONQUY">#REF!</definedName>
    <definedName name="TH_SOCT" localSheetId="7">#REF!</definedName>
    <definedName name="TH_SOCT" localSheetId="15">#REF!</definedName>
    <definedName name="TH_SOCT" localSheetId="1">#REF!</definedName>
    <definedName name="TH_SOCT" localSheetId="18">#REF!</definedName>
    <definedName name="TH_SOCT" localSheetId="16">#REF!</definedName>
    <definedName name="TH_SOCT" localSheetId="6">#REF!</definedName>
    <definedName name="TH_SOCT" localSheetId="14">#REF!</definedName>
    <definedName name="TH_SOCT" localSheetId="5">#REF!</definedName>
    <definedName name="TH_SOCT" localSheetId="3">#REF!</definedName>
    <definedName name="TH_SOCT" localSheetId="17">#REF!</definedName>
    <definedName name="TH_SOCT" localSheetId="8">#REF!</definedName>
    <definedName name="TH_SOCT" localSheetId="4">#REF!</definedName>
    <definedName name="TH_SOCT" localSheetId="20">#REF!</definedName>
    <definedName name="TH_SOCT">#REF!</definedName>
    <definedName name="TH_SOCT1" localSheetId="7">#REF!</definedName>
    <definedName name="TH_SOCT1" localSheetId="15">#REF!</definedName>
    <definedName name="TH_SOCT1" localSheetId="1">#REF!</definedName>
    <definedName name="TH_SOCT1" localSheetId="18">#REF!</definedName>
    <definedName name="TH_SOCT1" localSheetId="16">#REF!</definedName>
    <definedName name="TH_SOCT1" localSheetId="6">#REF!</definedName>
    <definedName name="TH_SOCT1" localSheetId="14">#REF!</definedName>
    <definedName name="TH_SOCT1" localSheetId="5">#REF!</definedName>
    <definedName name="TH_SOCT1" localSheetId="3">#REF!</definedName>
    <definedName name="TH_SOCT1" localSheetId="17">#REF!</definedName>
    <definedName name="TH_SOCT1" localSheetId="8">#REF!</definedName>
    <definedName name="TH_SOCT1" localSheetId="4">#REF!</definedName>
    <definedName name="TH_SOCT1" localSheetId="20">#REF!</definedName>
    <definedName name="TH_SOCT1">#REF!</definedName>
    <definedName name="TH_SOHD" localSheetId="7">#REF!</definedName>
    <definedName name="TH_SOHD" localSheetId="15">#REF!</definedName>
    <definedName name="TH_SOHD" localSheetId="1">#REF!</definedName>
    <definedName name="TH_SOHD" localSheetId="18">#REF!</definedName>
    <definedName name="TH_SOHD" localSheetId="16">#REF!</definedName>
    <definedName name="TH_SOHD" localSheetId="6">#REF!</definedName>
    <definedName name="TH_SOHD" localSheetId="14">#REF!</definedName>
    <definedName name="TH_SOHD" localSheetId="5">#REF!</definedName>
    <definedName name="TH_SOHD" localSheetId="3">#REF!</definedName>
    <definedName name="TH_SOHD" localSheetId="17">#REF!</definedName>
    <definedName name="TH_SOHD" localSheetId="8">#REF!</definedName>
    <definedName name="TH_SOHD" localSheetId="4">#REF!</definedName>
    <definedName name="TH_SOHD" localSheetId="20">#REF!</definedName>
    <definedName name="TH_SOHD">#REF!</definedName>
    <definedName name="TH_SOHD1" localSheetId="7">#REF!</definedName>
    <definedName name="TH_SOHD1" localSheetId="15">#REF!</definedName>
    <definedName name="TH_SOHD1" localSheetId="1">#REF!</definedName>
    <definedName name="TH_SOHD1" localSheetId="18">#REF!</definedName>
    <definedName name="TH_SOHD1" localSheetId="16">#REF!</definedName>
    <definedName name="TH_SOHD1" localSheetId="6">#REF!</definedName>
    <definedName name="TH_SOHD1" localSheetId="14">#REF!</definedName>
    <definedName name="TH_SOHD1" localSheetId="5">#REF!</definedName>
    <definedName name="TH_SOHD1" localSheetId="3">#REF!</definedName>
    <definedName name="TH_SOHD1" localSheetId="17">#REF!</definedName>
    <definedName name="TH_SOHD1" localSheetId="8">#REF!</definedName>
    <definedName name="TH_SOHD1" localSheetId="4">#REF!</definedName>
    <definedName name="TH_SOHD1" localSheetId="20">#REF!</definedName>
    <definedName name="TH_SOHD1">#REF!</definedName>
    <definedName name="TH_TENDT" localSheetId="7">#REF!</definedName>
    <definedName name="TH_TENDT" localSheetId="15">#REF!</definedName>
    <definedName name="TH_TENDT" localSheetId="1">#REF!</definedName>
    <definedName name="TH_TENDT" localSheetId="18">#REF!</definedName>
    <definedName name="TH_TENDT" localSheetId="16">#REF!</definedName>
    <definedName name="TH_TENDT" localSheetId="6">#REF!</definedName>
    <definedName name="TH_TENDT" localSheetId="14">#REF!</definedName>
    <definedName name="TH_TENDT" localSheetId="5">#REF!</definedName>
    <definedName name="TH_TENDT" localSheetId="3">#REF!</definedName>
    <definedName name="TH_TENDT" localSheetId="17">#REF!</definedName>
    <definedName name="TH_TENDT" localSheetId="8">#REF!</definedName>
    <definedName name="TH_TENDT" localSheetId="4">#REF!</definedName>
    <definedName name="TH_TENDT" localSheetId="20">#REF!</definedName>
    <definedName name="TH_TENDT">#REF!</definedName>
    <definedName name="TH_TENDT1" localSheetId="7">#REF!</definedName>
    <definedName name="TH_TENDT1" localSheetId="15">#REF!</definedName>
    <definedName name="TH_TENDT1" localSheetId="1">#REF!</definedName>
    <definedName name="TH_TENDT1" localSheetId="18">#REF!</definedName>
    <definedName name="TH_TENDT1" localSheetId="16">#REF!</definedName>
    <definedName name="TH_TENDT1" localSheetId="6">#REF!</definedName>
    <definedName name="TH_TENDT1" localSheetId="14">#REF!</definedName>
    <definedName name="TH_TENDT1" localSheetId="5">#REF!</definedName>
    <definedName name="TH_TENDT1" localSheetId="3">#REF!</definedName>
    <definedName name="TH_TENDT1" localSheetId="17">#REF!</definedName>
    <definedName name="TH_TENDT1" localSheetId="8">#REF!</definedName>
    <definedName name="TH_TENDT1" localSheetId="4">#REF!</definedName>
    <definedName name="TH_TENDT1" localSheetId="20">#REF!</definedName>
    <definedName name="TH_TENDT1">#REF!</definedName>
    <definedName name="TH_TKCO" localSheetId="7">#REF!</definedName>
    <definedName name="TH_TKCO" localSheetId="15">#REF!</definedName>
    <definedName name="TH_TKCO" localSheetId="1">#REF!</definedName>
    <definedName name="TH_TKCO" localSheetId="18">#REF!</definedName>
    <definedName name="TH_TKCO" localSheetId="16">#REF!</definedName>
    <definedName name="TH_TKCO" localSheetId="6">#REF!</definedName>
    <definedName name="TH_TKCO" localSheetId="14">#REF!</definedName>
    <definedName name="TH_TKCO" localSheetId="5">#REF!</definedName>
    <definedName name="TH_TKCO" localSheetId="3">#REF!</definedName>
    <definedName name="TH_TKCO" localSheetId="17">#REF!</definedName>
    <definedName name="TH_TKCO" localSheetId="8">#REF!</definedName>
    <definedName name="TH_TKCO" localSheetId="4">#REF!</definedName>
    <definedName name="TH_TKCO" localSheetId="20">#REF!</definedName>
    <definedName name="TH_TKCO">#REF!</definedName>
    <definedName name="TH_TKCO1" localSheetId="7">#REF!</definedName>
    <definedName name="TH_TKCO1" localSheetId="15">#REF!</definedName>
    <definedName name="TH_TKCO1" localSheetId="1">#REF!</definedName>
    <definedName name="TH_TKCO1" localSheetId="18">#REF!</definedName>
    <definedName name="TH_TKCO1" localSheetId="16">#REF!</definedName>
    <definedName name="TH_TKCO1" localSheetId="6">#REF!</definedName>
    <definedName name="TH_TKCO1" localSheetId="14">#REF!</definedName>
    <definedName name="TH_TKCO1" localSheetId="5">#REF!</definedName>
    <definedName name="TH_TKCO1" localSheetId="3">#REF!</definedName>
    <definedName name="TH_TKCO1" localSheetId="17">#REF!</definedName>
    <definedName name="TH_TKCO1" localSheetId="8">#REF!</definedName>
    <definedName name="TH_TKCO1" localSheetId="4">#REF!</definedName>
    <definedName name="TH_TKCO1" localSheetId="20">#REF!</definedName>
    <definedName name="TH_TKCO1">#REF!</definedName>
    <definedName name="TH_TKNO" localSheetId="7">#REF!</definedName>
    <definedName name="TH_TKNO" localSheetId="15">#REF!</definedName>
    <definedName name="TH_TKNO" localSheetId="1">#REF!</definedName>
    <definedName name="TH_TKNO" localSheetId="18">#REF!</definedName>
    <definedName name="TH_TKNO" localSheetId="16">#REF!</definedName>
    <definedName name="TH_TKNO" localSheetId="6">#REF!</definedName>
    <definedName name="TH_TKNO" localSheetId="14">#REF!</definedName>
    <definedName name="TH_TKNO" localSheetId="5">#REF!</definedName>
    <definedName name="TH_TKNO" localSheetId="3">#REF!</definedName>
    <definedName name="TH_TKNO" localSheetId="17">#REF!</definedName>
    <definedName name="TH_TKNO" localSheetId="8">#REF!</definedName>
    <definedName name="TH_TKNO" localSheetId="4">#REF!</definedName>
    <definedName name="TH_TKNO" localSheetId="20">#REF!</definedName>
    <definedName name="TH_TKNO">#REF!</definedName>
    <definedName name="TH_TKNO1" localSheetId="7">#REF!</definedName>
    <definedName name="TH_TKNO1" localSheetId="15">#REF!</definedName>
    <definedName name="TH_TKNO1" localSheetId="1">#REF!</definedName>
    <definedName name="TH_TKNO1" localSheetId="18">#REF!</definedName>
    <definedName name="TH_TKNO1" localSheetId="16">#REF!</definedName>
    <definedName name="TH_TKNO1" localSheetId="6">#REF!</definedName>
    <definedName name="TH_TKNO1" localSheetId="14">#REF!</definedName>
    <definedName name="TH_TKNO1" localSheetId="5">#REF!</definedName>
    <definedName name="TH_TKNO1" localSheetId="3">#REF!</definedName>
    <definedName name="TH_TKNO1" localSheetId="17">#REF!</definedName>
    <definedName name="TH_TKNO1" localSheetId="8">#REF!</definedName>
    <definedName name="TH_TKNO1" localSheetId="4">#REF!</definedName>
    <definedName name="TH_TKNO1" localSheetId="20">#REF!</definedName>
    <definedName name="TH_TKNO1">#REF!</definedName>
    <definedName name="TH_TT" localSheetId="7">#REF!</definedName>
    <definedName name="TH_TT" localSheetId="15">#REF!</definedName>
    <definedName name="TH_TT" localSheetId="1">#REF!</definedName>
    <definedName name="TH_TT" localSheetId="18">#REF!</definedName>
    <definedName name="TH_TT" localSheetId="16">#REF!</definedName>
    <definedName name="TH_TT" localSheetId="6">#REF!</definedName>
    <definedName name="TH_TT" localSheetId="14">#REF!</definedName>
    <definedName name="TH_TT" localSheetId="5">#REF!</definedName>
    <definedName name="TH_TT" localSheetId="3">#REF!</definedName>
    <definedName name="TH_TT" localSheetId="17">#REF!</definedName>
    <definedName name="TH_TT" localSheetId="8">#REF!</definedName>
    <definedName name="TH_TT" localSheetId="4">#REF!</definedName>
    <definedName name="TH_TT" localSheetId="20">#REF!</definedName>
    <definedName name="TH_TT">#REF!</definedName>
    <definedName name="TH_TT1" localSheetId="7">#REF!</definedName>
    <definedName name="TH_TT1" localSheetId="15">#REF!</definedName>
    <definedName name="TH_TT1" localSheetId="1">#REF!</definedName>
    <definedName name="TH_TT1" localSheetId="18">#REF!</definedName>
    <definedName name="TH_TT1" localSheetId="16">#REF!</definedName>
    <definedName name="TH_TT1" localSheetId="6">#REF!</definedName>
    <definedName name="TH_TT1" localSheetId="14">#REF!</definedName>
    <definedName name="TH_TT1" localSheetId="5">#REF!</definedName>
    <definedName name="TH_TT1" localSheetId="3">#REF!</definedName>
    <definedName name="TH_TT1" localSheetId="17">#REF!</definedName>
    <definedName name="TH_TT1" localSheetId="8">#REF!</definedName>
    <definedName name="TH_TT1" localSheetId="4">#REF!</definedName>
    <definedName name="TH_TT1" localSheetId="20">#REF!</definedName>
    <definedName name="TH_TT1">#REF!</definedName>
    <definedName name="TH_TTNT" localSheetId="7">#REF!</definedName>
    <definedName name="TH_TTNT" localSheetId="15">#REF!</definedName>
    <definedName name="TH_TTNT" localSheetId="1">#REF!</definedName>
    <definedName name="TH_TTNT" localSheetId="18">#REF!</definedName>
    <definedName name="TH_TTNT" localSheetId="16">#REF!</definedName>
    <definedName name="TH_TTNT" localSheetId="6">#REF!</definedName>
    <definedName name="TH_TTNT" localSheetId="14">#REF!</definedName>
    <definedName name="TH_TTNT" localSheetId="5">#REF!</definedName>
    <definedName name="TH_TTNT" localSheetId="3">#REF!</definedName>
    <definedName name="TH_TTNT" localSheetId="17">#REF!</definedName>
    <definedName name="TH_TTNT" localSheetId="8">#REF!</definedName>
    <definedName name="TH_TTNT" localSheetId="4">#REF!</definedName>
    <definedName name="TH_TTNT" localSheetId="20">#REF!</definedName>
    <definedName name="TH_TTNT">#REF!</definedName>
    <definedName name="TH_TTNT1" localSheetId="7">#REF!</definedName>
    <definedName name="TH_TTNT1" localSheetId="15">#REF!</definedName>
    <definedName name="TH_TTNT1" localSheetId="1">#REF!</definedName>
    <definedName name="TH_TTNT1" localSheetId="18">#REF!</definedName>
    <definedName name="TH_TTNT1" localSheetId="16">#REF!</definedName>
    <definedName name="TH_TTNT1" localSheetId="6">#REF!</definedName>
    <definedName name="TH_TTNT1" localSheetId="14">#REF!</definedName>
    <definedName name="TH_TTNT1" localSheetId="5">#REF!</definedName>
    <definedName name="TH_TTNT1" localSheetId="3">#REF!</definedName>
    <definedName name="TH_TTNT1" localSheetId="17">#REF!</definedName>
    <definedName name="TH_TTNT1" localSheetId="8">#REF!</definedName>
    <definedName name="TH_TTNT1" localSheetId="4">#REF!</definedName>
    <definedName name="TH_TTNT1" localSheetId="20">#REF!</definedName>
    <definedName name="TH_TTNT1">#REF!</definedName>
    <definedName name="Thamkhao" localSheetId="7">'[65]Bảng tính chi phí'!#REF!</definedName>
    <definedName name="Thamkhao" localSheetId="15">'[65]Bảng tính chi phí'!#REF!</definedName>
    <definedName name="Thamkhao" localSheetId="1">'[65]Bảng tính chi phí'!#REF!</definedName>
    <definedName name="Thamkhao" localSheetId="18">'[65]Bảng tính chi phí'!#REF!</definedName>
    <definedName name="Thamkhao" localSheetId="16">'[65]Bảng tính chi phí'!#REF!</definedName>
    <definedName name="Thamkhao" localSheetId="6">'[65]Bảng tính chi phí'!#REF!</definedName>
    <definedName name="Thamkhao" localSheetId="5">'[65]Bảng tính chi phí'!#REF!</definedName>
    <definedName name="Thamkhao" localSheetId="3">'[65]Bảng tính chi phí'!#REF!</definedName>
    <definedName name="Thamkhao" localSheetId="17">'[65]Bảng tính chi phí'!#REF!</definedName>
    <definedName name="Thamkhao" localSheetId="8">'[65]Bảng tính chi phí'!#REF!</definedName>
    <definedName name="Thamkhao" localSheetId="4">'[65]Bảng tính chi phí'!#REF!</definedName>
    <definedName name="Thamkhao" localSheetId="20">'[65]Bảng tính chi phí'!#REF!</definedName>
    <definedName name="Thamkhao">'[65]Bảng tính chi phí'!#REF!</definedName>
    <definedName name="thang_bao_cao" localSheetId="5">'[66]Consolidated P&amp;L'!$B$3</definedName>
    <definedName name="thang_bao_cao" localSheetId="3">'[66]Consolidated P&amp;L'!$B$3</definedName>
    <definedName name="thang_bao_cao" localSheetId="17">'[66]Consolidated P&amp;L'!$B$3</definedName>
    <definedName name="thang_bao_cao" localSheetId="8">'[66]Consolidated P&amp;L'!$B$3</definedName>
    <definedName name="thang_bao_cao">'[66]Consolidated P&amp;L'!$B$3</definedName>
    <definedName name="thang10">'[67]Luong thang10-2000'!$A$5:$V$26</definedName>
    <definedName name="thanhtien" localSheetId="7">#REF!</definedName>
    <definedName name="thanhtien" localSheetId="15">#REF!</definedName>
    <definedName name="thanhtien" localSheetId="1">#REF!</definedName>
    <definedName name="thanhtien" localSheetId="18">#REF!</definedName>
    <definedName name="thanhtien" localSheetId="16">#REF!</definedName>
    <definedName name="thanhtien" localSheetId="6">#REF!</definedName>
    <definedName name="thanhtien" localSheetId="5">#REF!</definedName>
    <definedName name="thanhtien" localSheetId="3">#REF!</definedName>
    <definedName name="thanhtien" localSheetId="17">#REF!</definedName>
    <definedName name="thanhtien" localSheetId="8">#REF!</definedName>
    <definedName name="thanhtien" localSheetId="4">#REF!</definedName>
    <definedName name="thanhtien" localSheetId="20">#REF!</definedName>
    <definedName name="thanhtien">#REF!</definedName>
    <definedName name="THCN_CHONDK" localSheetId="7">[7]THCN!$O$1</definedName>
    <definedName name="THCN_CHONDK" localSheetId="15">[7]THCN!$O$1</definedName>
    <definedName name="THCN_CHONDK" localSheetId="10">[7]THCN!$O$1</definedName>
    <definedName name="THCN_CHONDK" localSheetId="14">[7]THCN!$O$1</definedName>
    <definedName name="THCN_CHONDK" localSheetId="5">[7]THCN!$O$1</definedName>
    <definedName name="THCN_CHONDK" localSheetId="3">[7]THCN!$O$1</definedName>
    <definedName name="THCN_CHONDK" localSheetId="17">[7]THCN!$O$1</definedName>
    <definedName name="THCN_CHONDK" localSheetId="8">[7]THCN!$O$1</definedName>
    <definedName name="THCN_CHONDK">[7]THCN!$O$1</definedName>
    <definedName name="THCN_KC" localSheetId="7">[7]THCN!$L$2</definedName>
    <definedName name="THCN_KC" localSheetId="15">[7]THCN!$L$2</definedName>
    <definedName name="THCN_KC" localSheetId="10">[7]THCN!$L$2</definedName>
    <definedName name="THCN_KC" localSheetId="14">[7]THCN!$L$2</definedName>
    <definedName name="THCN_KC" localSheetId="5">[7]THCN!$L$2</definedName>
    <definedName name="THCN_KC" localSheetId="3">[7]THCN!$L$2</definedName>
    <definedName name="THCN_KC" localSheetId="17">[7]THCN!$L$2</definedName>
    <definedName name="THCN_KC" localSheetId="8">[7]THCN!$L$2</definedName>
    <definedName name="THCN_KC">[7]THCN!$L$2</definedName>
    <definedName name="THCN_KD" localSheetId="7">[7]THCN!$J$2</definedName>
    <definedName name="THCN_KD" localSheetId="15">[7]THCN!$J$2</definedName>
    <definedName name="THCN_KD" localSheetId="10">[7]THCN!$J$2</definedName>
    <definedName name="THCN_KD" localSheetId="14">[7]THCN!$J$2</definedName>
    <definedName name="THCN_KD" localSheetId="5">[7]THCN!$J$2</definedName>
    <definedName name="THCN_KD" localSheetId="3">[7]THCN!$J$2</definedName>
    <definedName name="THCN_KD" localSheetId="17">[7]THCN!$J$2</definedName>
    <definedName name="THCN_KD" localSheetId="8">[7]THCN!$J$2</definedName>
    <definedName name="THCN_KD">[7]THCN!$J$2</definedName>
    <definedName name="THCN_NC" localSheetId="7">[7]THCN!$L$1</definedName>
    <definedName name="THCN_NC" localSheetId="15">[7]THCN!$L$1</definedName>
    <definedName name="THCN_NC" localSheetId="10">[7]THCN!$L$1</definedName>
    <definedName name="THCN_NC" localSheetId="14">[7]THCN!$L$1</definedName>
    <definedName name="THCN_NC" localSheetId="5">[7]THCN!$L$1</definedName>
    <definedName name="THCN_NC" localSheetId="3">[7]THCN!$L$1</definedName>
    <definedName name="THCN_NC" localSheetId="17">[7]THCN!$L$1</definedName>
    <definedName name="THCN_NC" localSheetId="8">[7]THCN!$L$1</definedName>
    <definedName name="THCN_NC">[7]THCN!$L$1</definedName>
    <definedName name="THCN_ND" localSheetId="7">[7]THCN!$J$1</definedName>
    <definedName name="THCN_ND" localSheetId="15">[7]THCN!$J$1</definedName>
    <definedName name="THCN_ND" localSheetId="10">[7]THCN!$J$1</definedName>
    <definedName name="THCN_ND" localSheetId="14">[7]THCN!$J$1</definedName>
    <definedName name="THCN_ND" localSheetId="5">[7]THCN!$J$1</definedName>
    <definedName name="THCN_ND" localSheetId="3">[7]THCN!$J$1</definedName>
    <definedName name="THCN_ND" localSheetId="17">[7]THCN!$J$1</definedName>
    <definedName name="THCN_ND" localSheetId="8">[7]THCN!$J$1</definedName>
    <definedName name="THCN_ND">[7]THCN!$J$1</definedName>
    <definedName name="THCN_SHTK" localSheetId="7">[7]THCN!$C$1</definedName>
    <definedName name="THCN_SHTK" localSheetId="15">[7]THCN!$C$1</definedName>
    <definedName name="THCN_SHTK" localSheetId="10">[7]THCN!$C$1</definedName>
    <definedName name="THCN_SHTK" localSheetId="14">[7]THCN!$C$1</definedName>
    <definedName name="THCN_SHTK" localSheetId="5">[7]THCN!$C$1</definedName>
    <definedName name="THCN_SHTK" localSheetId="3">[7]THCN!$C$1</definedName>
    <definedName name="THCN_SHTK" localSheetId="17">[7]THCN!$C$1</definedName>
    <definedName name="THCN_SHTK" localSheetId="8">[7]THCN!$C$1</definedName>
    <definedName name="THCN_SHTK">[7]THCN!$C$1</definedName>
    <definedName name="THI" localSheetId="7">#REF!</definedName>
    <definedName name="THI" localSheetId="15">#REF!</definedName>
    <definedName name="THI" localSheetId="1">#REF!</definedName>
    <definedName name="THI" localSheetId="18">#REF!</definedName>
    <definedName name="THI" localSheetId="16">#REF!</definedName>
    <definedName name="THI" localSheetId="6">#REF!</definedName>
    <definedName name="THI" localSheetId="3">#REF!</definedName>
    <definedName name="THI" localSheetId="17">#REF!</definedName>
    <definedName name="THI" localSheetId="8">#REF!</definedName>
    <definedName name="THI" localSheetId="4">#REF!</definedName>
    <definedName name="THI" localSheetId="20">#REF!</definedName>
    <definedName name="THI">#REF!</definedName>
    <definedName name="Thin" localSheetId="11">#REF!</definedName>
    <definedName name="Thin" localSheetId="7">#REF!</definedName>
    <definedName name="Thin" localSheetId="15">#REF!</definedName>
    <definedName name="Thin" localSheetId="1">#REF!</definedName>
    <definedName name="Thin" localSheetId="18">#REF!</definedName>
    <definedName name="Thin" localSheetId="16">#REF!</definedName>
    <definedName name="Thin" localSheetId="6">#REF!</definedName>
    <definedName name="Thin" localSheetId="10">#REF!</definedName>
    <definedName name="Thin" localSheetId="14">#REF!</definedName>
    <definedName name="Thin" localSheetId="5">#REF!</definedName>
    <definedName name="Thin" localSheetId="3">#REF!</definedName>
    <definedName name="Thin" localSheetId="17">#REF!</definedName>
    <definedName name="Thin" localSheetId="13">#REF!</definedName>
    <definedName name="Thin" localSheetId="8">#REF!</definedName>
    <definedName name="Thin" localSheetId="4">#REF!</definedName>
    <definedName name="Thin" localSheetId="20">#REF!</definedName>
    <definedName name="Thin">#REF!</definedName>
    <definedName name="thkp3" localSheetId="7">#REF!</definedName>
    <definedName name="thkp3" localSheetId="15">#REF!</definedName>
    <definedName name="thkp3" localSheetId="1">#REF!</definedName>
    <definedName name="thkp3" localSheetId="18">#REF!</definedName>
    <definedName name="thkp3" localSheetId="16">#REF!</definedName>
    <definedName name="thkp3" localSheetId="6">#REF!</definedName>
    <definedName name="thkp3" localSheetId="3">#REF!</definedName>
    <definedName name="thkp3" localSheetId="17">#REF!</definedName>
    <definedName name="thkp3" localSheetId="8">#REF!</definedName>
    <definedName name="thkp3" localSheetId="4">#REF!</definedName>
    <definedName name="thkp3" localSheetId="20">#REF!</definedName>
    <definedName name="thkp3">#REF!</definedName>
    <definedName name="THOI_TRANG" localSheetId="11">#REF!</definedName>
    <definedName name="THOI_TRANG" localSheetId="7">#REF!</definedName>
    <definedName name="THOI_TRANG" localSheetId="15">#REF!</definedName>
    <definedName name="THOI_TRANG" localSheetId="1">#REF!</definedName>
    <definedName name="THOI_TRANG" localSheetId="18">#REF!</definedName>
    <definedName name="THOI_TRANG" localSheetId="16">#REF!</definedName>
    <definedName name="THOI_TRANG" localSheetId="6">#REF!</definedName>
    <definedName name="THOI_TRANG" localSheetId="10">#REF!</definedName>
    <definedName name="THOI_TRANG" localSheetId="14">#REF!</definedName>
    <definedName name="THOI_TRANG" localSheetId="5">#REF!</definedName>
    <definedName name="THOI_TRANG" localSheetId="3">#REF!</definedName>
    <definedName name="THOI_TRANG" localSheetId="17">#REF!</definedName>
    <definedName name="THOI_TRANG" localSheetId="13">#REF!</definedName>
    <definedName name="THOI_TRANG" localSheetId="8">#REF!</definedName>
    <definedName name="THOI_TRANG" localSheetId="4">#REF!</definedName>
    <definedName name="THOI_TRANG" localSheetId="20">#REF!</definedName>
    <definedName name="THOI_TRANG">#REF!</definedName>
    <definedName name="THU_HAÈNG" localSheetId="11">#REF!</definedName>
    <definedName name="THU_HAÈNG" localSheetId="7">#REF!</definedName>
    <definedName name="THU_HAÈNG" localSheetId="15">#REF!</definedName>
    <definedName name="THU_HAÈNG" localSheetId="1">#REF!</definedName>
    <definedName name="THU_HAÈNG" localSheetId="18">#REF!</definedName>
    <definedName name="THU_HAÈNG" localSheetId="16">#REF!</definedName>
    <definedName name="THU_HAÈNG" localSheetId="6">#REF!</definedName>
    <definedName name="THU_HAÈNG" localSheetId="10">#REF!</definedName>
    <definedName name="THU_HAÈNG" localSheetId="14">#REF!</definedName>
    <definedName name="THU_HAÈNG" localSheetId="5">#REF!</definedName>
    <definedName name="THU_HAÈNG" localSheetId="3">#REF!</definedName>
    <definedName name="THU_HAÈNG" localSheetId="17">#REF!</definedName>
    <definedName name="THU_HAÈNG" localSheetId="13">#REF!</definedName>
    <definedName name="THU_HAÈNG" localSheetId="8">#REF!</definedName>
    <definedName name="THU_HAÈNG" localSheetId="4">#REF!</definedName>
    <definedName name="THU_HAÈNG" localSheetId="20">#REF!</definedName>
    <definedName name="THU_HAÈNG">#REF!</definedName>
    <definedName name="thucthanh">'[68]Thuc thanh'!$E$29</definedName>
    <definedName name="THUE" localSheetId="7">#REF!</definedName>
    <definedName name="THUE" localSheetId="15">#REF!</definedName>
    <definedName name="THUE" localSheetId="1">#REF!</definedName>
    <definedName name="THUE" localSheetId="18">#REF!</definedName>
    <definedName name="THUE" localSheetId="16">#REF!</definedName>
    <definedName name="THUE" localSheetId="6">#REF!</definedName>
    <definedName name="THUE" localSheetId="3">#REF!</definedName>
    <definedName name="THUE" localSheetId="17">#REF!</definedName>
    <definedName name="THUE" localSheetId="8">#REF!</definedName>
    <definedName name="THUE" localSheetId="4">#REF!</definedName>
    <definedName name="THUE" localSheetId="20">#REF!</definedName>
    <definedName name="THUE">#REF!</definedName>
    <definedName name="Tien" localSheetId="7">#REF!</definedName>
    <definedName name="Tien" localSheetId="15">#REF!</definedName>
    <definedName name="Tien" localSheetId="1">#REF!</definedName>
    <definedName name="Tien" localSheetId="18">#REF!</definedName>
    <definedName name="Tien" localSheetId="16">#REF!</definedName>
    <definedName name="Tien" localSheetId="6">#REF!</definedName>
    <definedName name="Tien" localSheetId="5">#REF!</definedName>
    <definedName name="Tien" localSheetId="3">#REF!</definedName>
    <definedName name="Tien" localSheetId="17">#REF!</definedName>
    <definedName name="Tien" localSheetId="8">#REF!</definedName>
    <definedName name="Tien" localSheetId="4">#REF!</definedName>
    <definedName name="Tien" localSheetId="20">#REF!</definedName>
    <definedName name="Tien">#REF!</definedName>
    <definedName name="TienUSD" localSheetId="5">[69]Dulieu!$K$1:$K$65536</definedName>
    <definedName name="TienUSD" localSheetId="3">[69]Dulieu!$K$1:$K$65536</definedName>
    <definedName name="TienUSD" localSheetId="17">[69]Dulieu!$K$1:$K$65536</definedName>
    <definedName name="TienUSD" localSheetId="8">[69]Dulieu!$K$1:$K$65536</definedName>
    <definedName name="TienUSD">[69]Dulieu!$K$1:$K$65536</definedName>
    <definedName name="tigia" localSheetId="7">#REF!</definedName>
    <definedName name="tigia" localSheetId="15">#REF!</definedName>
    <definedName name="tigia" localSheetId="1">#REF!</definedName>
    <definedName name="tigia" localSheetId="18">#REF!</definedName>
    <definedName name="tigia" localSheetId="16">#REF!</definedName>
    <definedName name="tigia" localSheetId="6">#REF!</definedName>
    <definedName name="tigia" localSheetId="5">#REF!</definedName>
    <definedName name="tigia" localSheetId="3">#REF!</definedName>
    <definedName name="tigia" localSheetId="17">#REF!</definedName>
    <definedName name="tigia" localSheetId="8">#REF!</definedName>
    <definedName name="tigia" localSheetId="4">#REF!</definedName>
    <definedName name="tigia" localSheetId="20">#REF!</definedName>
    <definedName name="tigia">#REF!</definedName>
    <definedName name="TIM" localSheetId="7">#REF!</definedName>
    <definedName name="TIM" localSheetId="15">#REF!</definedName>
    <definedName name="TIM" localSheetId="1">#REF!</definedName>
    <definedName name="TIM" localSheetId="18">#REF!</definedName>
    <definedName name="TIM" localSheetId="16">#REF!</definedName>
    <definedName name="TIM" localSheetId="6">#REF!</definedName>
    <definedName name="TIM" localSheetId="5">#REF!</definedName>
    <definedName name="TIM" localSheetId="3">#REF!</definedName>
    <definedName name="TIM" localSheetId="17">#REF!</definedName>
    <definedName name="TIM" localSheetId="8">#REF!</definedName>
    <definedName name="TIM" localSheetId="4">#REF!</definedName>
    <definedName name="TIM" localSheetId="20">#REF!</definedName>
    <definedName name="TIM">#REF!</definedName>
    <definedName name="TITAN" localSheetId="7">#REF!</definedName>
    <definedName name="TITAN" localSheetId="15">#REF!</definedName>
    <definedName name="TITAN" localSheetId="1">#REF!</definedName>
    <definedName name="TITAN" localSheetId="18">#REF!</definedName>
    <definedName name="TITAN" localSheetId="16">#REF!</definedName>
    <definedName name="TITAN" localSheetId="6">#REF!</definedName>
    <definedName name="TITAN" localSheetId="3">#REF!</definedName>
    <definedName name="TITAN" localSheetId="17">#REF!</definedName>
    <definedName name="TITAN" localSheetId="8">#REF!</definedName>
    <definedName name="TITAN" localSheetId="4">#REF!</definedName>
    <definedName name="TITAN" localSheetId="20">#REF!</definedName>
    <definedName name="TITAN">#REF!</definedName>
    <definedName name="title">"$#REF!.$B$3"</definedName>
    <definedName name="TK" localSheetId="11">'[2]HD-XUAT'!#REF!</definedName>
    <definedName name="TK" localSheetId="7">'[3]HD-XUAT'!#REF!</definedName>
    <definedName name="TK" localSheetId="15">'[3]HD-XUAT'!#REF!</definedName>
    <definedName name="TK" localSheetId="1">'[3]HD-XUAT'!#REF!</definedName>
    <definedName name="TK" localSheetId="18">'[3]HD-XUAT'!#REF!</definedName>
    <definedName name="TK" localSheetId="16">'[3]HD-XUAT'!#REF!</definedName>
    <definedName name="TK" localSheetId="6">'[3]HD-XUAT'!#REF!</definedName>
    <definedName name="TK" localSheetId="14">'[3]HD-XUAT'!#REF!</definedName>
    <definedName name="TK" localSheetId="5">'[3]HD-XUAT'!#REF!</definedName>
    <definedName name="TK" localSheetId="3">'[3]HD-XUAT'!#REF!</definedName>
    <definedName name="TK" localSheetId="17">'[3]HD-XUAT'!#REF!</definedName>
    <definedName name="TK" localSheetId="8">'[3]HD-XUAT'!#REF!</definedName>
    <definedName name="TK" localSheetId="4">'[3]HD-XUAT'!#REF!</definedName>
    <definedName name="TK" localSheetId="20">'[3]HD-XUAT'!#REF!</definedName>
    <definedName name="TK">'[3]HD-XUAT'!#REF!</definedName>
    <definedName name="TKCO">"'file:///media/8666-37CC/o%20D/clients/Emsa/Ms%20Trang/Kien-NKC%202009.xls.xls'#$'NKC 2009'.$E$2:$E$1121"</definedName>
    <definedName name="TKNO">"'file:///media/8666-37CC/o%20D/clients/Emsa/Ms%20Trang/Kien-NKC%202009.xls.xls'#$'NKC 2009'.$D$2:$D$1121"</definedName>
    <definedName name="TKTIM" localSheetId="7">#REF!</definedName>
    <definedName name="TKTIM" localSheetId="15">#REF!</definedName>
    <definedName name="TKTIM" localSheetId="1">#REF!</definedName>
    <definedName name="TKTIM" localSheetId="18">#REF!</definedName>
    <definedName name="TKTIM" localSheetId="16">#REF!</definedName>
    <definedName name="TKTIM" localSheetId="6">#REF!</definedName>
    <definedName name="TKTIM" localSheetId="5">#REF!</definedName>
    <definedName name="TKTIM" localSheetId="3">#REF!</definedName>
    <definedName name="TKTIM" localSheetId="17">#REF!</definedName>
    <definedName name="TKTIM" localSheetId="8">#REF!</definedName>
    <definedName name="TKTIM" localSheetId="4">#REF!</definedName>
    <definedName name="TKTIM" localSheetId="20">#REF!</definedName>
    <definedName name="TKTIM">#REF!</definedName>
    <definedName name="TL" localSheetId="7">[12]ND!#REF!</definedName>
    <definedName name="TL" localSheetId="15">[12]ND!#REF!</definedName>
    <definedName name="TL" localSheetId="1">[12]ND!#REF!</definedName>
    <definedName name="TL" localSheetId="18">[12]ND!#REF!</definedName>
    <definedName name="TL" localSheetId="16">[12]ND!#REF!</definedName>
    <definedName name="TL" localSheetId="6">[12]ND!#REF!</definedName>
    <definedName name="TL" localSheetId="5">[12]ND!#REF!</definedName>
    <definedName name="TL" localSheetId="3">[12]ND!#REF!</definedName>
    <definedName name="TL" localSheetId="17">[12]ND!#REF!</definedName>
    <definedName name="TL" localSheetId="8">[12]ND!#REF!</definedName>
    <definedName name="TL" localSheetId="4">[12]ND!#REF!</definedName>
    <definedName name="TL" localSheetId="20">[12]ND!#REF!</definedName>
    <definedName name="TL">[12]ND!#REF!</definedName>
    <definedName name="TM" localSheetId="7">[41]!BTRAM</definedName>
    <definedName name="TM" localSheetId="1">[41]!BTRAM</definedName>
    <definedName name="TM" localSheetId="18">[41]!BTRAM</definedName>
    <definedName name="TM" localSheetId="16">[41]!BTRAM</definedName>
    <definedName name="TM" localSheetId="6">[41]!BTRAM</definedName>
    <definedName name="TM" localSheetId="3">[41]!BTRAM</definedName>
    <definedName name="TM" localSheetId="17">[41]!BTRAM</definedName>
    <definedName name="TM" localSheetId="8">[41]!BTRAM</definedName>
    <definedName name="TM" localSheetId="4">[41]!BTRAM</definedName>
    <definedName name="TM" localSheetId="20">[41]!BTRAM</definedName>
    <definedName name="TM">[41]!BTRAM</definedName>
    <definedName name="tmorita">"Sheet1"</definedName>
    <definedName name="tmorita_10">"Sheet1"</definedName>
    <definedName name="tno">[32]gvl!$Q$47</definedName>
    <definedName name="tongdt" localSheetId="7">[70]BO!#REF!</definedName>
    <definedName name="tongdt" localSheetId="15">[70]BO!#REF!</definedName>
    <definedName name="tongdt" localSheetId="1">[70]BO!#REF!</definedName>
    <definedName name="tongdt" localSheetId="18">[70]BO!#REF!</definedName>
    <definedName name="tongdt" localSheetId="16">[70]BO!#REF!</definedName>
    <definedName name="tongdt" localSheetId="6">[70]BO!#REF!</definedName>
    <definedName name="tongdt" localSheetId="5">[70]BO!#REF!</definedName>
    <definedName name="tongdt" localSheetId="3">[70]BO!#REF!</definedName>
    <definedName name="tongdt" localSheetId="17">[70]BO!#REF!</definedName>
    <definedName name="tongdt" localSheetId="8">[70]BO!#REF!</definedName>
    <definedName name="tongdt" localSheetId="4">[70]BO!#REF!</definedName>
    <definedName name="tongdt" localSheetId="20">[70]BO!#REF!</definedName>
    <definedName name="tongdt">[70]BO!#REF!</definedName>
    <definedName name="TONGHOP_KYKT" localSheetId="5">[7]HT!$H$4</definedName>
    <definedName name="TONGHOP_KYKT" localSheetId="3">[7]HT!$H$4</definedName>
    <definedName name="TONGHOP_KYKT" localSheetId="17">[7]HT!$H$4</definedName>
    <definedName name="TONGHOP_KYKT" localSheetId="8">[7]HT!$H$4</definedName>
    <definedName name="TONGHOP_KYKT">[7]HT!$H$4</definedName>
    <definedName name="TongLuongSale" localSheetId="7">#REF!</definedName>
    <definedName name="TongLuongSale" localSheetId="15">#REF!</definedName>
    <definedName name="TongLuongSale" localSheetId="1">#REF!</definedName>
    <definedName name="TongLuongSale" localSheetId="18">#REF!</definedName>
    <definedName name="TongLuongSale" localSheetId="16">#REF!</definedName>
    <definedName name="TongLuongSale" localSheetId="6">#REF!</definedName>
    <definedName name="TongLuongSale" localSheetId="5">#REF!</definedName>
    <definedName name="TongLuongSale" localSheetId="3">#REF!</definedName>
    <definedName name="TongLuongSale" localSheetId="17">#REF!</definedName>
    <definedName name="TongLuongSale" localSheetId="8">#REF!</definedName>
    <definedName name="TongLuongSale" localSheetId="4">#REF!</definedName>
    <definedName name="TongLuongSale" localSheetId="20">#REF!</definedName>
    <definedName name="TongLuongSale">#REF!</definedName>
    <definedName name="TOTAL" localSheetId="7">#REF!</definedName>
    <definedName name="TOTAL" localSheetId="15">#REF!</definedName>
    <definedName name="TOTAL" localSheetId="1">#REF!</definedName>
    <definedName name="TOTAL" localSheetId="18">#REF!</definedName>
    <definedName name="TOTAL" localSheetId="16">#REF!</definedName>
    <definedName name="TOTAL" localSheetId="6">#REF!</definedName>
    <definedName name="TOTAL" localSheetId="5">#REF!</definedName>
    <definedName name="TOTAL" localSheetId="3">#REF!</definedName>
    <definedName name="TOTAL" localSheetId="17">#REF!</definedName>
    <definedName name="TOTAL" localSheetId="8">#REF!</definedName>
    <definedName name="TOTAL" localSheetId="4">#REF!</definedName>
    <definedName name="TOTAL" localSheetId="20">#REF!</definedName>
    <definedName name="TOTAL">#REF!</definedName>
    <definedName name="Total_Cost" localSheetId="7">#REF!,#REF!,#REF!</definedName>
    <definedName name="Total_Cost" localSheetId="15">#REF!,#REF!,#REF!</definedName>
    <definedName name="Total_Cost" localSheetId="1">#REF!,#REF!,#REF!</definedName>
    <definedName name="Total_Cost" localSheetId="18">#REF!,#REF!,#REF!</definedName>
    <definedName name="Total_Cost" localSheetId="16">#REF!,#REF!,#REF!</definedName>
    <definedName name="Total_Cost" localSheetId="6">#REF!,#REF!,#REF!</definedName>
    <definedName name="Total_Cost" localSheetId="5">#REF!,#REF!,#REF!</definedName>
    <definedName name="Total_Cost" localSheetId="3">#REF!,#REF!,#REF!</definedName>
    <definedName name="Total_Cost" localSheetId="17">#REF!,#REF!,#REF!</definedName>
    <definedName name="Total_Cost" localSheetId="8">#REF!,#REF!,#REF!</definedName>
    <definedName name="Total_Cost" localSheetId="4">#REF!,#REF!,#REF!</definedName>
    <definedName name="Total_Cost" localSheetId="20">#REF!,#REF!,#REF!</definedName>
    <definedName name="Total_Cost">#REF!,#REF!,#REF!</definedName>
    <definedName name="totalindustry">"$#REF!.$#REF!$#REF!:$#REF!$#REF!"</definedName>
    <definedName name="TPLRP" localSheetId="7">#REF!</definedName>
    <definedName name="TPLRP" localSheetId="15">#REF!</definedName>
    <definedName name="TPLRP" localSheetId="1">#REF!</definedName>
    <definedName name="TPLRP" localSheetId="18">#REF!</definedName>
    <definedName name="TPLRP" localSheetId="16">#REF!</definedName>
    <definedName name="TPLRP" localSheetId="6">#REF!</definedName>
    <definedName name="TPLRP" localSheetId="3">#REF!</definedName>
    <definedName name="TPLRP" localSheetId="17">#REF!</definedName>
    <definedName name="TPLRP" localSheetId="8">#REF!</definedName>
    <definedName name="TPLRP" localSheetId="4">#REF!</definedName>
    <definedName name="TPLRP" localSheetId="20">#REF!</definedName>
    <definedName name="TPLRP">#REF!</definedName>
    <definedName name="TR" localSheetId="7">#REF!</definedName>
    <definedName name="TR" localSheetId="15">#REF!</definedName>
    <definedName name="TR" localSheetId="1">#REF!</definedName>
    <definedName name="TR" localSheetId="18">#REF!</definedName>
    <definedName name="TR" localSheetId="16">#REF!</definedName>
    <definedName name="TR" localSheetId="6">#REF!</definedName>
    <definedName name="TR" localSheetId="5">#REF!</definedName>
    <definedName name="TR" localSheetId="3">#REF!</definedName>
    <definedName name="TR" localSheetId="17">#REF!</definedName>
    <definedName name="TR" localSheetId="8">#REF!</definedName>
    <definedName name="TR" localSheetId="4">#REF!</definedName>
    <definedName name="TR" localSheetId="20">#REF!</definedName>
    <definedName name="TR">#REF!</definedName>
    <definedName name="Tra_don_gia_KS" localSheetId="7">#REF!</definedName>
    <definedName name="Tra_don_gia_KS" localSheetId="15">#REF!</definedName>
    <definedName name="Tra_don_gia_KS" localSheetId="1">#REF!</definedName>
    <definedName name="Tra_don_gia_KS" localSheetId="18">#REF!</definedName>
    <definedName name="Tra_don_gia_KS" localSheetId="16">#REF!</definedName>
    <definedName name="Tra_don_gia_KS" localSheetId="6">#REF!</definedName>
    <definedName name="Tra_don_gia_KS" localSheetId="5">#REF!</definedName>
    <definedName name="Tra_don_gia_KS" localSheetId="3">#REF!</definedName>
    <definedName name="Tra_don_gia_KS" localSheetId="17">#REF!</definedName>
    <definedName name="Tra_don_gia_KS" localSheetId="8">#REF!</definedName>
    <definedName name="Tra_don_gia_KS" localSheetId="4">#REF!</definedName>
    <definedName name="Tra_don_gia_KS" localSheetId="20">#REF!</definedName>
    <definedName name="Tra_don_gia_KS">#REF!</definedName>
    <definedName name="Tra_phan_tram" localSheetId="7">[71]Tra_bang!#REF!</definedName>
    <definedName name="Tra_phan_tram" localSheetId="15">[71]Tra_bang!#REF!</definedName>
    <definedName name="Tra_phan_tram" localSheetId="1">[71]Tra_bang!#REF!</definedName>
    <definedName name="Tra_phan_tram" localSheetId="18">[71]Tra_bang!#REF!</definedName>
    <definedName name="Tra_phan_tram" localSheetId="16">[71]Tra_bang!#REF!</definedName>
    <definedName name="Tra_phan_tram" localSheetId="6">[71]Tra_bang!#REF!</definedName>
    <definedName name="Tra_phan_tram" localSheetId="5">[71]Tra_bang!#REF!</definedName>
    <definedName name="Tra_phan_tram" localSheetId="3">[71]Tra_bang!#REF!</definedName>
    <definedName name="Tra_phan_tram" localSheetId="17">[71]Tra_bang!#REF!</definedName>
    <definedName name="Tra_phan_tram" localSheetId="8">[71]Tra_bang!#REF!</definedName>
    <definedName name="Tra_phan_tram" localSheetId="4">[71]Tra_bang!#REF!</definedName>
    <definedName name="Tra_phan_tram" localSheetId="20">[71]Tra_bang!#REF!</definedName>
    <definedName name="Tra_phan_tram">[71]Tra_bang!#REF!</definedName>
    <definedName name="Tra_VL">[72]TVL!$A$1:$D$227</definedName>
    <definedName name="Tracp" localSheetId="7">#REF!</definedName>
    <definedName name="Tracp" localSheetId="15">#REF!</definedName>
    <definedName name="Tracp" localSheetId="1">#REF!</definedName>
    <definedName name="Tracp" localSheetId="18">#REF!</definedName>
    <definedName name="Tracp" localSheetId="16">#REF!</definedName>
    <definedName name="Tracp" localSheetId="6">#REF!</definedName>
    <definedName name="Tracp" localSheetId="5">#REF!</definedName>
    <definedName name="Tracp" localSheetId="3">#REF!</definedName>
    <definedName name="Tracp" localSheetId="17">#REF!</definedName>
    <definedName name="Tracp" localSheetId="8">#REF!</definedName>
    <definedName name="Tracp" localSheetId="4">#REF!</definedName>
    <definedName name="Tracp" localSheetId="20">#REF!</definedName>
    <definedName name="Tracp">#REF!</definedName>
    <definedName name="TRADE2" localSheetId="7">#REF!</definedName>
    <definedName name="TRADE2" localSheetId="15">#REF!</definedName>
    <definedName name="TRADE2" localSheetId="1">#REF!</definedName>
    <definedName name="TRADE2" localSheetId="18">#REF!</definedName>
    <definedName name="TRADE2" localSheetId="16">#REF!</definedName>
    <definedName name="TRADE2" localSheetId="6">#REF!</definedName>
    <definedName name="TRADE2" localSheetId="3">#REF!</definedName>
    <definedName name="TRADE2" localSheetId="17">#REF!</definedName>
    <definedName name="TRADE2" localSheetId="8">#REF!</definedName>
    <definedName name="TRADE2" localSheetId="4">#REF!</definedName>
    <definedName name="TRADE2" localSheetId="20">#REF!</definedName>
    <definedName name="TRADE2">#REF!</definedName>
    <definedName name="Training">[47]Training!$A$1:$J$25</definedName>
    <definedName name="TRANSFORMER" localSheetId="7">'[48]NEW-PANEL'!#REF!</definedName>
    <definedName name="TRANSFORMER" localSheetId="15">'[48]NEW-PANEL'!#REF!</definedName>
    <definedName name="TRANSFORMER" localSheetId="1">'[48]NEW-PANEL'!#REF!</definedName>
    <definedName name="TRANSFORMER" localSheetId="18">'[48]NEW-PANEL'!#REF!</definedName>
    <definedName name="TRANSFORMER" localSheetId="16">'[48]NEW-PANEL'!#REF!</definedName>
    <definedName name="TRANSFORMER" localSheetId="6">'[48]NEW-PANEL'!#REF!</definedName>
    <definedName name="TRANSFORMER" localSheetId="5">'[48]NEW-PANEL'!#REF!</definedName>
    <definedName name="TRANSFORMER" localSheetId="3">'[48]NEW-PANEL'!#REF!</definedName>
    <definedName name="TRANSFORMER" localSheetId="17">'[48]NEW-PANEL'!#REF!</definedName>
    <definedName name="TRANSFORMER" localSheetId="8">'[48]NEW-PANEL'!#REF!</definedName>
    <definedName name="TRANSFORMER" localSheetId="4">'[48]NEW-PANEL'!#REF!</definedName>
    <definedName name="TRANSFORMER" localSheetId="20">'[48]NEW-PANEL'!#REF!</definedName>
    <definedName name="TRANSFORMER">'[48]NEW-PANEL'!#REF!</definedName>
    <definedName name="travel" localSheetId="7">#REF!</definedName>
    <definedName name="travel" localSheetId="15">#REF!</definedName>
    <definedName name="travel" localSheetId="1">#REF!</definedName>
    <definedName name="travel" localSheetId="18">#REF!</definedName>
    <definedName name="travel" localSheetId="16">#REF!</definedName>
    <definedName name="travel" localSheetId="6">#REF!</definedName>
    <definedName name="travel" localSheetId="5">#REF!</definedName>
    <definedName name="travel" localSheetId="3">#REF!</definedName>
    <definedName name="travel" localSheetId="17">#REF!</definedName>
    <definedName name="travel" localSheetId="8">#REF!</definedName>
    <definedName name="travel" localSheetId="4">#REF!</definedName>
    <definedName name="travel" localSheetId="20">#REF!</definedName>
    <definedName name="travel">#REF!</definedName>
    <definedName name="Travel_Cost">"'smb://Stsai2/share/U/JANDERS5/DESK/BUSPLAN/97BUSPLA/XX98CBUD.XLS'#$XX98CALB.$#REF!$#REF!:$#REF!$#REF!"</definedName>
    <definedName name="TRent" localSheetId="7">#REF!</definedName>
    <definedName name="TRent" localSheetId="15">#REF!</definedName>
    <definedName name="TRent" localSheetId="1">#REF!</definedName>
    <definedName name="TRent" localSheetId="18">#REF!</definedName>
    <definedName name="TRent" localSheetId="16">#REF!</definedName>
    <definedName name="TRent" localSheetId="6">#REF!</definedName>
    <definedName name="TRent" localSheetId="5">#REF!</definedName>
    <definedName name="TRent" localSheetId="3">#REF!</definedName>
    <definedName name="TRent" localSheetId="17">#REF!</definedName>
    <definedName name="TRent" localSheetId="8">#REF!</definedName>
    <definedName name="TRent" localSheetId="4">#REF!</definedName>
    <definedName name="TRent" localSheetId="20">#REF!</definedName>
    <definedName name="TRent">#REF!</definedName>
    <definedName name="truckindustry">"$#REF!.$#REF!$#REF!:$#REF!$#REF!"</definedName>
    <definedName name="truocthue" localSheetId="7">#REF!</definedName>
    <definedName name="truocthue" localSheetId="15">#REF!</definedName>
    <definedName name="truocthue" localSheetId="1">#REF!</definedName>
    <definedName name="truocthue" localSheetId="18">#REF!</definedName>
    <definedName name="truocthue" localSheetId="16">#REF!</definedName>
    <definedName name="truocthue" localSheetId="6">#REF!</definedName>
    <definedName name="truocthue" localSheetId="5">#REF!</definedName>
    <definedName name="truocthue" localSheetId="3">#REF!</definedName>
    <definedName name="truocthue" localSheetId="17">#REF!</definedName>
    <definedName name="truocthue" localSheetId="8">#REF!</definedName>
    <definedName name="truocthue" localSheetId="4">#REF!</definedName>
    <definedName name="truocthue" localSheetId="20">#REF!</definedName>
    <definedName name="truocthue">#REF!</definedName>
    <definedName name="tryery" localSheetId="7">'2018-2022'!tryery</definedName>
    <definedName name="tryery" localSheetId="15">'2018-2022 SF'!tryery</definedName>
    <definedName name="tryery" localSheetId="16">B!tryery</definedName>
    <definedName name="tryery" localSheetId="5">[17]!tryery</definedName>
    <definedName name="tryery" localSheetId="3">[17]!tryery</definedName>
    <definedName name="tryery" localSheetId="17">[17]!tryery</definedName>
    <definedName name="tryery" localSheetId="8">[17]!tryery</definedName>
    <definedName name="tryery" localSheetId="4">Reconciliation!tryery</definedName>
    <definedName name="tryery" localSheetId="2">'Summary 2018 - MF'!tryery</definedName>
    <definedName name="tryery">[0]!tryery</definedName>
    <definedName name="tryery_10" localSheetId="7">'2018-2022'!tryery_10</definedName>
    <definedName name="tryery_10" localSheetId="15">'2018-2022 SF'!tryery_10</definedName>
    <definedName name="tryery_10" localSheetId="16">B!tryery_10</definedName>
    <definedName name="tryery_10" localSheetId="5">[17]!tryery_10</definedName>
    <definedName name="tryery_10" localSheetId="3">[17]!tryery_10</definedName>
    <definedName name="tryery_10" localSheetId="17">[17]!tryery_10</definedName>
    <definedName name="tryery_10" localSheetId="8">[17]!tryery_10</definedName>
    <definedName name="tryery_10" localSheetId="4">Reconciliation!tryery_10</definedName>
    <definedName name="tryery_10" localSheetId="2">'Summary 2018 - MF'!tryery_10</definedName>
    <definedName name="tryery_10">[0]!tryery_10</definedName>
    <definedName name="tsc" localSheetId="7">#REF!</definedName>
    <definedName name="tsc" localSheetId="15">#REF!</definedName>
    <definedName name="tsc" localSheetId="1">#REF!</definedName>
    <definedName name="tsc" localSheetId="18">#REF!</definedName>
    <definedName name="tsc" localSheetId="16">#REF!</definedName>
    <definedName name="tsc" localSheetId="6">#REF!</definedName>
    <definedName name="tsc" localSheetId="5">#REF!</definedName>
    <definedName name="tsc" localSheetId="3">#REF!</definedName>
    <definedName name="tsc" localSheetId="17">#REF!</definedName>
    <definedName name="tsc" localSheetId="8">#REF!</definedName>
    <definedName name="tsc" localSheetId="4">#REF!</definedName>
    <definedName name="tsc" localSheetId="20">#REF!</definedName>
    <definedName name="tsc">#REF!</definedName>
    <definedName name="TT" localSheetId="7">#REF!</definedName>
    <definedName name="TT" localSheetId="15">#REF!</definedName>
    <definedName name="TT" localSheetId="1">#REF!</definedName>
    <definedName name="TT" localSheetId="18">#REF!</definedName>
    <definedName name="TT" localSheetId="16">#REF!</definedName>
    <definedName name="TT" localSheetId="6">#REF!</definedName>
    <definedName name="TT" localSheetId="3">#REF!</definedName>
    <definedName name="TT" localSheetId="17">#REF!</definedName>
    <definedName name="TT" localSheetId="8">#REF!</definedName>
    <definedName name="TT" localSheetId="4">#REF!</definedName>
    <definedName name="TT" localSheetId="20">#REF!</definedName>
    <definedName name="TT">#REF!</definedName>
    <definedName name="ttam">[13]gVL!$N$21</definedName>
    <definedName name="TTGV" localSheetId="7">#REF!</definedName>
    <definedName name="TTGV" localSheetId="15">#REF!</definedName>
    <definedName name="TTGV" localSheetId="1">#REF!</definedName>
    <definedName name="TTGV" localSheetId="18">#REF!</definedName>
    <definedName name="TTGV" localSheetId="16">#REF!</definedName>
    <definedName name="TTGV" localSheetId="6">#REF!</definedName>
    <definedName name="TTGV" localSheetId="3">#REF!</definedName>
    <definedName name="TTGV" localSheetId="17">#REF!</definedName>
    <definedName name="TTGV" localSheetId="8">#REF!</definedName>
    <definedName name="TTGV" localSheetId="4">#REF!</definedName>
    <definedName name="TTGV" localSheetId="20">#REF!</definedName>
    <definedName name="TTGV">#REF!</definedName>
    <definedName name="ttl" localSheetId="7">#REF!</definedName>
    <definedName name="ttl" localSheetId="15">#REF!</definedName>
    <definedName name="ttl" localSheetId="1">#REF!</definedName>
    <definedName name="ttl" localSheetId="18">#REF!</definedName>
    <definedName name="ttl" localSheetId="16">#REF!</definedName>
    <definedName name="ttl" localSheetId="6">#REF!</definedName>
    <definedName name="ttl" localSheetId="3">#REF!</definedName>
    <definedName name="ttl" localSheetId="17">#REF!</definedName>
    <definedName name="ttl" localSheetId="8">#REF!</definedName>
    <definedName name="ttl" localSheetId="4">#REF!</definedName>
    <definedName name="ttl" localSheetId="20">#REF!</definedName>
    <definedName name="ttl">#REF!</definedName>
    <definedName name="TTTIM" localSheetId="7">#REF!</definedName>
    <definedName name="TTTIM" localSheetId="15">#REF!</definedName>
    <definedName name="TTTIM" localSheetId="1">#REF!</definedName>
    <definedName name="TTTIM" localSheetId="18">#REF!</definedName>
    <definedName name="TTTIM" localSheetId="16">#REF!</definedName>
    <definedName name="TTTIM" localSheetId="6">#REF!</definedName>
    <definedName name="TTTIM" localSheetId="5">#REF!</definedName>
    <definedName name="TTTIM" localSheetId="3">#REF!</definedName>
    <definedName name="TTTIM" localSheetId="17">#REF!</definedName>
    <definedName name="TTTIM" localSheetId="8">#REF!</definedName>
    <definedName name="TTTIM" localSheetId="4">#REF!</definedName>
    <definedName name="TTTIM" localSheetId="20">#REF!</definedName>
    <definedName name="TTTIM">#REF!</definedName>
    <definedName name="TTX" localSheetId="7">#REF!</definedName>
    <definedName name="TTX" localSheetId="15">#REF!</definedName>
    <definedName name="TTX" localSheetId="1">#REF!</definedName>
    <definedName name="TTX" localSheetId="18">#REF!</definedName>
    <definedName name="TTX" localSheetId="16">#REF!</definedName>
    <definedName name="TTX" localSheetId="6">#REF!</definedName>
    <definedName name="TTX" localSheetId="3">#REF!</definedName>
    <definedName name="TTX" localSheetId="17">#REF!</definedName>
    <definedName name="TTX" localSheetId="8">#REF!</definedName>
    <definedName name="TTX" localSheetId="4">#REF!</definedName>
    <definedName name="TTX" localSheetId="20">#REF!</definedName>
    <definedName name="TTX">#REF!</definedName>
    <definedName name="TTXGV" localSheetId="7">#REF!</definedName>
    <definedName name="TTXGV" localSheetId="15">#REF!</definedName>
    <definedName name="TTXGV" localSheetId="1">#REF!</definedName>
    <definedName name="TTXGV" localSheetId="18">#REF!</definedName>
    <definedName name="TTXGV" localSheetId="16">#REF!</definedName>
    <definedName name="TTXGV" localSheetId="6">#REF!</definedName>
    <definedName name="TTXGV" localSheetId="3">#REF!</definedName>
    <definedName name="TTXGV" localSheetId="17">#REF!</definedName>
    <definedName name="TTXGV" localSheetId="8">#REF!</definedName>
    <definedName name="TTXGV" localSheetId="4">#REF!</definedName>
    <definedName name="TTXGV" localSheetId="20">#REF!</definedName>
    <definedName name="TTXGV">#REF!</definedName>
    <definedName name="tvx" localSheetId="7">#REF!</definedName>
    <definedName name="tvx" localSheetId="15">#REF!</definedName>
    <definedName name="tvx" localSheetId="1">#REF!</definedName>
    <definedName name="tvx" localSheetId="18">#REF!</definedName>
    <definedName name="tvx" localSheetId="16">#REF!</definedName>
    <definedName name="tvx" localSheetId="6">#REF!</definedName>
    <definedName name="tvx" localSheetId="3">#REF!</definedName>
    <definedName name="tvx" localSheetId="17">#REF!</definedName>
    <definedName name="tvx" localSheetId="8">#REF!</definedName>
    <definedName name="tvx" localSheetId="4">#REF!</definedName>
    <definedName name="tvx" localSheetId="20">#REF!</definedName>
    <definedName name="tvx">#REF!</definedName>
    <definedName name="TXL" localSheetId="7">'[41]Accrual Jul''17'!TXL</definedName>
    <definedName name="TXL" localSheetId="1">'[41]Accrual Jul''17'!TXL</definedName>
    <definedName name="TXL" localSheetId="18">'[41]Accrual Jul''17'!TXL</definedName>
    <definedName name="TXL" localSheetId="16">'[41]Accrual Jul''17'!TXL</definedName>
    <definedName name="TXL" localSheetId="6">'[41]Accrual Jul''17'!TXL</definedName>
    <definedName name="TXL" localSheetId="3">'[41]Accrual Jul''17'!TXL</definedName>
    <definedName name="TXL" localSheetId="17">'[41]Accrual Jul''17'!TXL</definedName>
    <definedName name="TXL" localSheetId="8">'[41]Accrual Jul''17'!TXL</definedName>
    <definedName name="TXL" localSheetId="4">'[41]Accrual Jul''17'!TXL</definedName>
    <definedName name="TXL" localSheetId="20">'[41]Accrual Jul''17'!TXL</definedName>
    <definedName name="TXL">'[41]Accrual Jul''17'!TXL</definedName>
    <definedName name="ty_gia" localSheetId="5">[73]Expense!$B$3</definedName>
    <definedName name="ty_gia" localSheetId="3">[73]Expense!$B$3</definedName>
    <definedName name="ty_gia" localSheetId="17">[73]Expense!$B$3</definedName>
    <definedName name="ty_gia" localSheetId="8">[73]Expense!$B$3</definedName>
    <definedName name="ty_gia">[73]Expense!$B$3</definedName>
    <definedName name="ty_le" localSheetId="7">#REF!</definedName>
    <definedName name="ty_le" localSheetId="15">#REF!</definedName>
    <definedName name="ty_le" localSheetId="1">#REF!</definedName>
    <definedName name="ty_le" localSheetId="18">#REF!</definedName>
    <definedName name="ty_le" localSheetId="16">#REF!</definedName>
    <definedName name="ty_le" localSheetId="6">#REF!</definedName>
    <definedName name="ty_le" localSheetId="5">#REF!</definedName>
    <definedName name="ty_le" localSheetId="3">#REF!</definedName>
    <definedName name="ty_le" localSheetId="17">#REF!</definedName>
    <definedName name="ty_le" localSheetId="8">#REF!</definedName>
    <definedName name="ty_le" localSheetId="4">#REF!</definedName>
    <definedName name="ty_le" localSheetId="20">#REF!</definedName>
    <definedName name="ty_le">#REF!</definedName>
    <definedName name="ty_le_BTN" localSheetId="7">#REF!</definedName>
    <definedName name="ty_le_BTN" localSheetId="15">#REF!</definedName>
    <definedName name="ty_le_BTN" localSheetId="1">#REF!</definedName>
    <definedName name="ty_le_BTN" localSheetId="18">#REF!</definedName>
    <definedName name="ty_le_BTN" localSheetId="16">#REF!</definedName>
    <definedName name="ty_le_BTN" localSheetId="6">#REF!</definedName>
    <definedName name="ty_le_BTN" localSheetId="5">#REF!</definedName>
    <definedName name="ty_le_BTN" localSheetId="3">#REF!</definedName>
    <definedName name="ty_le_BTN" localSheetId="17">#REF!</definedName>
    <definedName name="ty_le_BTN" localSheetId="8">#REF!</definedName>
    <definedName name="ty_le_BTN" localSheetId="4">#REF!</definedName>
    <definedName name="ty_le_BTN" localSheetId="20">#REF!</definedName>
    <definedName name="ty_le_BTN">#REF!</definedName>
    <definedName name="tygia">"$#REF!.$R$3"</definedName>
    <definedName name="Tygia05" localSheetId="7">[74]Accounts!#REF!</definedName>
    <definedName name="Tygia05" localSheetId="15">[74]Accounts!#REF!</definedName>
    <definedName name="Tygia05" localSheetId="1">[74]Accounts!#REF!</definedName>
    <definedName name="Tygia05" localSheetId="18">[74]Accounts!#REF!</definedName>
    <definedName name="Tygia05" localSheetId="16">[74]Accounts!#REF!</definedName>
    <definedName name="Tygia05" localSheetId="6">[74]Accounts!#REF!</definedName>
    <definedName name="Tygia05" localSheetId="5">[74]Accounts!#REF!</definedName>
    <definedName name="Tygia05" localSheetId="3">[74]Accounts!#REF!</definedName>
    <definedName name="Tygia05" localSheetId="17">[74]Accounts!#REF!</definedName>
    <definedName name="Tygia05" localSheetId="8">[74]Accounts!#REF!</definedName>
    <definedName name="Tygia05" localSheetId="4">[74]Accounts!#REF!</definedName>
    <definedName name="Tygia05" localSheetId="20">[74]Accounts!#REF!</definedName>
    <definedName name="Tygia05">[74]Accounts!#REF!</definedName>
    <definedName name="TyGia06" localSheetId="7">#REF!</definedName>
    <definedName name="TyGia06" localSheetId="15">#REF!</definedName>
    <definedName name="TyGia06" localSheetId="1">#REF!</definedName>
    <definedName name="TyGia06" localSheetId="18">#REF!</definedName>
    <definedName name="TyGia06" localSheetId="16">#REF!</definedName>
    <definedName name="TyGia06" localSheetId="6">#REF!</definedName>
    <definedName name="TyGia06" localSheetId="5">#REF!</definedName>
    <definedName name="TyGia06" localSheetId="3">#REF!</definedName>
    <definedName name="TyGia06" localSheetId="17">#REF!</definedName>
    <definedName name="TyGia06" localSheetId="8">#REF!</definedName>
    <definedName name="TyGia06" localSheetId="4">#REF!</definedName>
    <definedName name="TyGia06" localSheetId="20">#REF!</definedName>
    <definedName name="TyGia06">#REF!</definedName>
    <definedName name="Tygia2002" localSheetId="7">#REF!</definedName>
    <definedName name="Tygia2002" localSheetId="15">#REF!</definedName>
    <definedName name="Tygia2002" localSheetId="1">#REF!</definedName>
    <definedName name="Tygia2002" localSheetId="18">#REF!</definedName>
    <definedName name="Tygia2002" localSheetId="16">#REF!</definedName>
    <definedName name="Tygia2002" localSheetId="6">#REF!</definedName>
    <definedName name="Tygia2002" localSheetId="5">#REF!</definedName>
    <definedName name="Tygia2002" localSheetId="3">#REF!</definedName>
    <definedName name="Tygia2002" localSheetId="17">#REF!</definedName>
    <definedName name="Tygia2002" localSheetId="8">#REF!</definedName>
    <definedName name="Tygia2002" localSheetId="4">#REF!</definedName>
    <definedName name="Tygia2002" localSheetId="20">#REF!</definedName>
    <definedName name="Tygia2002">#REF!</definedName>
    <definedName name="Tygia2003">[75]Chiphi!$C$35</definedName>
    <definedName name="Tygia2004" localSheetId="7">#REF!</definedName>
    <definedName name="Tygia2004" localSheetId="15">#REF!</definedName>
    <definedName name="Tygia2004" localSheetId="1">#REF!</definedName>
    <definedName name="Tygia2004" localSheetId="18">#REF!</definedName>
    <definedName name="Tygia2004" localSheetId="16">#REF!</definedName>
    <definedName name="Tygia2004" localSheetId="6">#REF!</definedName>
    <definedName name="Tygia2004" localSheetId="5">#REF!</definedName>
    <definedName name="Tygia2004" localSheetId="3">#REF!</definedName>
    <definedName name="Tygia2004" localSheetId="17">#REF!</definedName>
    <definedName name="Tygia2004" localSheetId="8">#REF!</definedName>
    <definedName name="Tygia2004" localSheetId="4">#REF!</definedName>
    <definedName name="Tygia2004" localSheetId="20">#REF!</definedName>
    <definedName name="Tygia2004">#REF!</definedName>
    <definedName name="TygiaChuyenDoi" localSheetId="7">#REF!</definedName>
    <definedName name="TygiaChuyenDoi" localSheetId="15">#REF!</definedName>
    <definedName name="TygiaChuyenDoi" localSheetId="1">#REF!</definedName>
    <definedName name="TygiaChuyenDoi" localSheetId="18">#REF!</definedName>
    <definedName name="TygiaChuyenDoi" localSheetId="16">#REF!</definedName>
    <definedName name="TygiaChuyenDoi" localSheetId="6">#REF!</definedName>
    <definedName name="TygiaChuyenDoi" localSheetId="5">#REF!</definedName>
    <definedName name="TygiaChuyenDoi" localSheetId="3">#REF!</definedName>
    <definedName name="TygiaChuyenDoi" localSheetId="17">#REF!</definedName>
    <definedName name="TygiaChuyenDoi" localSheetId="8">#REF!</definedName>
    <definedName name="TygiaChuyenDoi" localSheetId="4">#REF!</definedName>
    <definedName name="TygiaChuyenDoi" localSheetId="20">#REF!</definedName>
    <definedName name="TygiaChuyenDoi">#REF!</definedName>
    <definedName name="uhy" localSheetId="11">#REF!</definedName>
    <definedName name="uhy" localSheetId="7">#REF!</definedName>
    <definedName name="uhy" localSheetId="15">#REF!</definedName>
    <definedName name="uhy" localSheetId="1">#REF!</definedName>
    <definedName name="uhy" localSheetId="18">#REF!</definedName>
    <definedName name="uhy" localSheetId="16">#REF!</definedName>
    <definedName name="uhy" localSheetId="6">#REF!</definedName>
    <definedName name="uhy" localSheetId="3">#REF!</definedName>
    <definedName name="uhy" localSheetId="17">#REF!</definedName>
    <definedName name="uhy" localSheetId="8">#REF!</definedName>
    <definedName name="uhy" localSheetId="4">#REF!</definedName>
    <definedName name="uhy" localSheetId="20">#REF!</definedName>
    <definedName name="uhy">#REF!</definedName>
    <definedName name="UN_105_4_Door_XL_MT_Per_Unit">"$#REF!.$B$134:$U$163"</definedName>
    <definedName name="UN105_2_Door_Expedition_AT__Per_Unit">"$#REF!.$B$285:$U$313"</definedName>
    <definedName name="UN105_4_Door_Limited_AT__Per_Unit">"$#REF!.$B$255:$U$283"</definedName>
    <definedName name="UN105_4_Door_XL_AT__Per_Unit">"$#REF!.$B$165:$U$193"</definedName>
    <definedName name="UN105_4_Door_XLT_AT__Per_Unit">"$#REF!.$B$195:$U$223"</definedName>
    <definedName name="UN105_4_Door_XLT_MT__Diesel___Per_Unit">"$#REF!.$B$225:$U$253"</definedName>
    <definedName name="UN105_Explorer_Average__Per_Unit">"$#REF!.$B$105:$U$132"</definedName>
    <definedName name="USD_PL" localSheetId="11">#REF!</definedName>
    <definedName name="USD_PL" localSheetId="7">#REF!</definedName>
    <definedName name="USD_PL" localSheetId="15">#REF!</definedName>
    <definedName name="USD_PL" localSheetId="1">#REF!</definedName>
    <definedName name="USD_PL" localSheetId="18">#REF!</definedName>
    <definedName name="USD_PL" localSheetId="16">#REF!</definedName>
    <definedName name="USD_PL" localSheetId="6">#REF!</definedName>
    <definedName name="USD_PL" localSheetId="10">#REF!</definedName>
    <definedName name="USD_PL" localSheetId="14">#REF!</definedName>
    <definedName name="USD_PL" localSheetId="5">#REF!</definedName>
    <definedName name="USD_PL" localSheetId="3">#REF!</definedName>
    <definedName name="USD_PL" localSheetId="17">#REF!</definedName>
    <definedName name="USD_PL" localSheetId="8">#REF!</definedName>
    <definedName name="USD_PL" localSheetId="4">#REF!</definedName>
    <definedName name="USD_PL" localSheetId="20">#REF!</definedName>
    <definedName name="USD_PL">#REF!</definedName>
    <definedName name="UserCount" localSheetId="5">'[76]User Count Matrix'!$C$2:$AJ$8</definedName>
    <definedName name="UserCount" localSheetId="3">'[76]User Count Matrix'!$C$2:$AJ$8</definedName>
    <definedName name="UserCount" localSheetId="17">'[76]User Count Matrix'!$C$2:$AJ$8</definedName>
    <definedName name="UserCount" localSheetId="8">'[76]User Count Matrix'!$C$2:$AJ$8</definedName>
    <definedName name="UserCount">'[76]User Count Matrix'!$C$2:$AJ$8</definedName>
    <definedName name="userid_entry_Change" localSheetId="7">'2018-2022'!userid_entry_Change</definedName>
    <definedName name="userid_entry_Change" localSheetId="15">'2018-2022 SF'!userid_entry_Change</definedName>
    <definedName name="userid_entry_Change" localSheetId="16">B!userid_entry_Change</definedName>
    <definedName name="userid_entry_Change" localSheetId="5">[17]!userid_entry_Change</definedName>
    <definedName name="userid_entry_Change" localSheetId="3">[17]!userid_entry_Change</definedName>
    <definedName name="userid_entry_Change" localSheetId="17">[17]!userid_entry_Change</definedName>
    <definedName name="userid_entry_Change" localSheetId="8">[17]!userid_entry_Change</definedName>
    <definedName name="userid_entry_Change" localSheetId="4">Reconciliation!userid_entry_Change</definedName>
    <definedName name="userid_entry_Change" localSheetId="2">'Summary 2018 - MF'!userid_entry_Change</definedName>
    <definedName name="userid_entry_Change">[0]!userid_entry_Change</definedName>
    <definedName name="userid_entry_Change_10" localSheetId="7">'2018-2022'!userid_entry_Change_10</definedName>
    <definedName name="userid_entry_Change_10" localSheetId="15">'2018-2022 SF'!userid_entry_Change_10</definedName>
    <definedName name="userid_entry_Change_10" localSheetId="16">B!userid_entry_Change_10</definedName>
    <definedName name="userid_entry_Change_10" localSheetId="5">[17]!userid_entry_Change_10</definedName>
    <definedName name="userid_entry_Change_10" localSheetId="3">[17]!userid_entry_Change_10</definedName>
    <definedName name="userid_entry_Change_10" localSheetId="17">[17]!userid_entry_Change_10</definedName>
    <definedName name="userid_entry_Change_10" localSheetId="8">[17]!userid_entry_Change_10</definedName>
    <definedName name="userid_entry_Change_10" localSheetId="4">Reconciliation!userid_entry_Change_10</definedName>
    <definedName name="userid_entry_Change_10" localSheetId="2">'Summary 2018 - MF'!userid_entry_Change_10</definedName>
    <definedName name="userid_entry_Change_10">[0]!userid_entry_Change_10</definedName>
    <definedName name="ute4segment">"$#REF!.$#REF!$#REF!:$#REF!$#REF!"</definedName>
    <definedName name="ute6segment">"$#REF!.$#REF!$#REF!:$#REF!$#REF!"</definedName>
    <definedName name="Utilization" localSheetId="7">#REF!</definedName>
    <definedName name="Utilization" localSheetId="15">#REF!</definedName>
    <definedName name="Utilization" localSheetId="1">#REF!</definedName>
    <definedName name="Utilization" localSheetId="18">#REF!</definedName>
    <definedName name="Utilization" localSheetId="16">#REF!</definedName>
    <definedName name="Utilization" localSheetId="6">#REF!</definedName>
    <definedName name="Utilization" localSheetId="5">#REF!</definedName>
    <definedName name="Utilization" localSheetId="3">#REF!</definedName>
    <definedName name="Utilization" localSheetId="17">#REF!</definedName>
    <definedName name="Utilization" localSheetId="8">#REF!</definedName>
    <definedName name="Utilization" localSheetId="4">#REF!</definedName>
    <definedName name="Utilization" localSheetId="20">#REF!</definedName>
    <definedName name="Utilization">#REF!</definedName>
    <definedName name="Utilization2" localSheetId="7">#REF!</definedName>
    <definedName name="Utilization2" localSheetId="15">#REF!</definedName>
    <definedName name="Utilization2" localSheetId="1">#REF!</definedName>
    <definedName name="Utilization2" localSheetId="18">#REF!</definedName>
    <definedName name="Utilization2" localSheetId="16">#REF!</definedName>
    <definedName name="Utilization2" localSheetId="6">#REF!</definedName>
    <definedName name="Utilization2" localSheetId="5">#REF!</definedName>
    <definedName name="Utilization2" localSheetId="3">#REF!</definedName>
    <definedName name="Utilization2" localSheetId="17">#REF!</definedName>
    <definedName name="Utilization2" localSheetId="8">#REF!</definedName>
    <definedName name="Utilization2" localSheetId="4">#REF!</definedName>
    <definedName name="Utilization2" localSheetId="20">#REF!</definedName>
    <definedName name="Utilization2">#REF!</definedName>
    <definedName name="v" localSheetId="7">#REF!</definedName>
    <definedName name="v" localSheetId="15">#REF!</definedName>
    <definedName name="v" localSheetId="1">#REF!</definedName>
    <definedName name="v" localSheetId="18">#REF!</definedName>
    <definedName name="v" localSheetId="16">#REF!</definedName>
    <definedName name="v" localSheetId="6">#REF!</definedName>
    <definedName name="v" localSheetId="5">#REF!</definedName>
    <definedName name="v" localSheetId="3">#REF!</definedName>
    <definedName name="v" localSheetId="17">#REF!</definedName>
    <definedName name="v" localSheetId="8">#REF!</definedName>
    <definedName name="v" localSheetId="4">#REF!</definedName>
    <definedName name="v" localSheetId="20">#REF!</definedName>
    <definedName name="v">#REF!</definedName>
    <definedName name="VA" localSheetId="7">[12]ND!#REF!</definedName>
    <definedName name="VA" localSheetId="15">[12]ND!#REF!</definedName>
    <definedName name="VA" localSheetId="1">[12]ND!#REF!</definedName>
    <definedName name="VA" localSheetId="18">[12]ND!#REF!</definedName>
    <definedName name="VA" localSheetId="16">[12]ND!#REF!</definedName>
    <definedName name="VA" localSheetId="6">[12]ND!#REF!</definedName>
    <definedName name="VA" localSheetId="5">[12]ND!#REF!</definedName>
    <definedName name="VA" localSheetId="3">[12]ND!#REF!</definedName>
    <definedName name="VA" localSheetId="17">[12]ND!#REF!</definedName>
    <definedName name="VA" localSheetId="8">[12]ND!#REF!</definedName>
    <definedName name="VA" localSheetId="4">[12]ND!#REF!</definedName>
    <definedName name="VA" localSheetId="20">[12]ND!#REF!</definedName>
    <definedName name="VA">[12]ND!#REF!</definedName>
    <definedName name="VAÄT_LIEÄU">"ATRAM"</definedName>
    <definedName name="valcurr" localSheetId="7">'[10]page 6'!#REF!</definedName>
    <definedName name="valcurr" localSheetId="15">'[10]page 6'!#REF!</definedName>
    <definedName name="valcurr" localSheetId="1">'[10]page 6'!#REF!</definedName>
    <definedName name="valcurr" localSheetId="18">'[10]page 6'!#REF!</definedName>
    <definedName name="valcurr" localSheetId="16">'[10]page 6'!#REF!</definedName>
    <definedName name="valcurr" localSheetId="6">'[10]page 6'!#REF!</definedName>
    <definedName name="valcurr" localSheetId="5">'[10]page 6'!#REF!</definedName>
    <definedName name="valcurr" localSheetId="3">'[10]page 6'!#REF!</definedName>
    <definedName name="valcurr" localSheetId="17">'[10]page 6'!#REF!</definedName>
    <definedName name="valcurr" localSheetId="8">'[10]page 6'!#REF!</definedName>
    <definedName name="valcurr" localSheetId="4">'[10]page 6'!#REF!</definedName>
    <definedName name="valcurr" localSheetId="20">'[10]page 6'!#REF!</definedName>
    <definedName name="valcurr">'[10]page 6'!#REF!</definedName>
    <definedName name="VARIINST" localSheetId="7">#REF!</definedName>
    <definedName name="VARIINST" localSheetId="15">#REF!</definedName>
    <definedName name="VARIINST" localSheetId="1">#REF!</definedName>
    <definedName name="VARIINST" localSheetId="18">#REF!</definedName>
    <definedName name="VARIINST" localSheetId="16">#REF!</definedName>
    <definedName name="VARIINST" localSheetId="6">#REF!</definedName>
    <definedName name="VARIINST" localSheetId="5">#REF!</definedName>
    <definedName name="VARIINST" localSheetId="3">#REF!</definedName>
    <definedName name="VARIINST" localSheetId="17">#REF!</definedName>
    <definedName name="VARIINST" localSheetId="8">#REF!</definedName>
    <definedName name="VARIINST" localSheetId="4">#REF!</definedName>
    <definedName name="VARIINST" localSheetId="20">#REF!</definedName>
    <definedName name="VARIINST">#REF!</definedName>
    <definedName name="VARIPURC" localSheetId="7">#REF!</definedName>
    <definedName name="VARIPURC" localSheetId="15">#REF!</definedName>
    <definedName name="VARIPURC" localSheetId="1">#REF!</definedName>
    <definedName name="VARIPURC" localSheetId="18">#REF!</definedName>
    <definedName name="VARIPURC" localSheetId="16">#REF!</definedName>
    <definedName name="VARIPURC" localSheetId="6">#REF!</definedName>
    <definedName name="VARIPURC" localSheetId="5">#REF!</definedName>
    <definedName name="VARIPURC" localSheetId="3">#REF!</definedName>
    <definedName name="VARIPURC" localSheetId="17">#REF!</definedName>
    <definedName name="VARIPURC" localSheetId="8">#REF!</definedName>
    <definedName name="VARIPURC" localSheetId="4">#REF!</definedName>
    <definedName name="VARIPURC" localSheetId="20">#REF!</definedName>
    <definedName name="VARIPURC">#REF!</definedName>
    <definedName name="VAT" localSheetId="5">[15]LOOKUP!$E$1:$G$51</definedName>
    <definedName name="VAT" localSheetId="3">[15]LOOKUP!$E$1:$G$51</definedName>
    <definedName name="VAT" localSheetId="17">[15]LOOKUP!$E$1:$G$51</definedName>
    <definedName name="VAT" localSheetId="8">[15]LOOKUP!$E$1:$G$51</definedName>
    <definedName name="VAT">[15]LOOKUP!$E$1:$G$51</definedName>
    <definedName name="VAT_KC" localSheetId="5">[7]VAT01!$N$6</definedName>
    <definedName name="VAT_KC" localSheetId="3">[7]VAT01!$N$6</definedName>
    <definedName name="VAT_KC" localSheetId="17">[7]VAT01!$N$6</definedName>
    <definedName name="VAT_KC" localSheetId="8">[7]VAT01!$N$6</definedName>
    <definedName name="VAT_KC">[7]VAT01!$N$6</definedName>
    <definedName name="VAT_KD" localSheetId="5">[7]VAT01!$N$5</definedName>
    <definedName name="VAT_KD" localSheetId="3">[7]VAT01!$N$5</definedName>
    <definedName name="VAT_KD" localSheetId="17">[7]VAT01!$N$5</definedName>
    <definedName name="VAT_KD" localSheetId="8">[7]VAT01!$N$5</definedName>
    <definedName name="VAT_KD">[7]VAT01!$N$5</definedName>
    <definedName name="VAT_MALOAIBK" localSheetId="5">[7]VAT0203!$R$1</definedName>
    <definedName name="VAT_MALOAIBK" localSheetId="3">[7]VAT0203!$R$1</definedName>
    <definedName name="VAT_MALOAIBK" localSheetId="17">[7]VAT0203!$R$1</definedName>
    <definedName name="VAT_MALOAIBK" localSheetId="8">[7]VAT0203!$R$1</definedName>
    <definedName name="VAT_MALOAIBK">[7]VAT0203!$R$1</definedName>
    <definedName name="VAT_PMHT" localSheetId="7">#REF!</definedName>
    <definedName name="VAT_PMHT" localSheetId="15">#REF!</definedName>
    <definedName name="VAT_PMHT" localSheetId="1">#REF!</definedName>
    <definedName name="VAT_PMHT" localSheetId="18">#REF!</definedName>
    <definedName name="VAT_PMHT" localSheetId="16">#REF!</definedName>
    <definedName name="VAT_PMHT" localSheetId="6">#REF!</definedName>
    <definedName name="VAT_PMHT" localSheetId="5">#REF!</definedName>
    <definedName name="VAT_PMHT" localSheetId="3">#REF!</definedName>
    <definedName name="VAT_PMHT" localSheetId="17">#REF!</definedName>
    <definedName name="VAT_PMHT" localSheetId="8">#REF!</definedName>
    <definedName name="VAT_PMHT" localSheetId="4">#REF!</definedName>
    <definedName name="VAT_PMHT" localSheetId="20">#REF!</definedName>
    <definedName name="VAT_PMHT">#REF!</definedName>
    <definedName name="VAT_TBCS" localSheetId="7">#REF!</definedName>
    <definedName name="VAT_TBCS" localSheetId="15">#REF!</definedName>
    <definedName name="VAT_TBCS" localSheetId="1">#REF!</definedName>
    <definedName name="VAT_TBCS" localSheetId="18">#REF!</definedName>
    <definedName name="VAT_TBCS" localSheetId="16">#REF!</definedName>
    <definedName name="VAT_TBCS" localSheetId="6">#REF!</definedName>
    <definedName name="VAT_TBCS" localSheetId="5">#REF!</definedName>
    <definedName name="VAT_TBCS" localSheetId="3">#REF!</definedName>
    <definedName name="VAT_TBCS" localSheetId="17">#REF!</definedName>
    <definedName name="VAT_TBCS" localSheetId="8">#REF!</definedName>
    <definedName name="VAT_TBCS" localSheetId="4">#REF!</definedName>
    <definedName name="VAT_TBCS" localSheetId="20">#REF!</definedName>
    <definedName name="VAT_TBCS">#REF!</definedName>
    <definedName name="VAT_TBTH" localSheetId="7">#REF!</definedName>
    <definedName name="VAT_TBTH" localSheetId="15">#REF!</definedName>
    <definedName name="VAT_TBTH" localSheetId="1">#REF!</definedName>
    <definedName name="VAT_TBTH" localSheetId="18">#REF!</definedName>
    <definedName name="VAT_TBTH" localSheetId="16">#REF!</definedName>
    <definedName name="VAT_TBTH" localSheetId="6">#REF!</definedName>
    <definedName name="VAT_TBTH" localSheetId="5">#REF!</definedName>
    <definedName name="VAT_TBTH" localSheetId="3">#REF!</definedName>
    <definedName name="VAT_TBTH" localSheetId="17">#REF!</definedName>
    <definedName name="VAT_TBTH" localSheetId="8">#REF!</definedName>
    <definedName name="VAT_TBTH" localSheetId="4">#REF!</definedName>
    <definedName name="VAT_TBTH" localSheetId="20">#REF!</definedName>
    <definedName name="VAT_TBTH">#REF!</definedName>
    <definedName name="VC" localSheetId="7">#REF!</definedName>
    <definedName name="VC" localSheetId="15">#REF!</definedName>
    <definedName name="VC" localSheetId="1">#REF!</definedName>
    <definedName name="VC" localSheetId="18">#REF!</definedName>
    <definedName name="VC" localSheetId="16">#REF!</definedName>
    <definedName name="VC" localSheetId="6">#REF!</definedName>
    <definedName name="VC" localSheetId="3">#REF!</definedName>
    <definedName name="VC" localSheetId="17">#REF!</definedName>
    <definedName name="VC" localSheetId="8">#REF!</definedName>
    <definedName name="VC" localSheetId="4">#REF!</definedName>
    <definedName name="VC" localSheetId="20">#REF!</definedName>
    <definedName name="VC">#REF!</definedName>
    <definedName name="vdkt">[32]gvl!$Q$55</definedName>
    <definedName name="VendorCol" localSheetId="7">#REF!</definedName>
    <definedName name="VendorCol" localSheetId="15">#REF!</definedName>
    <definedName name="VendorCol" localSheetId="1">#REF!</definedName>
    <definedName name="VendorCol" localSheetId="18">#REF!</definedName>
    <definedName name="VendorCol" localSheetId="16">#REF!</definedName>
    <definedName name="VendorCol" localSheetId="6">#REF!</definedName>
    <definedName name="VendorCol" localSheetId="5">#REF!</definedName>
    <definedName name="VendorCol" localSheetId="3">#REF!</definedName>
    <definedName name="VendorCol" localSheetId="17">#REF!</definedName>
    <definedName name="VendorCol" localSheetId="8">#REF!</definedName>
    <definedName name="VendorCol" localSheetId="4">#REF!</definedName>
    <definedName name="VendorCol" localSheetId="20">#REF!</definedName>
    <definedName name="VendorCol">#REF!</definedName>
    <definedName name="VN" localSheetId="7">#REF!</definedName>
    <definedName name="VN" localSheetId="15">#REF!</definedName>
    <definedName name="VN" localSheetId="1">#REF!</definedName>
    <definedName name="VN" localSheetId="18">#REF!</definedName>
    <definedName name="VN" localSheetId="16">#REF!</definedName>
    <definedName name="VN" localSheetId="6">#REF!</definedName>
    <definedName name="VN" localSheetId="5">#REF!</definedName>
    <definedName name="VN" localSheetId="3">#REF!</definedName>
    <definedName name="VN" localSheetId="17">#REF!</definedName>
    <definedName name="VN" localSheetId="8">#REF!</definedName>
    <definedName name="VN" localSheetId="4">#REF!</definedName>
    <definedName name="VN" localSheetId="20">#REF!</definedName>
    <definedName name="VN">#REF!</definedName>
    <definedName name="VND_PL" localSheetId="11">#REF!</definedName>
    <definedName name="VND_PL" localSheetId="7">#REF!</definedName>
    <definedName name="VND_PL" localSheetId="15">#REF!</definedName>
    <definedName name="VND_PL" localSheetId="1">#REF!</definedName>
    <definedName name="VND_PL" localSheetId="18">#REF!</definedName>
    <definedName name="VND_PL" localSheetId="16">#REF!</definedName>
    <definedName name="VND_PL" localSheetId="6">#REF!</definedName>
    <definedName name="VND_PL" localSheetId="10">#REF!</definedName>
    <definedName name="VND_PL" localSheetId="14">#REF!</definedName>
    <definedName name="VND_PL" localSheetId="5">#REF!</definedName>
    <definedName name="VND_PL" localSheetId="3">#REF!</definedName>
    <definedName name="VND_PL" localSheetId="17">#REF!</definedName>
    <definedName name="VND_PL" localSheetId="8">#REF!</definedName>
    <definedName name="VND_PL" localSheetId="4">#REF!</definedName>
    <definedName name="VND_PL" localSheetId="20">#REF!</definedName>
    <definedName name="VND_PL">#REF!</definedName>
    <definedName name="vpx" localSheetId="7">#REF!</definedName>
    <definedName name="vpx" localSheetId="15">#REF!</definedName>
    <definedName name="vpx" localSheetId="1">#REF!</definedName>
    <definedName name="vpx" localSheetId="18">#REF!</definedName>
    <definedName name="vpx" localSheetId="16">#REF!</definedName>
    <definedName name="vpx" localSheetId="6">#REF!</definedName>
    <definedName name="vpx" localSheetId="3">#REF!</definedName>
    <definedName name="vpx" localSheetId="17">#REF!</definedName>
    <definedName name="vpx" localSheetId="8">#REF!</definedName>
    <definedName name="vpx" localSheetId="4">#REF!</definedName>
    <definedName name="vpx" localSheetId="20">#REF!</definedName>
    <definedName name="vpx">#REF!</definedName>
    <definedName name="W" localSheetId="7">#REF!</definedName>
    <definedName name="W" localSheetId="15">#REF!</definedName>
    <definedName name="W" localSheetId="1">#REF!</definedName>
    <definedName name="W" localSheetId="18">#REF!</definedName>
    <definedName name="W" localSheetId="16">#REF!</definedName>
    <definedName name="W" localSheetId="6">#REF!</definedName>
    <definedName name="W" localSheetId="5">#REF!</definedName>
    <definedName name="W" localSheetId="3">#REF!</definedName>
    <definedName name="W" localSheetId="17">#REF!</definedName>
    <definedName name="W" localSheetId="8">#REF!</definedName>
    <definedName name="W" localSheetId="4">#REF!</definedName>
    <definedName name="W" localSheetId="20">#REF!</definedName>
    <definedName name="W">#REF!</definedName>
    <definedName name="WEEKDAY">"$#REF!.$Z$3:$AA$7"</definedName>
    <definedName name="whateva" localSheetId="7">#REF!</definedName>
    <definedName name="whateva" localSheetId="15">#REF!</definedName>
    <definedName name="whateva" localSheetId="1">#REF!</definedName>
    <definedName name="whateva" localSheetId="18">#REF!</definedName>
    <definedName name="whateva" localSheetId="16">#REF!</definedName>
    <definedName name="whateva" localSheetId="6">#REF!</definedName>
    <definedName name="whateva" localSheetId="5">#REF!</definedName>
    <definedName name="whateva" localSheetId="3">#REF!</definedName>
    <definedName name="whateva" localSheetId="17">#REF!</definedName>
    <definedName name="whateva" localSheetId="8">#REF!</definedName>
    <definedName name="whateva" localSheetId="4">#REF!</definedName>
    <definedName name="whateva" localSheetId="20">#REF!</definedName>
    <definedName name="whateva">#REF!</definedName>
    <definedName name="WHO">"$#REF!.$#REF!$#REF!:$#REF!$#REF!"</definedName>
    <definedName name="wholesale">"wholesal.xlm"</definedName>
    <definedName name="wholesale_10">"wholesal.xlm"</definedName>
    <definedName name="wwwwwwww" localSheetId="7">[26]노무비!#REF!</definedName>
    <definedName name="wwwwwwww" localSheetId="15">[26]노무비!#REF!</definedName>
    <definedName name="wwwwwwww" localSheetId="1">[26]노무비!#REF!</definedName>
    <definedName name="wwwwwwww" localSheetId="18">[26]노무비!#REF!</definedName>
    <definedName name="wwwwwwww" localSheetId="16">[26]노무비!#REF!</definedName>
    <definedName name="wwwwwwww" localSheetId="6">[26]노무비!#REF!</definedName>
    <definedName name="wwwwwwww" localSheetId="5">[26]노무비!#REF!</definedName>
    <definedName name="wwwwwwww" localSheetId="3">[26]노무비!#REF!</definedName>
    <definedName name="wwwwwwww" localSheetId="17">[26]노무비!#REF!</definedName>
    <definedName name="wwwwwwww" localSheetId="8">[26]노무비!#REF!</definedName>
    <definedName name="wwwwwwww" localSheetId="4">[26]노무비!#REF!</definedName>
    <definedName name="wwwwwwww" localSheetId="20">[26]노무비!#REF!</definedName>
    <definedName name="wwwwwwww">[26]노무비!#REF!</definedName>
    <definedName name="x" localSheetId="11" hidden="1">#REF!</definedName>
    <definedName name="X" localSheetId="7">#REF!</definedName>
    <definedName name="X" localSheetId="15">#REF!</definedName>
    <definedName name="X" localSheetId="1">#REF!</definedName>
    <definedName name="X" localSheetId="18">#REF!</definedName>
    <definedName name="X" localSheetId="16">#REF!</definedName>
    <definedName name="X" localSheetId="6">#REF!</definedName>
    <definedName name="X" localSheetId="5">#REF!</definedName>
    <definedName name="X" localSheetId="3">#REF!</definedName>
    <definedName name="X" localSheetId="17">#REF!</definedName>
    <definedName name="X" localSheetId="8">#REF!</definedName>
    <definedName name="X" localSheetId="4">#REF!</definedName>
    <definedName name="X" localSheetId="20">#REF!</definedName>
    <definedName name="X">#REF!</definedName>
    <definedName name="x1pind" localSheetId="7">#REF!</definedName>
    <definedName name="x1pind" localSheetId="15">#REF!</definedName>
    <definedName name="x1pind" localSheetId="1">#REF!</definedName>
    <definedName name="x1pind" localSheetId="18">#REF!</definedName>
    <definedName name="x1pind" localSheetId="16">#REF!</definedName>
    <definedName name="x1pind" localSheetId="6">#REF!</definedName>
    <definedName name="x1pind" localSheetId="3">#REF!</definedName>
    <definedName name="x1pind" localSheetId="17">#REF!</definedName>
    <definedName name="x1pind" localSheetId="8">#REF!</definedName>
    <definedName name="x1pind" localSheetId="4">#REF!</definedName>
    <definedName name="x1pind" localSheetId="20">#REF!</definedName>
    <definedName name="x1pind">#REF!</definedName>
    <definedName name="x1ping" localSheetId="7">#REF!</definedName>
    <definedName name="x1ping" localSheetId="15">#REF!</definedName>
    <definedName name="x1ping" localSheetId="1">#REF!</definedName>
    <definedName name="x1ping" localSheetId="18">#REF!</definedName>
    <definedName name="x1ping" localSheetId="16">#REF!</definedName>
    <definedName name="x1ping" localSheetId="6">#REF!</definedName>
    <definedName name="x1ping" localSheetId="3">#REF!</definedName>
    <definedName name="x1ping" localSheetId="17">#REF!</definedName>
    <definedName name="x1ping" localSheetId="8">#REF!</definedName>
    <definedName name="x1ping" localSheetId="4">#REF!</definedName>
    <definedName name="x1ping" localSheetId="20">#REF!</definedName>
    <definedName name="x1ping">#REF!</definedName>
    <definedName name="x1pint" localSheetId="7">#REF!</definedName>
    <definedName name="x1pint" localSheetId="15">#REF!</definedName>
    <definedName name="x1pint" localSheetId="1">#REF!</definedName>
    <definedName name="x1pint" localSheetId="18">#REF!</definedName>
    <definedName name="x1pint" localSheetId="16">#REF!</definedName>
    <definedName name="x1pint" localSheetId="6">#REF!</definedName>
    <definedName name="x1pint" localSheetId="3">#REF!</definedName>
    <definedName name="x1pint" localSheetId="17">#REF!</definedName>
    <definedName name="x1pint" localSheetId="8">#REF!</definedName>
    <definedName name="x1pint" localSheetId="4">#REF!</definedName>
    <definedName name="x1pint" localSheetId="20">#REF!</definedName>
    <definedName name="x1pint">#REF!</definedName>
    <definedName name="XCCT">0.5</definedName>
    <definedName name="xfco" localSheetId="7">#REF!</definedName>
    <definedName name="xfco" localSheetId="15">#REF!</definedName>
    <definedName name="xfco" localSheetId="1">#REF!</definedName>
    <definedName name="xfco" localSheetId="18">#REF!</definedName>
    <definedName name="xfco" localSheetId="16">#REF!</definedName>
    <definedName name="xfco" localSheetId="6">#REF!</definedName>
    <definedName name="xfco" localSheetId="3">#REF!</definedName>
    <definedName name="xfco" localSheetId="17">#REF!</definedName>
    <definedName name="xfco" localSheetId="8">#REF!</definedName>
    <definedName name="xfco" localSheetId="4">#REF!</definedName>
    <definedName name="xfco" localSheetId="20">#REF!</definedName>
    <definedName name="xfco">#REF!</definedName>
    <definedName name="XFCOnc" localSheetId="7">#REF!</definedName>
    <definedName name="XFCOnc" localSheetId="15">#REF!</definedName>
    <definedName name="XFCOnc" localSheetId="1">#REF!</definedName>
    <definedName name="XFCOnc" localSheetId="18">#REF!</definedName>
    <definedName name="XFCOnc" localSheetId="16">#REF!</definedName>
    <definedName name="XFCOnc" localSheetId="6">#REF!</definedName>
    <definedName name="XFCOnc" localSheetId="3">#REF!</definedName>
    <definedName name="XFCOnc" localSheetId="17">#REF!</definedName>
    <definedName name="XFCOnc" localSheetId="8">#REF!</definedName>
    <definedName name="XFCOnc" localSheetId="4">#REF!</definedName>
    <definedName name="XFCOnc" localSheetId="20">#REF!</definedName>
    <definedName name="XFCOnc">#REF!</definedName>
    <definedName name="XFCOvl" localSheetId="7">#REF!</definedName>
    <definedName name="XFCOvl" localSheetId="15">#REF!</definedName>
    <definedName name="XFCOvl" localSheetId="1">#REF!</definedName>
    <definedName name="XFCOvl" localSheetId="18">#REF!</definedName>
    <definedName name="XFCOvl" localSheetId="16">#REF!</definedName>
    <definedName name="XFCOvl" localSheetId="6">#REF!</definedName>
    <definedName name="XFCOvl" localSheetId="3">#REF!</definedName>
    <definedName name="XFCOvl" localSheetId="17">#REF!</definedName>
    <definedName name="XFCOvl" localSheetId="8">#REF!</definedName>
    <definedName name="XFCOvl" localSheetId="4">#REF!</definedName>
    <definedName name="XFCOvl" localSheetId="20">#REF!</definedName>
    <definedName name="XFCOvl">#REF!</definedName>
    <definedName name="xhn" localSheetId="7">#REF!</definedName>
    <definedName name="xhn" localSheetId="15">#REF!</definedName>
    <definedName name="xhn" localSheetId="1">#REF!</definedName>
    <definedName name="xhn" localSheetId="18">#REF!</definedName>
    <definedName name="xhn" localSheetId="16">#REF!</definedName>
    <definedName name="xhn" localSheetId="6">#REF!</definedName>
    <definedName name="xhn" localSheetId="3">#REF!</definedName>
    <definedName name="xhn" localSheetId="17">#REF!</definedName>
    <definedName name="xhn" localSheetId="8">#REF!</definedName>
    <definedName name="xhn" localSheetId="4">#REF!</definedName>
    <definedName name="xhn" localSheetId="20">#REF!</definedName>
    <definedName name="xhn">#REF!</definedName>
    <definedName name="xig" localSheetId="7">#REF!</definedName>
    <definedName name="xig" localSheetId="15">#REF!</definedName>
    <definedName name="xig" localSheetId="1">#REF!</definedName>
    <definedName name="xig" localSheetId="18">#REF!</definedName>
    <definedName name="xig" localSheetId="16">#REF!</definedName>
    <definedName name="xig" localSheetId="6">#REF!</definedName>
    <definedName name="xig" localSheetId="3">#REF!</definedName>
    <definedName name="xig" localSheetId="17">#REF!</definedName>
    <definedName name="xig" localSheetId="8">#REF!</definedName>
    <definedName name="xig" localSheetId="4">#REF!</definedName>
    <definedName name="xig" localSheetId="20">#REF!</definedName>
    <definedName name="xig">#REF!</definedName>
    <definedName name="xig1" localSheetId="7">#REF!</definedName>
    <definedName name="xig1" localSheetId="15">#REF!</definedName>
    <definedName name="xig1" localSheetId="1">#REF!</definedName>
    <definedName name="xig1" localSheetId="18">#REF!</definedName>
    <definedName name="xig1" localSheetId="16">#REF!</definedName>
    <definedName name="xig1" localSheetId="6">#REF!</definedName>
    <definedName name="xig1" localSheetId="3">#REF!</definedName>
    <definedName name="xig1" localSheetId="17">#REF!</definedName>
    <definedName name="xig1" localSheetId="8">#REF!</definedName>
    <definedName name="xig1" localSheetId="4">#REF!</definedName>
    <definedName name="xig1" localSheetId="20">#REF!</definedName>
    <definedName name="xig1">#REF!</definedName>
    <definedName name="xin" localSheetId="7">#REF!</definedName>
    <definedName name="xin" localSheetId="15">#REF!</definedName>
    <definedName name="xin" localSheetId="1">#REF!</definedName>
    <definedName name="xin" localSheetId="18">#REF!</definedName>
    <definedName name="xin" localSheetId="16">#REF!</definedName>
    <definedName name="xin" localSheetId="6">#REF!</definedName>
    <definedName name="xin" localSheetId="3">#REF!</definedName>
    <definedName name="xin" localSheetId="17">#REF!</definedName>
    <definedName name="xin" localSheetId="8">#REF!</definedName>
    <definedName name="xin" localSheetId="4">#REF!</definedName>
    <definedName name="xin" localSheetId="20">#REF!</definedName>
    <definedName name="xin">#REF!</definedName>
    <definedName name="xin190" localSheetId="7">#REF!</definedName>
    <definedName name="xin190" localSheetId="15">#REF!</definedName>
    <definedName name="xin190" localSheetId="1">#REF!</definedName>
    <definedName name="xin190" localSheetId="18">#REF!</definedName>
    <definedName name="xin190" localSheetId="16">#REF!</definedName>
    <definedName name="xin190" localSheetId="6">#REF!</definedName>
    <definedName name="xin190" localSheetId="3">#REF!</definedName>
    <definedName name="xin190" localSheetId="17">#REF!</definedName>
    <definedName name="xin190" localSheetId="8">#REF!</definedName>
    <definedName name="xin190" localSheetId="4">#REF!</definedName>
    <definedName name="xin190" localSheetId="20">#REF!</definedName>
    <definedName name="xin190">#REF!</definedName>
    <definedName name="xind" localSheetId="7">#REF!</definedName>
    <definedName name="xind" localSheetId="15">#REF!</definedName>
    <definedName name="xind" localSheetId="1">#REF!</definedName>
    <definedName name="xind" localSheetId="18">#REF!</definedName>
    <definedName name="xind" localSheetId="16">#REF!</definedName>
    <definedName name="xind" localSheetId="6">#REF!</definedName>
    <definedName name="xind" localSheetId="3">#REF!</definedName>
    <definedName name="xind" localSheetId="17">#REF!</definedName>
    <definedName name="xind" localSheetId="8">#REF!</definedName>
    <definedName name="xind" localSheetId="4">#REF!</definedName>
    <definedName name="xind" localSheetId="20">#REF!</definedName>
    <definedName name="xind">#REF!</definedName>
    <definedName name="XINnc" localSheetId="7">#REF!</definedName>
    <definedName name="XINnc" localSheetId="15">#REF!</definedName>
    <definedName name="XINnc" localSheetId="1">#REF!</definedName>
    <definedName name="XINnc" localSheetId="18">#REF!</definedName>
    <definedName name="XINnc" localSheetId="16">#REF!</definedName>
    <definedName name="XINnc" localSheetId="6">#REF!</definedName>
    <definedName name="XINnc" localSheetId="3">#REF!</definedName>
    <definedName name="XINnc" localSheetId="17">#REF!</definedName>
    <definedName name="XINnc" localSheetId="8">#REF!</definedName>
    <definedName name="XINnc" localSheetId="4">#REF!</definedName>
    <definedName name="XINnc" localSheetId="20">#REF!</definedName>
    <definedName name="XINnc">#REF!</definedName>
    <definedName name="XINvl" localSheetId="7">#REF!</definedName>
    <definedName name="XINvl" localSheetId="15">#REF!</definedName>
    <definedName name="XINvl" localSheetId="1">#REF!</definedName>
    <definedName name="XINvl" localSheetId="18">#REF!</definedName>
    <definedName name="XINvl" localSheetId="16">#REF!</definedName>
    <definedName name="XINvl" localSheetId="6">#REF!</definedName>
    <definedName name="XINvl" localSheetId="3">#REF!</definedName>
    <definedName name="XINvl" localSheetId="17">#REF!</definedName>
    <definedName name="XINvl" localSheetId="8">#REF!</definedName>
    <definedName name="XINvl" localSheetId="4">#REF!</definedName>
    <definedName name="XINvl" localSheetId="20">#REF!</definedName>
    <definedName name="XINvl">#REF!</definedName>
    <definedName name="xit" localSheetId="7">#REF!</definedName>
    <definedName name="xit" localSheetId="15">#REF!</definedName>
    <definedName name="xit" localSheetId="1">#REF!</definedName>
    <definedName name="xit" localSheetId="18">#REF!</definedName>
    <definedName name="xit" localSheetId="16">#REF!</definedName>
    <definedName name="xit" localSheetId="6">#REF!</definedName>
    <definedName name="xit" localSheetId="3">#REF!</definedName>
    <definedName name="xit" localSheetId="17">#REF!</definedName>
    <definedName name="xit" localSheetId="8">#REF!</definedName>
    <definedName name="xit" localSheetId="4">#REF!</definedName>
    <definedName name="xit" localSheetId="20">#REF!</definedName>
    <definedName name="xit">#REF!</definedName>
    <definedName name="xit1" localSheetId="7">#REF!</definedName>
    <definedName name="xit1" localSheetId="15">#REF!</definedName>
    <definedName name="xit1" localSheetId="1">#REF!</definedName>
    <definedName name="xit1" localSheetId="18">#REF!</definedName>
    <definedName name="xit1" localSheetId="16">#REF!</definedName>
    <definedName name="xit1" localSheetId="6">#REF!</definedName>
    <definedName name="xit1" localSheetId="3">#REF!</definedName>
    <definedName name="xit1" localSheetId="17">#REF!</definedName>
    <definedName name="xit1" localSheetId="8">#REF!</definedName>
    <definedName name="xit1" localSheetId="4">#REF!</definedName>
    <definedName name="xit1" localSheetId="20">#REF!</definedName>
    <definedName name="xit1">#REF!</definedName>
    <definedName name="XK_KHOXUAT" localSheetId="7">#REF!</definedName>
    <definedName name="XK_KHOXUAT" localSheetId="15">#REF!</definedName>
    <definedName name="XK_KHOXUAT" localSheetId="1">#REF!</definedName>
    <definedName name="XK_KHOXUAT" localSheetId="18">#REF!</definedName>
    <definedName name="XK_KHOXUAT" localSheetId="16">#REF!</definedName>
    <definedName name="XK_KHOXUAT" localSheetId="6">#REF!</definedName>
    <definedName name="XK_KHOXUAT" localSheetId="14">#REF!</definedName>
    <definedName name="XK_KHOXUAT" localSheetId="5">#REF!</definedName>
    <definedName name="XK_KHOXUAT" localSheetId="3">#REF!</definedName>
    <definedName name="XK_KHOXUAT" localSheetId="17">#REF!</definedName>
    <definedName name="XK_KHOXUAT" localSheetId="8">#REF!</definedName>
    <definedName name="XK_KHOXUAT" localSheetId="4">#REF!</definedName>
    <definedName name="XK_KHOXUAT" localSheetId="20">#REF!</definedName>
    <definedName name="XK_KHOXUAT">#REF!</definedName>
    <definedName name="XL" localSheetId="7">#REF!</definedName>
    <definedName name="XL" localSheetId="15">#REF!</definedName>
    <definedName name="XL" localSheetId="1">#REF!</definedName>
    <definedName name="XL" localSheetId="18">#REF!</definedName>
    <definedName name="XL" localSheetId="16">#REF!</definedName>
    <definedName name="XL" localSheetId="6">#REF!</definedName>
    <definedName name="XL" localSheetId="5">#REF!</definedName>
    <definedName name="XL" localSheetId="3">#REF!</definedName>
    <definedName name="XL" localSheetId="17">#REF!</definedName>
    <definedName name="XL" localSheetId="8">#REF!</definedName>
    <definedName name="XL" localSheetId="4">#REF!</definedName>
    <definedName name="XL" localSheetId="20">#REF!</definedName>
    <definedName name="XL">#REF!</definedName>
    <definedName name="xlbs" localSheetId="7">#REF!</definedName>
    <definedName name="xlbs" localSheetId="15">#REF!</definedName>
    <definedName name="xlbs" localSheetId="1">#REF!</definedName>
    <definedName name="xlbs" localSheetId="18">#REF!</definedName>
    <definedName name="xlbs" localSheetId="16">#REF!</definedName>
    <definedName name="xlbs" localSheetId="6">#REF!</definedName>
    <definedName name="xlbs" localSheetId="3">#REF!</definedName>
    <definedName name="xlbs" localSheetId="17">#REF!</definedName>
    <definedName name="xlbs" localSheetId="8">#REF!</definedName>
    <definedName name="xlbs" localSheetId="4">#REF!</definedName>
    <definedName name="xlbs" localSheetId="20">#REF!</definedName>
    <definedName name="xlbs">#REF!</definedName>
    <definedName name="xm">[35]gvl!$N$16</definedName>
    <definedName name="xt" localSheetId="7">#REF!</definedName>
    <definedName name="xt" localSheetId="15">#REF!</definedName>
    <definedName name="xt" localSheetId="1">#REF!</definedName>
    <definedName name="xt" localSheetId="18">#REF!</definedName>
    <definedName name="xt" localSheetId="16">#REF!</definedName>
    <definedName name="xt" localSheetId="6">#REF!</definedName>
    <definedName name="xt" localSheetId="3">#REF!</definedName>
    <definedName name="xt" localSheetId="17">#REF!</definedName>
    <definedName name="xt" localSheetId="8">#REF!</definedName>
    <definedName name="xt" localSheetId="4">#REF!</definedName>
    <definedName name="xt" localSheetId="20">#REF!</definedName>
    <definedName name="xt">#REF!</definedName>
    <definedName name="xuat_hien">[77]DTCT!$D$7:$D$227</definedName>
    <definedName name="YOYandITI">"$#REF!.$#REF!$#REF!:$#REF!$#REF!"</definedName>
    <definedName name="z" localSheetId="7">#REF!</definedName>
    <definedName name="z" localSheetId="15">#REF!</definedName>
    <definedName name="z" localSheetId="1">#REF!</definedName>
    <definedName name="z" localSheetId="18">#REF!</definedName>
    <definedName name="z" localSheetId="16">#REF!</definedName>
    <definedName name="z" localSheetId="6">#REF!</definedName>
    <definedName name="z" localSheetId="5">'[18]#REF'!#REF!</definedName>
    <definedName name="z" localSheetId="3">'[18]#REF'!#REF!</definedName>
    <definedName name="z" localSheetId="17">'[18]#REF'!#REF!</definedName>
    <definedName name="z" localSheetId="8">'[18]#REF'!#REF!</definedName>
    <definedName name="z" localSheetId="4">#REF!</definedName>
    <definedName name="z" localSheetId="20">#REF!</definedName>
    <definedName name="z">#REF!</definedName>
    <definedName name="ZXD" localSheetId="7">#REF!</definedName>
    <definedName name="ZXD" localSheetId="15">#REF!</definedName>
    <definedName name="ZXD" localSheetId="1">#REF!</definedName>
    <definedName name="ZXD" localSheetId="18">#REF!</definedName>
    <definedName name="ZXD" localSheetId="16">#REF!</definedName>
    <definedName name="ZXD" localSheetId="6">#REF!</definedName>
    <definedName name="ZXD" localSheetId="3">#REF!</definedName>
    <definedName name="ZXD" localSheetId="17">#REF!</definedName>
    <definedName name="ZXD" localSheetId="8">#REF!</definedName>
    <definedName name="ZXD" localSheetId="4">#REF!</definedName>
    <definedName name="ZXD" localSheetId="20">#REF!</definedName>
    <definedName name="ZXD">#REF!</definedName>
    <definedName name="ZYX" localSheetId="7">#REF!</definedName>
    <definedName name="ZYX" localSheetId="15">#REF!</definedName>
    <definedName name="ZYX" localSheetId="1">#REF!</definedName>
    <definedName name="ZYX" localSheetId="18">#REF!</definedName>
    <definedName name="ZYX" localSheetId="16">#REF!</definedName>
    <definedName name="ZYX" localSheetId="6">#REF!</definedName>
    <definedName name="ZYX" localSheetId="5">#REF!</definedName>
    <definedName name="ZYX" localSheetId="3">#REF!</definedName>
    <definedName name="ZYX" localSheetId="17">#REF!</definedName>
    <definedName name="ZYX" localSheetId="8">#REF!</definedName>
    <definedName name="ZYX" localSheetId="4">#REF!</definedName>
    <definedName name="ZYX" localSheetId="20">#REF!</definedName>
    <definedName name="ZYX">#REF!</definedName>
    <definedName name="ZZZ" localSheetId="7">#REF!</definedName>
    <definedName name="ZZZ" localSheetId="15">#REF!</definedName>
    <definedName name="ZZZ" localSheetId="1">#REF!</definedName>
    <definedName name="ZZZ" localSheetId="18">#REF!</definedName>
    <definedName name="ZZZ" localSheetId="16">#REF!</definedName>
    <definedName name="ZZZ" localSheetId="6">#REF!</definedName>
    <definedName name="ZZZ" localSheetId="5">#REF!</definedName>
    <definedName name="ZZZ" localSheetId="3">#REF!</definedName>
    <definedName name="ZZZ" localSheetId="17">#REF!</definedName>
    <definedName name="ZZZ" localSheetId="8">#REF!</definedName>
    <definedName name="ZZZ" localSheetId="4">#REF!</definedName>
    <definedName name="ZZZ" localSheetId="20">#REF!</definedName>
    <definedName name="ZZZ">#REF!</definedName>
    <definedName name="건축">#N/A</definedName>
    <definedName name="견적금액">#N/A</definedName>
    <definedName name="결제">#N/A</definedName>
    <definedName name="결제금액">#N/A</definedName>
    <definedName name="공사잔금">#N/A</definedName>
    <definedName name="공종">#N/A</definedName>
    <definedName name="규격">#N/A</definedName>
    <definedName name="ㄴㄴ" localSheetId="7">'[78]인원계획-미화'!#REF!</definedName>
    <definedName name="ㄴㄴ" localSheetId="15">'[78]인원계획-미화'!#REF!</definedName>
    <definedName name="ㄴㄴ" localSheetId="1">'[78]인원계획-미화'!#REF!</definedName>
    <definedName name="ㄴㄴ" localSheetId="18">'[78]인원계획-미화'!#REF!</definedName>
    <definedName name="ㄴㄴ" localSheetId="16">'[78]인원계획-미화'!#REF!</definedName>
    <definedName name="ㄴㄴ" localSheetId="6">'[78]인원계획-미화'!#REF!</definedName>
    <definedName name="ㄴㄴ" localSheetId="5">'[78]인원계획-미화'!#REF!</definedName>
    <definedName name="ㄴㄴ" localSheetId="3">'[78]인원계획-미화'!#REF!</definedName>
    <definedName name="ㄴㄴ" localSheetId="17">'[78]인원계획-미화'!#REF!</definedName>
    <definedName name="ㄴㄴ" localSheetId="8">'[78]인원계획-미화'!#REF!</definedName>
    <definedName name="ㄴㄴ" localSheetId="4">'[78]인원계획-미화'!#REF!</definedName>
    <definedName name="ㄴㄴ" localSheetId="20">'[78]인원계획-미화'!#REF!</definedName>
    <definedName name="ㄴㄴ">'[78]인원계획-미화'!#REF!</definedName>
    <definedName name="ㄴㄴㄴㄴ" localSheetId="7">[79]노무비!#REF!</definedName>
    <definedName name="ㄴㄴㄴㄴ" localSheetId="15">[79]노무비!#REF!</definedName>
    <definedName name="ㄴㄴㄴㄴ" localSheetId="1">[79]노무비!#REF!</definedName>
    <definedName name="ㄴㄴㄴㄴ" localSheetId="18">[79]노무비!#REF!</definedName>
    <definedName name="ㄴㄴㄴㄴ" localSheetId="16">[79]노무비!#REF!</definedName>
    <definedName name="ㄴㄴㄴㄴ" localSheetId="6">[79]노무비!#REF!</definedName>
    <definedName name="ㄴㄴㄴㄴ" localSheetId="5">[79]노무비!#REF!</definedName>
    <definedName name="ㄴㄴㄴㄴ" localSheetId="3">[79]노무비!#REF!</definedName>
    <definedName name="ㄴㄴㄴㄴ" localSheetId="17">[79]노무비!#REF!</definedName>
    <definedName name="ㄴㄴㄴㄴ" localSheetId="8">[79]노무비!#REF!</definedName>
    <definedName name="ㄴㄴㄴㄴ" localSheetId="4">[79]노무비!#REF!</definedName>
    <definedName name="ㄴㄴㄴㄴ" localSheetId="20">[79]노무비!#REF!</definedName>
    <definedName name="ㄴㄴㄴㄴ">[79]노무비!#REF!</definedName>
    <definedName name="내용" localSheetId="7">#REF!</definedName>
    <definedName name="내용" localSheetId="15">#REF!</definedName>
    <definedName name="내용" localSheetId="1">#REF!</definedName>
    <definedName name="내용" localSheetId="18">#REF!</definedName>
    <definedName name="내용" localSheetId="16">#REF!</definedName>
    <definedName name="내용" localSheetId="6">#REF!</definedName>
    <definedName name="내용" localSheetId="5">#REF!</definedName>
    <definedName name="내용" localSheetId="3">#REF!</definedName>
    <definedName name="내용" localSheetId="17">#REF!</definedName>
    <definedName name="내용" localSheetId="8">#REF!</definedName>
    <definedName name="내용" localSheetId="4">#REF!</definedName>
    <definedName name="내용" localSheetId="20">#REF!</definedName>
    <definedName name="내용">#REF!</definedName>
    <definedName name="단위">#N/A</definedName>
    <definedName name="대표자명_성명" localSheetId="7">#REF!</definedName>
    <definedName name="대표자명_성명" localSheetId="15">#REF!</definedName>
    <definedName name="대표자명_성명" localSheetId="1">#REF!</definedName>
    <definedName name="대표자명_성명" localSheetId="18">#REF!</definedName>
    <definedName name="대표자명_성명" localSheetId="16">#REF!</definedName>
    <definedName name="대표자명_성명" localSheetId="6">#REF!</definedName>
    <definedName name="대표자명_성명" localSheetId="5">#REF!</definedName>
    <definedName name="대표자명_성명" localSheetId="3">#REF!</definedName>
    <definedName name="대표자명_성명" localSheetId="17">#REF!</definedName>
    <definedName name="대표자명_성명" localSheetId="8">#REF!</definedName>
    <definedName name="대표자명_성명" localSheetId="4">#REF!</definedName>
    <definedName name="대표자명_성명" localSheetId="20">#REF!</definedName>
    <definedName name="대표자명_성명">#REF!</definedName>
    <definedName name="ㅁㅁㅁ">#N/A</definedName>
    <definedName name="모빌랙A">#N/A</definedName>
    <definedName name="몰" localSheetId="7">'[80]인원계획-미화'!#REF!</definedName>
    <definedName name="몰" localSheetId="15">'[80]인원계획-미화'!#REF!</definedName>
    <definedName name="몰" localSheetId="1">'[80]인원계획-미화'!#REF!</definedName>
    <definedName name="몰" localSheetId="18">'[80]인원계획-미화'!#REF!</definedName>
    <definedName name="몰" localSheetId="16">'[80]인원계획-미화'!#REF!</definedName>
    <definedName name="몰" localSheetId="6">'[80]인원계획-미화'!#REF!</definedName>
    <definedName name="몰" localSheetId="5">'[80]인원계획-미화'!#REF!</definedName>
    <definedName name="몰" localSheetId="3">'[80]인원계획-미화'!#REF!</definedName>
    <definedName name="몰" localSheetId="17">'[80]인원계획-미화'!#REF!</definedName>
    <definedName name="몰" localSheetId="8">'[80]인원계획-미화'!#REF!</definedName>
    <definedName name="몰" localSheetId="4">'[80]인원계획-미화'!#REF!</definedName>
    <definedName name="몰" localSheetId="20">'[80]인원계획-미화'!#REF!</definedName>
    <definedName name="몰">'[80]인원계획-미화'!#REF!</definedName>
    <definedName name="발주금액">#N/A</definedName>
    <definedName name="법_인_명_상_호" localSheetId="7">#REF!</definedName>
    <definedName name="법_인_명_상_호" localSheetId="15">#REF!</definedName>
    <definedName name="법_인_명_상_호" localSheetId="1">#REF!</definedName>
    <definedName name="법_인_명_상_호" localSheetId="18">#REF!</definedName>
    <definedName name="법_인_명_상_호" localSheetId="16">#REF!</definedName>
    <definedName name="법_인_명_상_호" localSheetId="6">#REF!</definedName>
    <definedName name="법_인_명_상_호" localSheetId="5">#REF!</definedName>
    <definedName name="법_인_명_상_호" localSheetId="3">#REF!</definedName>
    <definedName name="법_인_명_상_호" localSheetId="17">#REF!</definedName>
    <definedName name="법_인_명_상_호" localSheetId="8">#REF!</definedName>
    <definedName name="법_인_명_상_호" localSheetId="4">#REF!</definedName>
    <definedName name="법_인_명_상_호" localSheetId="20">#REF!</definedName>
    <definedName name="법_인_명_상_호">#REF!</definedName>
    <definedName name="법인등록번호" localSheetId="7">#REF!</definedName>
    <definedName name="법인등록번호" localSheetId="15">#REF!</definedName>
    <definedName name="법인등록번호" localSheetId="1">#REF!</definedName>
    <definedName name="법인등록번호" localSheetId="18">#REF!</definedName>
    <definedName name="법인등록번호" localSheetId="16">#REF!</definedName>
    <definedName name="법인등록번호" localSheetId="6">#REF!</definedName>
    <definedName name="법인등록번호" localSheetId="5">#REF!</definedName>
    <definedName name="법인등록번호" localSheetId="3">#REF!</definedName>
    <definedName name="법인등록번호" localSheetId="17">#REF!</definedName>
    <definedName name="법인등록번호" localSheetId="8">#REF!</definedName>
    <definedName name="법인등록번호" localSheetId="4">#REF!</definedName>
    <definedName name="법인등록번호" localSheetId="20">#REF!</definedName>
    <definedName name="법인등록번호">#REF!</definedName>
    <definedName name="보보봅" localSheetId="7">'[81]인원계획-미화'!#REF!</definedName>
    <definedName name="보보봅" localSheetId="15">'[81]인원계획-미화'!#REF!</definedName>
    <definedName name="보보봅" localSheetId="1">'[81]인원계획-미화'!#REF!</definedName>
    <definedName name="보보봅" localSheetId="18">'[81]인원계획-미화'!#REF!</definedName>
    <definedName name="보보봅" localSheetId="16">'[81]인원계획-미화'!#REF!</definedName>
    <definedName name="보보봅" localSheetId="6">'[81]인원계획-미화'!#REF!</definedName>
    <definedName name="보보봅" localSheetId="5">'[81]인원계획-미화'!#REF!</definedName>
    <definedName name="보보봅" localSheetId="3">'[81]인원계획-미화'!#REF!</definedName>
    <definedName name="보보봅" localSheetId="17">'[81]인원계획-미화'!#REF!</definedName>
    <definedName name="보보봅" localSheetId="8">'[81]인원계획-미화'!#REF!</definedName>
    <definedName name="보보봅" localSheetId="4">'[81]인원계획-미화'!#REF!</definedName>
    <definedName name="보보봅" localSheetId="20">'[81]인원계획-미화'!#REF!</definedName>
    <definedName name="보보봅">'[81]인원계획-미화'!#REF!</definedName>
    <definedName name="사_업_년_도" localSheetId="7">#REF!</definedName>
    <definedName name="사_업_년_도" localSheetId="15">#REF!</definedName>
    <definedName name="사_업_년_도" localSheetId="1">#REF!</definedName>
    <definedName name="사_업_년_도" localSheetId="18">#REF!</definedName>
    <definedName name="사_업_년_도" localSheetId="16">#REF!</definedName>
    <definedName name="사_업_년_도" localSheetId="6">#REF!</definedName>
    <definedName name="사_업_년_도" localSheetId="5">#REF!</definedName>
    <definedName name="사_업_년_도" localSheetId="3">#REF!</definedName>
    <definedName name="사_업_년_도" localSheetId="17">#REF!</definedName>
    <definedName name="사_업_년_도" localSheetId="8">#REF!</definedName>
    <definedName name="사_업_년_도" localSheetId="4">#REF!</definedName>
    <definedName name="사_업_년_도" localSheetId="20">#REF!</definedName>
    <definedName name="사_업_년_도">#REF!</definedName>
    <definedName name="사업자등록번호" localSheetId="7">#REF!</definedName>
    <definedName name="사업자등록번호" localSheetId="15">#REF!</definedName>
    <definedName name="사업자등록번호" localSheetId="1">#REF!</definedName>
    <definedName name="사업자등록번호" localSheetId="18">#REF!</definedName>
    <definedName name="사업자등록번호" localSheetId="16">#REF!</definedName>
    <definedName name="사업자등록번호" localSheetId="6">#REF!</definedName>
    <definedName name="사업자등록번호" localSheetId="5">#REF!</definedName>
    <definedName name="사업자등록번호" localSheetId="3">#REF!</definedName>
    <definedName name="사업자등록번호" localSheetId="17">#REF!</definedName>
    <definedName name="사업자등록번호" localSheetId="8">#REF!</definedName>
    <definedName name="사업자등록번호" localSheetId="4">#REF!</definedName>
    <definedName name="사업자등록번호" localSheetId="20">#REF!</definedName>
    <definedName name="사업자등록번호">#REF!</definedName>
    <definedName name="세금계산서">#N/A</definedName>
    <definedName name="셀노트4" localSheetId="7">[82]노무비!#REF!</definedName>
    <definedName name="셀노트4" localSheetId="15">[82]노무비!#REF!</definedName>
    <definedName name="셀노트4" localSheetId="1">[82]노무비!#REF!</definedName>
    <definedName name="셀노트4" localSheetId="18">[82]노무비!#REF!</definedName>
    <definedName name="셀노트4" localSheetId="16">[82]노무비!#REF!</definedName>
    <definedName name="셀노트4" localSheetId="6">[82]노무비!#REF!</definedName>
    <definedName name="셀노트4" localSheetId="5">[82]노무비!#REF!</definedName>
    <definedName name="셀노트4" localSheetId="3">[82]노무비!#REF!</definedName>
    <definedName name="셀노트4" localSheetId="17">[82]노무비!#REF!</definedName>
    <definedName name="셀노트4" localSheetId="8">[82]노무비!#REF!</definedName>
    <definedName name="셀노트4" localSheetId="4">[82]노무비!#REF!</definedName>
    <definedName name="셀노트4" localSheetId="20">[82]노무비!#REF!</definedName>
    <definedName name="셀노트4">[82]노무비!#REF!</definedName>
    <definedName name="소재지_사업장" localSheetId="7">#REF!</definedName>
    <definedName name="소재지_사업장" localSheetId="15">#REF!</definedName>
    <definedName name="소재지_사업장" localSheetId="1">#REF!</definedName>
    <definedName name="소재지_사업장" localSheetId="18">#REF!</definedName>
    <definedName name="소재지_사업장" localSheetId="16">#REF!</definedName>
    <definedName name="소재지_사업장" localSheetId="6">#REF!</definedName>
    <definedName name="소재지_사업장" localSheetId="5">#REF!</definedName>
    <definedName name="소재지_사업장" localSheetId="3">#REF!</definedName>
    <definedName name="소재지_사업장" localSheetId="17">#REF!</definedName>
    <definedName name="소재지_사업장" localSheetId="8">#REF!</definedName>
    <definedName name="소재지_사업장" localSheetId="4">#REF!</definedName>
    <definedName name="소재지_사업장" localSheetId="20">#REF!</definedName>
    <definedName name="소재지_사업장">#REF!</definedName>
    <definedName name="수량">#N/A</definedName>
    <definedName name="ㅇㄹ">#N/A</definedName>
    <definedName name="업_________태" localSheetId="7">#REF!</definedName>
    <definedName name="업_________태" localSheetId="15">#REF!</definedName>
    <definedName name="업_________태" localSheetId="1">#REF!</definedName>
    <definedName name="업_________태" localSheetId="18">#REF!</definedName>
    <definedName name="업_________태" localSheetId="16">#REF!</definedName>
    <definedName name="업_________태" localSheetId="6">#REF!</definedName>
    <definedName name="업_________태" localSheetId="5">#REF!</definedName>
    <definedName name="업_________태" localSheetId="3">#REF!</definedName>
    <definedName name="업_________태" localSheetId="17">#REF!</definedName>
    <definedName name="업_________태" localSheetId="8">#REF!</definedName>
    <definedName name="업_________태" localSheetId="4">#REF!</definedName>
    <definedName name="업_________태" localSheetId="20">#REF!</definedName>
    <definedName name="업_________태">#REF!</definedName>
    <definedName name="연봉" localSheetId="7">'[59]인원계획-미화'!#REF!</definedName>
    <definedName name="연봉" localSheetId="15">'[59]인원계획-미화'!#REF!</definedName>
    <definedName name="연봉" localSheetId="1">'[59]인원계획-미화'!#REF!</definedName>
    <definedName name="연봉" localSheetId="18">'[59]인원계획-미화'!#REF!</definedName>
    <definedName name="연봉" localSheetId="16">'[59]인원계획-미화'!#REF!</definedName>
    <definedName name="연봉" localSheetId="6">'[59]인원계획-미화'!#REF!</definedName>
    <definedName name="연봉" localSheetId="5">'[59]인원계획-미화'!#REF!</definedName>
    <definedName name="연봉" localSheetId="3">'[59]인원계획-미화'!#REF!</definedName>
    <definedName name="연봉" localSheetId="17">'[59]인원계획-미화'!#REF!</definedName>
    <definedName name="연봉" localSheetId="8">'[59]인원계획-미화'!#REF!</definedName>
    <definedName name="연봉" localSheetId="4">'[59]인원계획-미화'!#REF!</definedName>
    <definedName name="연봉" localSheetId="20">'[59]인원계획-미화'!#REF!</definedName>
    <definedName name="연봉">'[59]인원계획-미화'!#REF!</definedName>
    <definedName name="이름">#N/A</definedName>
    <definedName name="이신재">#N/A</definedName>
    <definedName name="임대현황" localSheetId="7">[27]노무비!#REF!</definedName>
    <definedName name="임대현황" localSheetId="15">[27]노무비!#REF!</definedName>
    <definedName name="임대현황" localSheetId="1">[27]노무비!#REF!</definedName>
    <definedName name="임대현황" localSheetId="18">[27]노무비!#REF!</definedName>
    <definedName name="임대현황" localSheetId="16">[27]노무비!#REF!</definedName>
    <definedName name="임대현황" localSheetId="6">[27]노무비!#REF!</definedName>
    <definedName name="임대현황" localSheetId="5">[27]노무비!#REF!</definedName>
    <definedName name="임대현황" localSheetId="3">[27]노무비!#REF!</definedName>
    <definedName name="임대현황" localSheetId="17">[27]노무비!#REF!</definedName>
    <definedName name="임대현황" localSheetId="8">[27]노무비!#REF!</definedName>
    <definedName name="임대현황" localSheetId="4">[27]노무비!#REF!</definedName>
    <definedName name="임대현황" localSheetId="20">[27]노무비!#REF!</definedName>
    <definedName name="임대현황">[27]노무비!#REF!</definedName>
    <definedName name="전_화_번_호" localSheetId="7">#REF!</definedName>
    <definedName name="전_화_번_호" localSheetId="15">#REF!</definedName>
    <definedName name="전_화_번_호" localSheetId="1">#REF!</definedName>
    <definedName name="전_화_번_호" localSheetId="18">#REF!</definedName>
    <definedName name="전_화_번_호" localSheetId="16">#REF!</definedName>
    <definedName name="전_화_번_호" localSheetId="6">#REF!</definedName>
    <definedName name="전_화_번_호" localSheetId="5">#REF!</definedName>
    <definedName name="전_화_번_호" localSheetId="3">#REF!</definedName>
    <definedName name="전_화_번_호" localSheetId="17">#REF!</definedName>
    <definedName name="전_화_번_호" localSheetId="8">#REF!</definedName>
    <definedName name="전_화_번_호" localSheetId="4">#REF!</definedName>
    <definedName name="전_화_번_호" localSheetId="20">#REF!</definedName>
    <definedName name="전_화_번_호">#REF!</definedName>
    <definedName name="제출">#N/A</definedName>
    <definedName name="종_________목" localSheetId="7">#REF!</definedName>
    <definedName name="종_________목" localSheetId="15">#REF!</definedName>
    <definedName name="종_________목" localSheetId="1">#REF!</definedName>
    <definedName name="종_________목" localSheetId="18">#REF!</definedName>
    <definedName name="종_________목" localSheetId="16">#REF!</definedName>
    <definedName name="종_________목" localSheetId="6">#REF!</definedName>
    <definedName name="종_________목" localSheetId="5">#REF!</definedName>
    <definedName name="종_________목" localSheetId="3">#REF!</definedName>
    <definedName name="종_________목" localSheetId="17">#REF!</definedName>
    <definedName name="종_________목" localSheetId="8">#REF!</definedName>
    <definedName name="종_________목" localSheetId="4">#REF!</definedName>
    <definedName name="종_________목" localSheetId="20">#REF!</definedName>
    <definedName name="종_________목">#REF!</definedName>
    <definedName name="주____________소" localSheetId="7">#REF!</definedName>
    <definedName name="주____________소" localSheetId="15">#REF!</definedName>
    <definedName name="주____________소" localSheetId="1">#REF!</definedName>
    <definedName name="주____________소" localSheetId="18">#REF!</definedName>
    <definedName name="주____________소" localSheetId="16">#REF!</definedName>
    <definedName name="주____________소" localSheetId="6">#REF!</definedName>
    <definedName name="주____________소" localSheetId="5">#REF!</definedName>
    <definedName name="주____________소" localSheetId="3">#REF!</definedName>
    <definedName name="주____________소" localSheetId="17">#REF!</definedName>
    <definedName name="주____________소" localSheetId="8">#REF!</definedName>
    <definedName name="주____________소" localSheetId="4">#REF!</definedName>
    <definedName name="주____________소" localSheetId="20">#REF!</definedName>
    <definedName name="주____________소">#REF!</definedName>
    <definedName name="주민등록번호_대표자" localSheetId="7">#REF!</definedName>
    <definedName name="주민등록번호_대표자" localSheetId="15">#REF!</definedName>
    <definedName name="주민등록번호_대표자" localSheetId="1">#REF!</definedName>
    <definedName name="주민등록번호_대표자" localSheetId="18">#REF!</definedName>
    <definedName name="주민등록번호_대표자" localSheetId="16">#REF!</definedName>
    <definedName name="주민등록번호_대표자" localSheetId="6">#REF!</definedName>
    <definedName name="주민등록번호_대표자" localSheetId="5">#REF!</definedName>
    <definedName name="주민등록번호_대표자" localSheetId="3">#REF!</definedName>
    <definedName name="주민등록번호_대표자" localSheetId="17">#REF!</definedName>
    <definedName name="주민등록번호_대표자" localSheetId="8">#REF!</definedName>
    <definedName name="주민등록번호_대표자" localSheetId="4">#REF!</definedName>
    <definedName name="주민등록번호_대표자" localSheetId="20">#REF!</definedName>
    <definedName name="주민등록번호_대표자">#REF!</definedName>
    <definedName name="중앙" localSheetId="7">'[83]인원계획-미화'!#REF!</definedName>
    <definedName name="중앙" localSheetId="15">'[83]인원계획-미화'!#REF!</definedName>
    <definedName name="중앙" localSheetId="1">'[83]인원계획-미화'!#REF!</definedName>
    <definedName name="중앙" localSheetId="18">'[83]인원계획-미화'!#REF!</definedName>
    <definedName name="중앙" localSheetId="16">'[83]인원계획-미화'!#REF!</definedName>
    <definedName name="중앙" localSheetId="6">'[83]인원계획-미화'!#REF!</definedName>
    <definedName name="중앙" localSheetId="5">'[83]인원계획-미화'!#REF!</definedName>
    <definedName name="중앙" localSheetId="3">'[83]인원계획-미화'!#REF!</definedName>
    <definedName name="중앙" localSheetId="17">'[83]인원계획-미화'!#REF!</definedName>
    <definedName name="중앙" localSheetId="8">'[83]인원계획-미화'!#REF!</definedName>
    <definedName name="중앙" localSheetId="4">'[83]인원계획-미화'!#REF!</definedName>
    <definedName name="중앙" localSheetId="20">'[83]인원계획-미화'!#REF!</definedName>
    <definedName name="중앙">'[83]인원계획-미화'!#REF!</definedName>
    <definedName name="최종">#N/A</definedName>
    <definedName name="쿨링타워상부천정철거">#N/A</definedName>
    <definedName name="하도업체명">#N/A</definedName>
    <definedName name="현찰계약금">#N/A</definedName>
    <definedName name="ㅓㅕㅗㅓ">#N/A</definedName>
    <definedName name="ㅡㅡㅡ">#N/A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6" l="1"/>
  <c r="F11" i="6"/>
  <c r="G11" i="6"/>
  <c r="F12" i="6"/>
  <c r="F15" i="6" s="1"/>
  <c r="F16" i="6" s="1"/>
  <c r="F29" i="6" s="1"/>
  <c r="G12" i="6"/>
  <c r="F13" i="6"/>
  <c r="G13" i="6"/>
  <c r="F14" i="6"/>
  <c r="G14" i="6"/>
  <c r="G15" i="6"/>
  <c r="G16" i="6" s="1"/>
  <c r="F21" i="6"/>
  <c r="G21" i="6"/>
  <c r="F22" i="6"/>
  <c r="F25" i="6" s="1"/>
  <c r="G22" i="6"/>
  <c r="F23" i="6"/>
  <c r="G23" i="6"/>
  <c r="F24" i="6"/>
  <c r="G24" i="6"/>
  <c r="G25" i="6" s="1"/>
  <c r="G29" i="6" l="1"/>
  <c r="J59" i="1"/>
  <c r="T112" i="26"/>
  <c r="T147" i="10"/>
  <c r="G53" i="1" l="1"/>
  <c r="G77" i="1"/>
  <c r="G112" i="1"/>
  <c r="G120" i="1"/>
  <c r="H118" i="21"/>
  <c r="G106" i="1"/>
  <c r="AF118" i="21"/>
  <c r="AC118" i="21"/>
  <c r="AE118" i="21"/>
  <c r="AD118" i="21"/>
  <c r="AE117" i="21"/>
  <c r="AD117" i="21"/>
  <c r="AF117" i="21" s="1"/>
  <c r="AE116" i="21"/>
  <c r="AD116" i="21"/>
  <c r="AF116" i="21" s="1"/>
  <c r="AE115" i="21"/>
  <c r="AD115" i="21"/>
  <c r="AF115" i="21" s="1"/>
  <c r="AE114" i="21"/>
  <c r="AD114" i="21"/>
  <c r="AF114" i="21" s="1"/>
  <c r="AE113" i="21"/>
  <c r="AD113" i="21"/>
  <c r="AF113" i="21" s="1"/>
  <c r="AE112" i="21"/>
  <c r="AD112" i="21"/>
  <c r="AF112" i="21" s="1"/>
  <c r="AE111" i="21"/>
  <c r="AD111" i="21"/>
  <c r="AF111" i="21" s="1"/>
  <c r="AE110" i="21"/>
  <c r="AD110" i="21"/>
  <c r="AF110" i="21" s="1"/>
  <c r="AE109" i="21"/>
  <c r="AD109" i="21"/>
  <c r="AF109" i="21" s="1"/>
  <c r="AE108" i="21"/>
  <c r="AD108" i="21"/>
  <c r="AF108" i="21" s="1"/>
  <c r="AE107" i="21"/>
  <c r="AD107" i="21"/>
  <c r="AF107" i="21" s="1"/>
  <c r="AE106" i="21"/>
  <c r="AD106" i="21"/>
  <c r="AF106" i="21" s="1"/>
  <c r="AE105" i="21"/>
  <c r="AD105" i="21"/>
  <c r="AF105" i="21" s="1"/>
  <c r="AF104" i="21"/>
  <c r="AE104" i="21"/>
  <c r="AD104" i="21"/>
  <c r="AB118" i="21"/>
  <c r="AB117" i="21"/>
  <c r="AC117" i="21" s="1"/>
  <c r="AB116" i="21"/>
  <c r="AC116" i="21" s="1"/>
  <c r="AB115" i="21"/>
  <c r="AC115" i="21" s="1"/>
  <c r="AB114" i="21"/>
  <c r="AC114" i="21" s="1"/>
  <c r="AB113" i="21"/>
  <c r="AC113" i="21" s="1"/>
  <c r="AB112" i="21"/>
  <c r="AC112" i="21" s="1"/>
  <c r="AB111" i="21"/>
  <c r="AC111" i="21" s="1"/>
  <c r="AB110" i="21"/>
  <c r="AC110" i="21" s="1"/>
  <c r="AB109" i="21"/>
  <c r="AC109" i="21" s="1"/>
  <c r="AB108" i="21"/>
  <c r="AC108" i="21" s="1"/>
  <c r="AB107" i="21"/>
  <c r="AC107" i="21" s="1"/>
  <c r="AB106" i="21"/>
  <c r="AC106" i="21" s="1"/>
  <c r="AB105" i="21"/>
  <c r="AC105" i="21" s="1"/>
  <c r="AA104" i="21"/>
  <c r="AA118" i="21" s="1"/>
  <c r="U120" i="21"/>
  <c r="X120" i="21"/>
  <c r="AA120" i="21"/>
  <c r="AA117" i="21"/>
  <c r="AA116" i="21"/>
  <c r="AA115" i="21"/>
  <c r="AA114" i="21"/>
  <c r="AA113" i="21"/>
  <c r="AA112" i="21"/>
  <c r="AA111" i="21"/>
  <c r="AA110" i="21"/>
  <c r="AA109" i="21"/>
  <c r="AA108" i="21"/>
  <c r="AA107" i="21"/>
  <c r="AA106" i="21"/>
  <c r="AA105" i="21"/>
  <c r="X104" i="21"/>
  <c r="Y118" i="21"/>
  <c r="Y117" i="21"/>
  <c r="Z117" i="21" s="1"/>
  <c r="Y116" i="21"/>
  <c r="Y115" i="21"/>
  <c r="Y114" i="21"/>
  <c r="Y113" i="21"/>
  <c r="Z113" i="21" s="1"/>
  <c r="Y112" i="21"/>
  <c r="Y111" i="21"/>
  <c r="Z111" i="21" s="1"/>
  <c r="Y110" i="21"/>
  <c r="Y109" i="21"/>
  <c r="Y108" i="21"/>
  <c r="Y107" i="21"/>
  <c r="Y106" i="21"/>
  <c r="Y105" i="21"/>
  <c r="Y104" i="21"/>
  <c r="AA102" i="21"/>
  <c r="W118" i="21"/>
  <c r="Z116" i="21"/>
  <c r="Z115" i="21"/>
  <c r="Z114" i="21"/>
  <c r="Z112" i="21"/>
  <c r="Z110" i="21"/>
  <c r="Z109" i="21"/>
  <c r="Z108" i="21"/>
  <c r="Z107" i="21"/>
  <c r="Z106" i="21"/>
  <c r="X106" i="21"/>
  <c r="X105" i="21"/>
  <c r="X117" i="21"/>
  <c r="X116" i="21"/>
  <c r="X115" i="21"/>
  <c r="X114" i="21"/>
  <c r="X113" i="21"/>
  <c r="X112" i="21"/>
  <c r="X111" i="21"/>
  <c r="X110" i="21"/>
  <c r="X109" i="21"/>
  <c r="X108" i="21"/>
  <c r="X107" i="21"/>
  <c r="W114" i="21"/>
  <c r="W115" i="21"/>
  <c r="W116" i="21"/>
  <c r="W117" i="21"/>
  <c r="W113" i="21"/>
  <c r="W112" i="21"/>
  <c r="W111" i="21"/>
  <c r="W110" i="21"/>
  <c r="W109" i="21"/>
  <c r="W108" i="21"/>
  <c r="W107" i="21"/>
  <c r="W106" i="21"/>
  <c r="V118" i="21"/>
  <c r="U118" i="21"/>
  <c r="U117" i="21"/>
  <c r="U116" i="21"/>
  <c r="U115" i="21"/>
  <c r="U114" i="21"/>
  <c r="U113" i="21"/>
  <c r="U112" i="21"/>
  <c r="U111" i="21"/>
  <c r="U110" i="21"/>
  <c r="U109" i="21"/>
  <c r="U108" i="21"/>
  <c r="U107" i="21"/>
  <c r="U106" i="21"/>
  <c r="U105" i="21"/>
  <c r="U104" i="21"/>
  <c r="W105" i="21"/>
  <c r="T117" i="21"/>
  <c r="T116" i="21"/>
  <c r="T115" i="21"/>
  <c r="T114" i="21"/>
  <c r="T113" i="21"/>
  <c r="T112" i="21"/>
  <c r="T111" i="21"/>
  <c r="T110" i="21"/>
  <c r="T109" i="21"/>
  <c r="T108" i="21"/>
  <c r="T107" i="21"/>
  <c r="T106" i="21"/>
  <c r="AG118" i="21"/>
  <c r="T118" i="21"/>
  <c r="S118" i="21"/>
  <c r="R118" i="21"/>
  <c r="Q118" i="21"/>
  <c r="P118" i="21"/>
  <c r="O118" i="21"/>
  <c r="N118" i="21"/>
  <c r="M118" i="21"/>
  <c r="L118" i="21"/>
  <c r="K118" i="21"/>
  <c r="J118" i="21"/>
  <c r="I118" i="21"/>
  <c r="F118" i="21"/>
  <c r="V117" i="21"/>
  <c r="V116" i="21"/>
  <c r="V115" i="21"/>
  <c r="V114" i="21"/>
  <c r="V113" i="21"/>
  <c r="V112" i="21"/>
  <c r="V111" i="21"/>
  <c r="V110" i="21"/>
  <c r="V109" i="21"/>
  <c r="V108" i="21"/>
  <c r="V107" i="21"/>
  <c r="V106" i="21"/>
  <c r="H97" i="23"/>
  <c r="E97" i="23"/>
  <c r="D97" i="23"/>
  <c r="G112" i="26"/>
  <c r="T118" i="10"/>
  <c r="L118" i="10"/>
  <c r="K118" i="10"/>
  <c r="J118" i="10"/>
  <c r="I118" i="10"/>
  <c r="H118" i="10"/>
  <c r="F118" i="10"/>
  <c r="M118" i="10"/>
  <c r="N118" i="10"/>
  <c r="O118" i="10"/>
  <c r="P118" i="10"/>
  <c r="Q118" i="10"/>
  <c r="R118" i="10"/>
  <c r="S118" i="10"/>
  <c r="B106" i="10"/>
  <c r="B107" i="10" s="1"/>
  <c r="B108" i="10" s="1"/>
  <c r="B109" i="10" s="1"/>
  <c r="B110" i="10" s="1"/>
  <c r="B111" i="10" s="1"/>
  <c r="B112" i="10" s="1"/>
  <c r="B113" i="10" s="1"/>
  <c r="B114" i="10" s="1"/>
  <c r="B115" i="10" s="1"/>
  <c r="B116" i="10" s="1"/>
  <c r="B117" i="10" s="1"/>
  <c r="G97" i="23"/>
  <c r="F97" i="23"/>
  <c r="D112" i="23"/>
  <c r="B100" i="23"/>
  <c r="B101" i="23" s="1"/>
  <c r="B102" i="23" s="1"/>
  <c r="B103" i="23" s="1"/>
  <c r="B104" i="23" s="1"/>
  <c r="B105" i="23" s="1"/>
  <c r="B106" i="23" s="1"/>
  <c r="B107" i="23" s="1"/>
  <c r="B108" i="23" s="1"/>
  <c r="B109" i="23" s="1"/>
  <c r="B110" i="23" s="1"/>
  <c r="B111" i="23" s="1"/>
  <c r="B108" i="21"/>
  <c r="B109" i="21" s="1"/>
  <c r="B110" i="21" s="1"/>
  <c r="B111" i="21" s="1"/>
  <c r="B112" i="21" s="1"/>
  <c r="B113" i="21" s="1"/>
  <c r="B114" i="21" s="1"/>
  <c r="B115" i="21" s="1"/>
  <c r="B116" i="21" s="1"/>
  <c r="B117" i="21" s="1"/>
  <c r="B107" i="21"/>
  <c r="B106" i="21"/>
  <c r="D112" i="3"/>
  <c r="M146" i="10"/>
  <c r="J146" i="10"/>
  <c r="G146" i="10"/>
  <c r="G146" i="21"/>
  <c r="AE146" i="21"/>
  <c r="AB146" i="21"/>
  <c r="Y146" i="21"/>
  <c r="V146" i="21"/>
  <c r="H146" i="21"/>
  <c r="H124" i="23"/>
  <c r="G124" i="23"/>
  <c r="F124" i="23"/>
  <c r="E124" i="23"/>
  <c r="D137" i="23"/>
  <c r="H24" i="1"/>
  <c r="G74" i="1"/>
  <c r="F124" i="1"/>
  <c r="F122" i="1"/>
  <c r="F120" i="1"/>
  <c r="G118" i="1"/>
  <c r="F115" i="1"/>
  <c r="G115" i="1"/>
  <c r="F112" i="1"/>
  <c r="F103" i="1"/>
  <c r="F100" i="1"/>
  <c r="F97" i="1"/>
  <c r="F94" i="1"/>
  <c r="F91" i="1"/>
  <c r="F85" i="1"/>
  <c r="F82" i="1"/>
  <c r="F77" i="1"/>
  <c r="G67" i="1"/>
  <c r="G66" i="1"/>
  <c r="G65" i="1"/>
  <c r="F62" i="1"/>
  <c r="G62" i="1"/>
  <c r="G61" i="1"/>
  <c r="F58" i="1"/>
  <c r="G56" i="1"/>
  <c r="G57" i="1"/>
  <c r="G58" i="1"/>
  <c r="G30" i="1"/>
  <c r="F53" i="1"/>
  <c r="F30" i="1"/>
  <c r="F26" i="1"/>
  <c r="X118" i="21" l="1"/>
  <c r="T146" i="10"/>
  <c r="T146" i="21"/>
  <c r="I146" i="21"/>
  <c r="J146" i="21" s="1"/>
  <c r="K146" i="21" s="1"/>
  <c r="L146" i="21" s="1"/>
  <c r="M146" i="21" s="1"/>
  <c r="N146" i="21" s="1"/>
  <c r="O146" i="21" s="1"/>
  <c r="P146" i="21" s="1"/>
  <c r="Q146" i="21" s="1"/>
  <c r="R146" i="21" s="1"/>
  <c r="S146" i="21" s="1"/>
  <c r="U146" i="21"/>
  <c r="W146" i="21" s="1"/>
  <c r="X146" i="21" l="1"/>
  <c r="Z146" i="21" l="1"/>
  <c r="AA146" i="21"/>
  <c r="AC146" i="21" l="1"/>
  <c r="AD146" i="21"/>
  <c r="AF146" i="21" l="1"/>
  <c r="H118" i="1" l="1"/>
  <c r="H117" i="1"/>
  <c r="H116" i="1"/>
  <c r="H115" i="1"/>
  <c r="H76" i="1"/>
  <c r="H75" i="1"/>
  <c r="H74" i="1"/>
  <c r="H73" i="1"/>
  <c r="H72" i="1"/>
  <c r="H71" i="1"/>
  <c r="H70" i="1"/>
  <c r="H69" i="1"/>
  <c r="H68" i="1"/>
  <c r="H67" i="1"/>
  <c r="H66" i="1"/>
  <c r="H65" i="1"/>
  <c r="H64" i="1"/>
  <c r="H63" i="1"/>
  <c r="H62" i="1"/>
  <c r="H61" i="1"/>
  <c r="H60" i="1"/>
  <c r="H59" i="1"/>
  <c r="H58" i="1"/>
  <c r="H57" i="1"/>
  <c r="H56" i="1"/>
  <c r="H52" i="1"/>
  <c r="H31" i="1"/>
  <c r="H30" i="1"/>
  <c r="H51" i="1"/>
  <c r="H50" i="1"/>
  <c r="H49" i="1"/>
  <c r="H48" i="1"/>
  <c r="H47" i="1"/>
  <c r="H46" i="1"/>
  <c r="H45" i="1"/>
  <c r="H44" i="1"/>
  <c r="H43" i="1"/>
  <c r="H42" i="1"/>
  <c r="H41" i="1"/>
  <c r="H40" i="1"/>
  <c r="H39" i="1"/>
  <c r="H38" i="1"/>
  <c r="H37" i="1"/>
  <c r="H36" i="1"/>
  <c r="H35" i="1"/>
  <c r="H34" i="1"/>
  <c r="H33" i="1"/>
  <c r="H32" i="1"/>
  <c r="H23" i="1"/>
  <c r="H22" i="1"/>
  <c r="H21" i="1"/>
  <c r="H20" i="1"/>
  <c r="H19" i="1"/>
  <c r="H17" i="1"/>
  <c r="H16" i="1"/>
  <c r="H15" i="1"/>
  <c r="H14" i="1"/>
  <c r="H13" i="1"/>
  <c r="H12" i="1"/>
  <c r="H11" i="1"/>
  <c r="H10" i="1"/>
  <c r="H9" i="1"/>
  <c r="I118" i="1"/>
  <c r="I117" i="1"/>
  <c r="I116" i="1"/>
  <c r="I115" i="1"/>
  <c r="I109" i="1"/>
  <c r="I107" i="1"/>
  <c r="I105" i="1"/>
  <c r="I104" i="1"/>
  <c r="I103" i="1"/>
  <c r="I99" i="1"/>
  <c r="I95" i="1"/>
  <c r="I92" i="1"/>
  <c r="I76" i="1"/>
  <c r="I75" i="1"/>
  <c r="I74" i="1"/>
  <c r="I73" i="1"/>
  <c r="I72" i="1"/>
  <c r="I71" i="1"/>
  <c r="I70" i="1"/>
  <c r="I69" i="1"/>
  <c r="I68" i="1"/>
  <c r="I67" i="1"/>
  <c r="I66" i="1"/>
  <c r="I65" i="1"/>
  <c r="I64" i="1"/>
  <c r="I63" i="1"/>
  <c r="I62" i="1"/>
  <c r="I61" i="1"/>
  <c r="I60" i="1"/>
  <c r="I59" i="1"/>
  <c r="I58" i="1"/>
  <c r="I57" i="1"/>
  <c r="I56" i="1"/>
  <c r="I53" i="1"/>
  <c r="I52" i="1"/>
  <c r="I51" i="1"/>
  <c r="I50" i="1"/>
  <c r="I49" i="1"/>
  <c r="I48" i="1"/>
  <c r="I47" i="1"/>
  <c r="I46" i="1"/>
  <c r="I45" i="1"/>
  <c r="I44" i="1"/>
  <c r="I43" i="1"/>
  <c r="I42" i="1"/>
  <c r="I41" i="1"/>
  <c r="I40" i="1"/>
  <c r="I39" i="1"/>
  <c r="I38" i="1"/>
  <c r="I37" i="1"/>
  <c r="I36" i="1"/>
  <c r="I35" i="1"/>
  <c r="I34" i="1"/>
  <c r="I33" i="1"/>
  <c r="I32" i="1"/>
  <c r="I31" i="1"/>
  <c r="I30" i="1"/>
  <c r="I24" i="1"/>
  <c r="I23" i="1"/>
  <c r="I22" i="1"/>
  <c r="I21" i="1"/>
  <c r="I20" i="1"/>
  <c r="I19" i="1"/>
  <c r="I18" i="1"/>
  <c r="I17" i="1"/>
  <c r="I16" i="1"/>
  <c r="I15" i="1"/>
  <c r="I14" i="1"/>
  <c r="I13" i="1"/>
  <c r="I12" i="1"/>
  <c r="I11" i="1"/>
  <c r="I10" i="1"/>
  <c r="I9" i="1"/>
  <c r="G9" i="1"/>
  <c r="D120" i="32"/>
  <c r="I119" i="32"/>
  <c r="O119" i="32" s="1"/>
  <c r="I118" i="32"/>
  <c r="I117" i="32"/>
  <c r="I115" i="32" s="1"/>
  <c r="K116" i="32"/>
  <c r="J116" i="32"/>
  <c r="H110" i="32"/>
  <c r="H109" i="32"/>
  <c r="H107" i="32"/>
  <c r="H106" i="32"/>
  <c r="H105" i="32"/>
  <c r="H104" i="32"/>
  <c r="H103" i="32"/>
  <c r="D103" i="32"/>
  <c r="H102" i="32"/>
  <c r="H101" i="32"/>
  <c r="D100" i="32"/>
  <c r="H99" i="32"/>
  <c r="D97" i="32"/>
  <c r="H96" i="32"/>
  <c r="H95" i="32"/>
  <c r="D94" i="32"/>
  <c r="H92" i="32"/>
  <c r="D91" i="32"/>
  <c r="H90" i="32"/>
  <c r="H89" i="32"/>
  <c r="H88" i="32"/>
  <c r="H87" i="32"/>
  <c r="D85" i="32"/>
  <c r="D112" i="32" s="1"/>
  <c r="D84" i="32"/>
  <c r="H83" i="32"/>
  <c r="H81" i="32"/>
  <c r="H80" i="32"/>
  <c r="M76" i="32"/>
  <c r="L76" i="32"/>
  <c r="H76" i="32"/>
  <c r="I75" i="32"/>
  <c r="H75" i="32"/>
  <c r="K74" i="32"/>
  <c r="J74" i="32"/>
  <c r="J73" i="32"/>
  <c r="I73" i="32"/>
  <c r="R72" i="32"/>
  <c r="O72" i="32"/>
  <c r="L72" i="32"/>
  <c r="I72" i="32"/>
  <c r="H72" i="32"/>
  <c r="H71" i="32"/>
  <c r="I70" i="32"/>
  <c r="H70" i="32"/>
  <c r="I69" i="32"/>
  <c r="K68" i="32"/>
  <c r="J68" i="32"/>
  <c r="T67" i="32"/>
  <c r="R67" i="32"/>
  <c r="P67" i="32"/>
  <c r="N67" i="32"/>
  <c r="L67" i="32"/>
  <c r="J67" i="32"/>
  <c r="I67" i="32"/>
  <c r="S67" i="32" s="1"/>
  <c r="H66" i="32"/>
  <c r="J65" i="32"/>
  <c r="I65" i="32"/>
  <c r="H64" i="32"/>
  <c r="J63" i="32"/>
  <c r="I62" i="32"/>
  <c r="D62" i="32"/>
  <c r="L61" i="32"/>
  <c r="M61" i="32" s="1"/>
  <c r="N61" i="32" s="1"/>
  <c r="J61" i="32"/>
  <c r="K61" i="32" s="1"/>
  <c r="H60" i="32"/>
  <c r="I59" i="32"/>
  <c r="J59" i="32" s="1"/>
  <c r="K59" i="32" s="1"/>
  <c r="J58" i="32"/>
  <c r="D58" i="32"/>
  <c r="D77" i="32" s="1"/>
  <c r="O57" i="32"/>
  <c r="P57" i="32" s="1"/>
  <c r="Q57" i="32" s="1"/>
  <c r="R57" i="32" s="1"/>
  <c r="M57" i="32"/>
  <c r="L57" i="32"/>
  <c r="H57" i="32" s="1"/>
  <c r="J57" i="32"/>
  <c r="L56" i="32"/>
  <c r="K56" i="32"/>
  <c r="J56" i="32"/>
  <c r="H52" i="32"/>
  <c r="D52" i="32"/>
  <c r="H51" i="32"/>
  <c r="H50" i="32"/>
  <c r="H49" i="32"/>
  <c r="H48" i="32"/>
  <c r="H47" i="32"/>
  <c r="H46" i="32"/>
  <c r="K45" i="32"/>
  <c r="L45" i="32" s="1"/>
  <c r="M45" i="32" s="1"/>
  <c r="N45" i="32" s="1"/>
  <c r="O45" i="32" s="1"/>
  <c r="P45" i="32" s="1"/>
  <c r="Q45" i="32" s="1"/>
  <c r="R45" i="32" s="1"/>
  <c r="S45" i="32" s="1"/>
  <c r="T45" i="32" s="1"/>
  <c r="J45" i="32"/>
  <c r="H44" i="32"/>
  <c r="H43" i="32"/>
  <c r="T42" i="32"/>
  <c r="J42" i="32"/>
  <c r="K42" i="32" s="1"/>
  <c r="H42" i="32"/>
  <c r="H41" i="32"/>
  <c r="K40" i="32"/>
  <c r="L40" i="32" s="1"/>
  <c r="M40" i="32" s="1"/>
  <c r="N40" i="32" s="1"/>
  <c r="O40" i="32" s="1"/>
  <c r="P40" i="32" s="1"/>
  <c r="Q40" i="32" s="1"/>
  <c r="R40" i="32" s="1"/>
  <c r="S40" i="32" s="1"/>
  <c r="T40" i="32" s="1"/>
  <c r="J40" i="32"/>
  <c r="H39" i="32"/>
  <c r="H38" i="32"/>
  <c r="J37" i="32"/>
  <c r="K37" i="32" s="1"/>
  <c r="L37" i="32" s="1"/>
  <c r="M37" i="32" s="1"/>
  <c r="N37" i="32" s="1"/>
  <c r="O37" i="32" s="1"/>
  <c r="P37" i="32" s="1"/>
  <c r="Q37" i="32" s="1"/>
  <c r="R37" i="32" s="1"/>
  <c r="S37" i="32" s="1"/>
  <c r="T37" i="32" s="1"/>
  <c r="I37" i="32"/>
  <c r="H36" i="32"/>
  <c r="H35" i="32"/>
  <c r="T33" i="32"/>
  <c r="S33" i="32"/>
  <c r="R33" i="32"/>
  <c r="Q33" i="32"/>
  <c r="P33" i="32"/>
  <c r="O33" i="32"/>
  <c r="N33" i="32"/>
  <c r="M33" i="32"/>
  <c r="L33" i="32"/>
  <c r="K33" i="32"/>
  <c r="H33" i="32" s="1"/>
  <c r="J33" i="32"/>
  <c r="D33" i="32"/>
  <c r="D34" i="32" s="1"/>
  <c r="D30" i="32" s="1"/>
  <c r="H32" i="32"/>
  <c r="I31" i="32"/>
  <c r="I34" i="32" s="1"/>
  <c r="D31" i="32"/>
  <c r="D53" i="32" s="1"/>
  <c r="D122" i="32" s="1"/>
  <c r="D124" i="32" s="1"/>
  <c r="T24" i="32"/>
  <c r="T117" i="32" s="1"/>
  <c r="S24" i="32"/>
  <c r="S117" i="32" s="1"/>
  <c r="R24" i="32"/>
  <c r="R117" i="32" s="1"/>
  <c r="Q24" i="32"/>
  <c r="Q117" i="32" s="1"/>
  <c r="P24" i="32"/>
  <c r="P117" i="32" s="1"/>
  <c r="O24" i="32"/>
  <c r="O117" i="32" s="1"/>
  <c r="N24" i="32"/>
  <c r="N117" i="32" s="1"/>
  <c r="M24" i="32"/>
  <c r="M117" i="32" s="1"/>
  <c r="L24" i="32"/>
  <c r="L117" i="32" s="1"/>
  <c r="K24" i="32"/>
  <c r="H24" i="32" s="1"/>
  <c r="J24" i="32"/>
  <c r="J117" i="32" s="1"/>
  <c r="J115" i="32" s="1"/>
  <c r="L23" i="32"/>
  <c r="M23" i="32" s="1"/>
  <c r="I22" i="32"/>
  <c r="J22" i="32" s="1"/>
  <c r="H21" i="32"/>
  <c r="K20" i="32"/>
  <c r="L20" i="32" s="1"/>
  <c r="M20" i="32" s="1"/>
  <c r="N20" i="32" s="1"/>
  <c r="O20" i="32" s="1"/>
  <c r="P20" i="32" s="1"/>
  <c r="Q20" i="32" s="1"/>
  <c r="R20" i="32" s="1"/>
  <c r="S20" i="32" s="1"/>
  <c r="T20" i="32" s="1"/>
  <c r="J20" i="32"/>
  <c r="J19" i="32"/>
  <c r="K19" i="32" s="1"/>
  <c r="I18" i="32"/>
  <c r="J18" i="32" s="1"/>
  <c r="H18" i="32"/>
  <c r="I17" i="32"/>
  <c r="J17" i="32" s="1"/>
  <c r="H16" i="32"/>
  <c r="I15" i="32"/>
  <c r="R14" i="32"/>
  <c r="Q14" i="32"/>
  <c r="P14" i="32"/>
  <c r="N14" i="32"/>
  <c r="H14" i="32"/>
  <c r="H13" i="32"/>
  <c r="H12" i="32"/>
  <c r="K11" i="32"/>
  <c r="J11" i="32"/>
  <c r="J10" i="32"/>
  <c r="K10" i="32" s="1"/>
  <c r="L10" i="32" s="1"/>
  <c r="M10" i="32" s="1"/>
  <c r="N10" i="32" s="1"/>
  <c r="O10" i="32" s="1"/>
  <c r="P10" i="32" s="1"/>
  <c r="Q10" i="32" s="1"/>
  <c r="R10" i="32" s="1"/>
  <c r="S10" i="32" s="1"/>
  <c r="T10" i="32" s="1"/>
  <c r="T9" i="32"/>
  <c r="S9" i="32"/>
  <c r="R9" i="32"/>
  <c r="Q9" i="32"/>
  <c r="P9" i="32"/>
  <c r="O9" i="32"/>
  <c r="N9" i="32"/>
  <c r="M9" i="32"/>
  <c r="L9" i="32"/>
  <c r="K9" i="32"/>
  <c r="J9" i="32"/>
  <c r="I9" i="32"/>
  <c r="K119" i="32" l="1"/>
  <c r="S119" i="32"/>
  <c r="H53" i="1"/>
  <c r="H77" i="1"/>
  <c r="H9" i="32"/>
  <c r="L11" i="32"/>
  <c r="M11" i="32" s="1"/>
  <c r="N11" i="32" s="1"/>
  <c r="O11" i="32" s="1"/>
  <c r="P11" i="32" s="1"/>
  <c r="Q11" i="32" s="1"/>
  <c r="R11" i="32" s="1"/>
  <c r="S11" i="32" s="1"/>
  <c r="T11" i="32" s="1"/>
  <c r="H11" i="32"/>
  <c r="T15" i="32"/>
  <c r="R15" i="32"/>
  <c r="P15" i="32"/>
  <c r="N15" i="32"/>
  <c r="L15" i="32"/>
  <c r="J15" i="32"/>
  <c r="J26" i="32" s="1"/>
  <c r="S15" i="32"/>
  <c r="Q15" i="32"/>
  <c r="O15" i="32"/>
  <c r="M15" i="32"/>
  <c r="K15" i="32"/>
  <c r="K17" i="32"/>
  <c r="L17" i="32" s="1"/>
  <c r="M17" i="32" s="1"/>
  <c r="N17" i="32" s="1"/>
  <c r="O17" i="32" s="1"/>
  <c r="P17" i="32" s="1"/>
  <c r="Q17" i="32" s="1"/>
  <c r="R17" i="32" s="1"/>
  <c r="S17" i="32" s="1"/>
  <c r="T17" i="32" s="1"/>
  <c r="T26" i="32" s="1"/>
  <c r="K18" i="32"/>
  <c r="L18" i="32" s="1"/>
  <c r="M18" i="32" s="1"/>
  <c r="N18" i="32" s="1"/>
  <c r="O18" i="32" s="1"/>
  <c r="P18" i="32" s="1"/>
  <c r="Q18" i="32" s="1"/>
  <c r="R18" i="32" s="1"/>
  <c r="S18" i="32" s="1"/>
  <c r="T18" i="32" s="1"/>
  <c r="N23" i="32"/>
  <c r="O23" i="32" s="1"/>
  <c r="P23" i="32" s="1"/>
  <c r="Q23" i="32" s="1"/>
  <c r="R23" i="32" s="1"/>
  <c r="S23" i="32" s="1"/>
  <c r="T23" i="32" s="1"/>
  <c r="L42" i="32"/>
  <c r="M42" i="32" s="1"/>
  <c r="N42" i="32" s="1"/>
  <c r="O42" i="32" s="1"/>
  <c r="P42" i="32" s="1"/>
  <c r="Q42" i="32" s="1"/>
  <c r="R42" i="32" s="1"/>
  <c r="S42" i="32" s="1"/>
  <c r="L59" i="32"/>
  <c r="K58" i="32"/>
  <c r="O61" i="32"/>
  <c r="P61" i="32" s="1"/>
  <c r="Q61" i="32" s="1"/>
  <c r="R61" i="32" s="1"/>
  <c r="S61" i="32" s="1"/>
  <c r="T61" i="32" s="1"/>
  <c r="I26" i="32"/>
  <c r="H10" i="32"/>
  <c r="L19" i="32"/>
  <c r="M19" i="32" s="1"/>
  <c r="N19" i="32" s="1"/>
  <c r="O19" i="32" s="1"/>
  <c r="P19" i="32" s="1"/>
  <c r="Q19" i="32" s="1"/>
  <c r="R19" i="32" s="1"/>
  <c r="S19" i="32" s="1"/>
  <c r="T19" i="32" s="1"/>
  <c r="K22" i="32"/>
  <c r="L22" i="32" s="1"/>
  <c r="M22" i="32" s="1"/>
  <c r="N22" i="32" s="1"/>
  <c r="O22" i="32" s="1"/>
  <c r="P22" i="32" s="1"/>
  <c r="Q22" i="32" s="1"/>
  <c r="R22" i="32" s="1"/>
  <c r="S22" i="32" s="1"/>
  <c r="T22" i="32" s="1"/>
  <c r="S34" i="32"/>
  <c r="Q34" i="32"/>
  <c r="O34" i="32"/>
  <c r="M34" i="32"/>
  <c r="K34" i="32"/>
  <c r="T34" i="32"/>
  <c r="R34" i="32"/>
  <c r="P34" i="32"/>
  <c r="N34" i="32"/>
  <c r="L34" i="32"/>
  <c r="J34" i="32"/>
  <c r="H34" i="32" s="1"/>
  <c r="J77" i="32"/>
  <c r="K31" i="32"/>
  <c r="M31" i="32"/>
  <c r="O31" i="32"/>
  <c r="Q31" i="32"/>
  <c r="S31" i="32"/>
  <c r="I53" i="32"/>
  <c r="K63" i="32"/>
  <c r="J62" i="32"/>
  <c r="L68" i="32"/>
  <c r="M68" i="32" s="1"/>
  <c r="N68" i="32" s="1"/>
  <c r="O68" i="32" s="1"/>
  <c r="P68" i="32" s="1"/>
  <c r="Q68" i="32" s="1"/>
  <c r="R68" i="32" s="1"/>
  <c r="S68" i="32" s="1"/>
  <c r="T68" i="32" s="1"/>
  <c r="H68" i="32"/>
  <c r="K73" i="32"/>
  <c r="L73" i="32" s="1"/>
  <c r="M73" i="32" s="1"/>
  <c r="N73" i="32" s="1"/>
  <c r="O73" i="32" s="1"/>
  <c r="P73" i="32" s="1"/>
  <c r="Q73" i="32" s="1"/>
  <c r="R73" i="32" s="1"/>
  <c r="S73" i="32" s="1"/>
  <c r="T73" i="32" s="1"/>
  <c r="H73" i="32"/>
  <c r="H84" i="32"/>
  <c r="H98" i="32"/>
  <c r="H97" i="32"/>
  <c r="K117" i="32"/>
  <c r="H117" i="32" s="1"/>
  <c r="H20" i="32"/>
  <c r="I30" i="32"/>
  <c r="J31" i="32"/>
  <c r="L31" i="32"/>
  <c r="N31" i="32"/>
  <c r="P31" i="32"/>
  <c r="R31" i="32"/>
  <c r="T31" i="32"/>
  <c r="H37" i="32"/>
  <c r="H40" i="32"/>
  <c r="H45" i="32"/>
  <c r="M56" i="32"/>
  <c r="I58" i="32"/>
  <c r="I77" i="32" s="1"/>
  <c r="K65" i="32"/>
  <c r="L65" i="32" s="1"/>
  <c r="M65" i="32" s="1"/>
  <c r="N65" i="32" s="1"/>
  <c r="O65" i="32" s="1"/>
  <c r="P65" i="32" s="1"/>
  <c r="Q65" i="32" s="1"/>
  <c r="R65" i="32" s="1"/>
  <c r="S65" i="32" s="1"/>
  <c r="T65" i="32" s="1"/>
  <c r="H65" i="32"/>
  <c r="J69" i="32"/>
  <c r="K69" i="32" s="1"/>
  <c r="L69" i="32" s="1"/>
  <c r="M69" i="32" s="1"/>
  <c r="N69" i="32" s="1"/>
  <c r="O69" i="32" s="1"/>
  <c r="P69" i="32" s="1"/>
  <c r="Q69" i="32" s="1"/>
  <c r="R69" i="32" s="1"/>
  <c r="S69" i="32" s="1"/>
  <c r="T69" i="32" s="1"/>
  <c r="H69" i="32"/>
  <c r="L74" i="32"/>
  <c r="H74" i="32"/>
  <c r="M74" i="32"/>
  <c r="N74" i="32" s="1"/>
  <c r="O74" i="32" s="1"/>
  <c r="P74" i="32" s="1"/>
  <c r="Q74" i="32" s="1"/>
  <c r="R74" i="32" s="1"/>
  <c r="S74" i="32" s="1"/>
  <c r="T74" i="32" s="1"/>
  <c r="N76" i="32"/>
  <c r="O76" i="32" s="1"/>
  <c r="P76" i="32" s="1"/>
  <c r="Q76" i="32" s="1"/>
  <c r="R76" i="32" s="1"/>
  <c r="S76" i="32" s="1"/>
  <c r="T76" i="32" s="1"/>
  <c r="H94" i="32"/>
  <c r="J118" i="32"/>
  <c r="K118" i="32" s="1"/>
  <c r="L118" i="32" s="1"/>
  <c r="M118" i="32" s="1"/>
  <c r="N118" i="32" s="1"/>
  <c r="O118" i="32" s="1"/>
  <c r="P118" i="32" s="1"/>
  <c r="Q118" i="32" s="1"/>
  <c r="R118" i="32" s="1"/>
  <c r="S118" i="32" s="1"/>
  <c r="T118" i="32" s="1"/>
  <c r="H118" i="32"/>
  <c r="H100" i="32"/>
  <c r="L116" i="32"/>
  <c r="K115" i="32"/>
  <c r="K120" i="32" s="1"/>
  <c r="I120" i="32"/>
  <c r="T119" i="32"/>
  <c r="R119" i="32"/>
  <c r="P119" i="32"/>
  <c r="N119" i="32"/>
  <c r="L119" i="32"/>
  <c r="J119" i="32"/>
  <c r="M119" i="32"/>
  <c r="Q119" i="32"/>
  <c r="K67" i="32"/>
  <c r="M67" i="32"/>
  <c r="H67" i="32" s="1"/>
  <c r="O67" i="32"/>
  <c r="Q67" i="32"/>
  <c r="L118" i="26"/>
  <c r="K118" i="26"/>
  <c r="L118" i="1"/>
  <c r="H119" i="32" l="1"/>
  <c r="H85" i="32"/>
  <c r="H86" i="32"/>
  <c r="T53" i="32"/>
  <c r="T30" i="32"/>
  <c r="P53" i="32"/>
  <c r="P30" i="32"/>
  <c r="L53" i="32"/>
  <c r="L30" i="32"/>
  <c r="L63" i="32"/>
  <c r="K62" i="32"/>
  <c r="K77" i="32" s="1"/>
  <c r="Q30" i="32"/>
  <c r="Q53" i="32"/>
  <c r="M30" i="32"/>
  <c r="M53" i="32"/>
  <c r="Q26" i="32"/>
  <c r="M26" i="32"/>
  <c r="M59" i="32"/>
  <c r="L58" i="32"/>
  <c r="P26" i="32"/>
  <c r="L26" i="32"/>
  <c r="L115" i="32"/>
  <c r="L120" i="32" s="1"/>
  <c r="M116" i="32"/>
  <c r="N56" i="32"/>
  <c r="R53" i="32"/>
  <c r="R30" i="32"/>
  <c r="N53" i="32"/>
  <c r="N30" i="32"/>
  <c r="J53" i="32"/>
  <c r="J30" i="32"/>
  <c r="J120" i="32"/>
  <c r="H93" i="32"/>
  <c r="H91" i="32"/>
  <c r="S30" i="32"/>
  <c r="S53" i="32"/>
  <c r="O30" i="32"/>
  <c r="O53" i="32"/>
  <c r="K30" i="32"/>
  <c r="K53" i="32"/>
  <c r="H22" i="32"/>
  <c r="H19" i="32"/>
  <c r="H15" i="32"/>
  <c r="S26" i="32"/>
  <c r="O26" i="32"/>
  <c r="K26" i="32"/>
  <c r="H61" i="32"/>
  <c r="H23" i="32"/>
  <c r="H17" i="32"/>
  <c r="R26" i="32"/>
  <c r="N26" i="32"/>
  <c r="J118" i="1"/>
  <c r="H26" i="32" l="1"/>
  <c r="H31" i="32"/>
  <c r="H30" i="32"/>
  <c r="N116" i="32"/>
  <c r="M115" i="32"/>
  <c r="M120" i="32" s="1"/>
  <c r="N59" i="32"/>
  <c r="M58" i="32"/>
  <c r="M63" i="32"/>
  <c r="L62" i="32"/>
  <c r="O56" i="32"/>
  <c r="H82" i="32"/>
  <c r="H112" i="32"/>
  <c r="L77" i="32"/>
  <c r="C24" i="31"/>
  <c r="C23" i="31"/>
  <c r="C22" i="31"/>
  <c r="C21" i="31"/>
  <c r="F16" i="31"/>
  <c r="D15" i="31"/>
  <c r="C14" i="31"/>
  <c r="A14" i="31"/>
  <c r="A15" i="31" s="1"/>
  <c r="C13" i="31"/>
  <c r="A13" i="31"/>
  <c r="D12" i="31"/>
  <c r="C12" i="31"/>
  <c r="A12" i="31"/>
  <c r="C11" i="31"/>
  <c r="E6" i="31"/>
  <c r="C25" i="31" l="1"/>
  <c r="E12" i="31"/>
  <c r="C15" i="31"/>
  <c r="O59" i="32"/>
  <c r="N58" i="32"/>
  <c r="O116" i="32"/>
  <c r="N115" i="32"/>
  <c r="N120" i="32" s="1"/>
  <c r="P56" i="32"/>
  <c r="M62" i="32"/>
  <c r="N63" i="32"/>
  <c r="M77" i="32"/>
  <c r="H53" i="32"/>
  <c r="D84" i="1"/>
  <c r="C16" i="31" l="1"/>
  <c r="C29" i="31" s="1"/>
  <c r="E15" i="31"/>
  <c r="Q56" i="32"/>
  <c r="O63" i="32"/>
  <c r="N62" i="32"/>
  <c r="N77" i="32" s="1"/>
  <c r="P116" i="32"/>
  <c r="O115" i="32"/>
  <c r="O120" i="32" s="1"/>
  <c r="P59" i="32"/>
  <c r="O58" i="32"/>
  <c r="Q116" i="32" l="1"/>
  <c r="P115" i="32"/>
  <c r="P120" i="32" s="1"/>
  <c r="P63" i="32"/>
  <c r="O62" i="32"/>
  <c r="O77" i="32" s="1"/>
  <c r="R56" i="32"/>
  <c r="Q59" i="32"/>
  <c r="P58" i="32"/>
  <c r="D17" i="24"/>
  <c r="D7" i="24" s="1"/>
  <c r="B21" i="24"/>
  <c r="B22" i="24" s="1"/>
  <c r="B23" i="24" s="1"/>
  <c r="B24" i="24" s="1"/>
  <c r="B25" i="24" s="1"/>
  <c r="B26" i="24" s="1"/>
  <c r="B27" i="24" s="1"/>
  <c r="B28" i="24" s="1"/>
  <c r="B29" i="24" s="1"/>
  <c r="B30" i="24" s="1"/>
  <c r="B31" i="24" s="1"/>
  <c r="B32" i="24" s="1"/>
  <c r="B33" i="24" s="1"/>
  <c r="B34" i="24" s="1"/>
  <c r="B35" i="24" s="1"/>
  <c r="B36" i="24" s="1"/>
  <c r="B37" i="24" s="1"/>
  <c r="B38" i="24" s="1"/>
  <c r="B39" i="24" s="1"/>
  <c r="B40" i="24" s="1"/>
  <c r="B20" i="24"/>
  <c r="R59" i="32" l="1"/>
  <c r="Q58" i="32"/>
  <c r="Q63" i="32"/>
  <c r="P62" i="32"/>
  <c r="R116" i="32"/>
  <c r="Q115" i="32"/>
  <c r="Q120" i="32" s="1"/>
  <c r="P77" i="32"/>
  <c r="S56" i="32"/>
  <c r="L64" i="10"/>
  <c r="R64" i="10" s="1"/>
  <c r="P58" i="10"/>
  <c r="L58" i="10"/>
  <c r="H58" i="10"/>
  <c r="J57" i="10"/>
  <c r="L57" i="10" s="1"/>
  <c r="N57" i="10" s="1"/>
  <c r="P57" i="10" s="1"/>
  <c r="R57" i="10" s="1"/>
  <c r="H57" i="10"/>
  <c r="H40" i="10"/>
  <c r="Q39" i="10"/>
  <c r="S33" i="10"/>
  <c r="M32" i="10"/>
  <c r="M31" i="10"/>
  <c r="R30" i="10"/>
  <c r="L30" i="10"/>
  <c r="R29" i="10"/>
  <c r="L29" i="10"/>
  <c r="R28" i="10"/>
  <c r="L28" i="10"/>
  <c r="L26" i="10"/>
  <c r="M25" i="10"/>
  <c r="H25" i="10"/>
  <c r="T22" i="10"/>
  <c r="M22" i="10"/>
  <c r="M21" i="10"/>
  <c r="M20" i="10"/>
  <c r="Q19" i="10"/>
  <c r="K18" i="10"/>
  <c r="K17" i="10"/>
  <c r="S16" i="10"/>
  <c r="P16" i="10"/>
  <c r="M16" i="10"/>
  <c r="J16" i="10"/>
  <c r="K13" i="10"/>
  <c r="H13" i="10"/>
  <c r="S10" i="10"/>
  <c r="M10" i="10"/>
  <c r="P9" i="10"/>
  <c r="J9" i="10"/>
  <c r="P8" i="10"/>
  <c r="J8" i="10"/>
  <c r="Q62" i="32" l="1"/>
  <c r="R63" i="32"/>
  <c r="Q77" i="32"/>
  <c r="T56" i="32"/>
  <c r="S116" i="32"/>
  <c r="R115" i="32"/>
  <c r="R120" i="32" s="1"/>
  <c r="S59" i="32"/>
  <c r="R58" i="32"/>
  <c r="D77" i="1"/>
  <c r="H56" i="32" l="1"/>
  <c r="S63" i="32"/>
  <c r="R62" i="32"/>
  <c r="R77" i="32" s="1"/>
  <c r="T59" i="32"/>
  <c r="S58" i="32"/>
  <c r="T116" i="32"/>
  <c r="T115" i="32" s="1"/>
  <c r="T120" i="32" s="1"/>
  <c r="S115" i="32"/>
  <c r="S120" i="32" s="1"/>
  <c r="S117" i="1"/>
  <c r="T117" i="1"/>
  <c r="U117" i="1"/>
  <c r="N117" i="1"/>
  <c r="M117" i="1"/>
  <c r="L117" i="1"/>
  <c r="K117" i="1"/>
  <c r="J117" i="1"/>
  <c r="U116" i="1"/>
  <c r="T116" i="1"/>
  <c r="S116" i="1"/>
  <c r="R116" i="1"/>
  <c r="Q116" i="1"/>
  <c r="P116" i="1"/>
  <c r="O116" i="1"/>
  <c r="N116" i="1"/>
  <c r="M116" i="1"/>
  <c r="L116" i="1"/>
  <c r="K116" i="1"/>
  <c r="K116" i="26"/>
  <c r="J116" i="26"/>
  <c r="I116" i="26"/>
  <c r="T63" i="32" l="1"/>
  <c r="S62" i="32"/>
  <c r="S77" i="32" s="1"/>
  <c r="H116" i="32"/>
  <c r="T58" i="32"/>
  <c r="M116" i="26"/>
  <c r="L116" i="26"/>
  <c r="H120" i="32" l="1"/>
  <c r="H115" i="32"/>
  <c r="T62" i="32"/>
  <c r="T77" i="32" s="1"/>
  <c r="H59" i="32"/>
  <c r="N116" i="26"/>
  <c r="H58" i="32" l="1"/>
  <c r="H63" i="32"/>
  <c r="H62" i="32"/>
  <c r="O116" i="26"/>
  <c r="P116" i="26" l="1"/>
  <c r="H77" i="32" l="1"/>
  <c r="Q116" i="26"/>
  <c r="H122" i="32" l="1"/>
  <c r="H124" i="32"/>
  <c r="R116" i="26"/>
  <c r="T116" i="26" l="1"/>
  <c r="S116" i="26"/>
  <c r="D112" i="26" l="1"/>
  <c r="D112" i="1"/>
  <c r="J9" i="26"/>
  <c r="I9" i="26"/>
  <c r="G9" i="26"/>
  <c r="T24" i="26" l="1"/>
  <c r="S24" i="26"/>
  <c r="R24" i="26"/>
  <c r="Q24" i="26"/>
  <c r="P24" i="26"/>
  <c r="O24" i="26"/>
  <c r="N24" i="26"/>
  <c r="M24" i="26"/>
  <c r="L24" i="26"/>
  <c r="K24" i="26"/>
  <c r="J24" i="26"/>
  <c r="I24" i="26"/>
  <c r="R22" i="26"/>
  <c r="O22" i="26"/>
  <c r="L22" i="26"/>
  <c r="J21" i="26"/>
  <c r="R20" i="26"/>
  <c r="O20" i="26"/>
  <c r="L20" i="26"/>
  <c r="T19" i="26" l="1"/>
  <c r="S19" i="26"/>
  <c r="R19" i="26"/>
  <c r="Q19" i="26"/>
  <c r="P19" i="26"/>
  <c r="O19" i="26"/>
  <c r="N19" i="26"/>
  <c r="M19" i="26"/>
  <c r="L19" i="26"/>
  <c r="K19" i="26"/>
  <c r="J19" i="26"/>
  <c r="I19" i="26"/>
  <c r="T16" i="26"/>
  <c r="S16" i="26"/>
  <c r="R16" i="26"/>
  <c r="Q16" i="26"/>
  <c r="P16" i="26"/>
  <c r="O16" i="26"/>
  <c r="N16" i="26"/>
  <c r="M16" i="26"/>
  <c r="L16" i="26"/>
  <c r="K16" i="26"/>
  <c r="J16" i="26"/>
  <c r="I16" i="26"/>
  <c r="I15" i="26"/>
  <c r="T14" i="26"/>
  <c r="S14" i="26"/>
  <c r="O14" i="26"/>
  <c r="M14" i="26"/>
  <c r="L14" i="26"/>
  <c r="K14" i="26"/>
  <c r="J14" i="26"/>
  <c r="I14" i="26"/>
  <c r="I26" i="26" s="1"/>
  <c r="L19" i="1"/>
  <c r="M19" i="1" s="1"/>
  <c r="N19" i="1" s="1"/>
  <c r="O19" i="1" s="1"/>
  <c r="P19" i="1" s="1"/>
  <c r="Q19" i="1" s="1"/>
  <c r="R19" i="1" s="1"/>
  <c r="S19" i="1" s="1"/>
  <c r="T19" i="1" s="1"/>
  <c r="U19" i="1" s="1"/>
  <c r="K19" i="1"/>
  <c r="J15" i="1"/>
  <c r="J22" i="1"/>
  <c r="K17" i="26" l="1"/>
  <c r="R17" i="26"/>
  <c r="O17" i="26"/>
  <c r="L17" i="26"/>
  <c r="J17" i="1"/>
  <c r="C23" i="6" l="1"/>
  <c r="X8" i="25"/>
  <c r="C14" i="6" l="1"/>
  <c r="C13" i="6"/>
  <c r="C11" i="6"/>
  <c r="T119" i="26"/>
  <c r="S119" i="26"/>
  <c r="Q119" i="26"/>
  <c r="P119" i="26"/>
  <c r="O119" i="26"/>
  <c r="N119" i="26"/>
  <c r="M119" i="26"/>
  <c r="L119" i="26"/>
  <c r="K119" i="26"/>
  <c r="J119" i="26"/>
  <c r="I119" i="26"/>
  <c r="J118" i="26"/>
  <c r="I118" i="26"/>
  <c r="G116" i="26"/>
  <c r="H116" i="26" s="1"/>
  <c r="T105" i="26"/>
  <c r="S105" i="26"/>
  <c r="R105" i="26"/>
  <c r="Q105" i="26"/>
  <c r="P105" i="26"/>
  <c r="O105" i="26"/>
  <c r="N105" i="26"/>
  <c r="M105" i="26"/>
  <c r="K105" i="26"/>
  <c r="J105" i="26"/>
  <c r="T104" i="26"/>
  <c r="S104" i="26"/>
  <c r="S103" i="26" s="1"/>
  <c r="R104" i="26"/>
  <c r="Q104" i="26"/>
  <c r="P104" i="26"/>
  <c r="O104" i="26"/>
  <c r="O103" i="26" s="1"/>
  <c r="N104" i="26"/>
  <c r="M104" i="26"/>
  <c r="L104" i="26"/>
  <c r="J104" i="26"/>
  <c r="I105" i="26"/>
  <c r="I104" i="26"/>
  <c r="T102" i="26"/>
  <c r="S102" i="26"/>
  <c r="R102" i="26"/>
  <c r="Q102" i="26"/>
  <c r="P102" i="26"/>
  <c r="M102" i="26"/>
  <c r="L102" i="26"/>
  <c r="K102" i="26"/>
  <c r="J102" i="26"/>
  <c r="T99" i="26"/>
  <c r="S99" i="26"/>
  <c r="Q99" i="26"/>
  <c r="P99" i="26"/>
  <c r="O99" i="26"/>
  <c r="N99" i="26"/>
  <c r="M99" i="26"/>
  <c r="K99" i="26"/>
  <c r="J99" i="26"/>
  <c r="I99" i="26"/>
  <c r="T96" i="26"/>
  <c r="S96" i="26"/>
  <c r="R96" i="26"/>
  <c r="O96" i="26"/>
  <c r="N96" i="26"/>
  <c r="J96" i="26"/>
  <c r="T95" i="26"/>
  <c r="S95" i="26"/>
  <c r="R95" i="26"/>
  <c r="R94" i="26" s="1"/>
  <c r="Q95" i="26"/>
  <c r="P95" i="26"/>
  <c r="O95" i="26"/>
  <c r="N95" i="26"/>
  <c r="N94" i="26" s="1"/>
  <c r="M95" i="26"/>
  <c r="K95" i="26"/>
  <c r="J95" i="26"/>
  <c r="J94" i="26" s="1"/>
  <c r="I96" i="26"/>
  <c r="I95" i="26"/>
  <c r="S93" i="26"/>
  <c r="R93" i="26"/>
  <c r="Q93" i="26"/>
  <c r="P93" i="26"/>
  <c r="L93" i="26"/>
  <c r="I93" i="26"/>
  <c r="T87" i="26"/>
  <c r="S87" i="26"/>
  <c r="Q87" i="26"/>
  <c r="P87" i="26"/>
  <c r="O87" i="26"/>
  <c r="N87" i="26"/>
  <c r="M87" i="26"/>
  <c r="L87" i="26"/>
  <c r="K87" i="26"/>
  <c r="J87" i="26"/>
  <c r="T86" i="26"/>
  <c r="T85" i="26" s="1"/>
  <c r="S86" i="26"/>
  <c r="S85" i="26" s="1"/>
  <c r="R86" i="26"/>
  <c r="Q86" i="26"/>
  <c r="P86" i="26"/>
  <c r="O86" i="26"/>
  <c r="N86" i="26"/>
  <c r="M86" i="26"/>
  <c r="L86" i="26"/>
  <c r="K86" i="26"/>
  <c r="J86" i="26"/>
  <c r="I87" i="26"/>
  <c r="I86" i="26"/>
  <c r="T84" i="26"/>
  <c r="S84" i="26"/>
  <c r="R84" i="26"/>
  <c r="Q84" i="26"/>
  <c r="P84" i="26"/>
  <c r="O84" i="26"/>
  <c r="N84" i="26"/>
  <c r="M84" i="26"/>
  <c r="L84" i="26"/>
  <c r="K84" i="26"/>
  <c r="J84" i="26"/>
  <c r="T83" i="26"/>
  <c r="S83" i="26"/>
  <c r="R83" i="26"/>
  <c r="Q83" i="26"/>
  <c r="P83" i="26"/>
  <c r="O83" i="26"/>
  <c r="N83" i="26"/>
  <c r="M83" i="26"/>
  <c r="L83" i="26"/>
  <c r="K83" i="26"/>
  <c r="J83" i="26"/>
  <c r="I84" i="26"/>
  <c r="I83" i="26"/>
  <c r="K76" i="26"/>
  <c r="L74" i="26"/>
  <c r="S71" i="26"/>
  <c r="O71" i="26"/>
  <c r="L71" i="26"/>
  <c r="S70" i="26"/>
  <c r="O69" i="26"/>
  <c r="I68" i="26"/>
  <c r="I67" i="26"/>
  <c r="T66" i="26"/>
  <c r="Q66" i="26"/>
  <c r="J66" i="26"/>
  <c r="J65" i="26"/>
  <c r="I65" i="26"/>
  <c r="T64" i="26"/>
  <c r="N64" i="26"/>
  <c r="Q64" i="26"/>
  <c r="K64" i="26"/>
  <c r="I63" i="26"/>
  <c r="I61" i="26"/>
  <c r="I59" i="26"/>
  <c r="I58" i="26" s="1"/>
  <c r="T57" i="26"/>
  <c r="S57" i="26"/>
  <c r="R57" i="26"/>
  <c r="Q57" i="26"/>
  <c r="P57" i="26"/>
  <c r="O57" i="26"/>
  <c r="J57" i="26"/>
  <c r="L57" i="26"/>
  <c r="K57" i="26"/>
  <c r="N57" i="26"/>
  <c r="M57" i="26"/>
  <c r="I57" i="26"/>
  <c r="K56" i="26"/>
  <c r="J56" i="26"/>
  <c r="I56" i="26"/>
  <c r="T50" i="26"/>
  <c r="S50" i="26"/>
  <c r="R50" i="26"/>
  <c r="Q50" i="26"/>
  <c r="P50" i="26"/>
  <c r="O50" i="26"/>
  <c r="N50" i="26"/>
  <c r="M50" i="26"/>
  <c r="L50" i="26"/>
  <c r="K50" i="26"/>
  <c r="J50" i="26"/>
  <c r="G50" i="26" s="1"/>
  <c r="I50" i="26"/>
  <c r="T49" i="26"/>
  <c r="S49" i="26"/>
  <c r="R49" i="26"/>
  <c r="Q49" i="26"/>
  <c r="P49" i="26"/>
  <c r="O49" i="26"/>
  <c r="N49" i="26"/>
  <c r="M49" i="26"/>
  <c r="L49" i="26"/>
  <c r="K49" i="26"/>
  <c r="J49" i="26"/>
  <c r="I49" i="26"/>
  <c r="J48" i="26"/>
  <c r="K48" i="26" s="1"/>
  <c r="L48" i="26" s="1"/>
  <c r="I48" i="26"/>
  <c r="I47" i="26"/>
  <c r="J47" i="26" s="1"/>
  <c r="K47" i="26" s="1"/>
  <c r="L47" i="26" s="1"/>
  <c r="M47" i="26" s="1"/>
  <c r="N47" i="26" s="1"/>
  <c r="O47" i="26" s="1"/>
  <c r="P47" i="26" s="1"/>
  <c r="Q47" i="26" s="1"/>
  <c r="R47" i="26" s="1"/>
  <c r="S47" i="26" s="1"/>
  <c r="T47" i="26" s="1"/>
  <c r="T44" i="26"/>
  <c r="S44" i="26"/>
  <c r="R44" i="26"/>
  <c r="Q44" i="26"/>
  <c r="P44" i="26"/>
  <c r="O44" i="26"/>
  <c r="N44" i="26"/>
  <c r="M44" i="26"/>
  <c r="L44" i="26"/>
  <c r="K44" i="26"/>
  <c r="J44" i="26"/>
  <c r="I44" i="26"/>
  <c r="G44" i="26" s="1"/>
  <c r="T43" i="26"/>
  <c r="Q43" i="26"/>
  <c r="N43" i="26"/>
  <c r="K43" i="26"/>
  <c r="I41" i="26"/>
  <c r="J41" i="26" s="1"/>
  <c r="K41" i="26" s="1"/>
  <c r="L41" i="26" s="1"/>
  <c r="M41" i="26" s="1"/>
  <c r="N41" i="26" s="1"/>
  <c r="O41" i="26" s="1"/>
  <c r="P41" i="26" s="1"/>
  <c r="Q41" i="26" s="1"/>
  <c r="R41" i="26" s="1"/>
  <c r="S41" i="26" s="1"/>
  <c r="T41" i="26" s="1"/>
  <c r="I40" i="26"/>
  <c r="I38" i="26"/>
  <c r="K38" i="26" s="1"/>
  <c r="G38" i="26" s="1"/>
  <c r="H38" i="26" s="1"/>
  <c r="I39" i="26"/>
  <c r="J39" i="26" s="1"/>
  <c r="K39" i="26" s="1"/>
  <c r="L39" i="26" s="1"/>
  <c r="M39" i="26" s="1"/>
  <c r="N39" i="26" s="1"/>
  <c r="O39" i="26" s="1"/>
  <c r="P39" i="26" s="1"/>
  <c r="Q39" i="26" s="1"/>
  <c r="R39" i="26" s="1"/>
  <c r="S39" i="26" s="1"/>
  <c r="T39" i="26" s="1"/>
  <c r="I117" i="26"/>
  <c r="I115" i="26" s="1"/>
  <c r="R21" i="26"/>
  <c r="O21" i="26"/>
  <c r="L21" i="26"/>
  <c r="T12" i="26"/>
  <c r="S12" i="26"/>
  <c r="R12" i="26"/>
  <c r="Q12" i="26"/>
  <c r="P12" i="26"/>
  <c r="O12" i="26"/>
  <c r="N12" i="26"/>
  <c r="M12" i="26"/>
  <c r="L12" i="26"/>
  <c r="K12" i="26"/>
  <c r="J12" i="26"/>
  <c r="I12" i="26"/>
  <c r="T11" i="26"/>
  <c r="T10" i="26"/>
  <c r="Q11" i="26"/>
  <c r="Q10" i="26"/>
  <c r="N11" i="26"/>
  <c r="N10" i="26"/>
  <c r="K11" i="26"/>
  <c r="K10" i="26"/>
  <c r="J11" i="26"/>
  <c r="G11" i="26" s="1"/>
  <c r="J10" i="26"/>
  <c r="G10" i="26" s="1"/>
  <c r="T9" i="26"/>
  <c r="S9" i="26"/>
  <c r="R9" i="26"/>
  <c r="Q9" i="26"/>
  <c r="P9" i="26"/>
  <c r="O9" i="26"/>
  <c r="N9" i="26"/>
  <c r="M9" i="26"/>
  <c r="L9" i="26"/>
  <c r="K9" i="26"/>
  <c r="D120" i="26"/>
  <c r="H109" i="26"/>
  <c r="H107" i="26"/>
  <c r="H105" i="26"/>
  <c r="H104" i="26"/>
  <c r="H103" i="26"/>
  <c r="D103" i="26"/>
  <c r="D100" i="26"/>
  <c r="H99" i="26"/>
  <c r="D97" i="26"/>
  <c r="H95" i="26"/>
  <c r="D94" i="26"/>
  <c r="H92" i="26"/>
  <c r="D91" i="26"/>
  <c r="D85" i="26"/>
  <c r="L76" i="26"/>
  <c r="M76" i="26" s="1"/>
  <c r="N76" i="26" s="1"/>
  <c r="O76" i="26" s="1"/>
  <c r="P76" i="26" s="1"/>
  <c r="Q76" i="26" s="1"/>
  <c r="R76" i="26" s="1"/>
  <c r="S76" i="26" s="1"/>
  <c r="T76" i="26" s="1"/>
  <c r="I75" i="26"/>
  <c r="G75" i="26" s="1"/>
  <c r="H75" i="26"/>
  <c r="J73" i="26"/>
  <c r="R72" i="26"/>
  <c r="O72" i="26"/>
  <c r="L72" i="26"/>
  <c r="I72" i="26"/>
  <c r="G72" i="26" s="1"/>
  <c r="I70" i="26"/>
  <c r="G70" i="26"/>
  <c r="H70" i="26" s="1"/>
  <c r="K68" i="26"/>
  <c r="J68" i="26"/>
  <c r="G66" i="26"/>
  <c r="K65" i="26"/>
  <c r="L65" i="26" s="1"/>
  <c r="M65" i="26" s="1"/>
  <c r="N65" i="26" s="1"/>
  <c r="O65" i="26" s="1"/>
  <c r="G64" i="26"/>
  <c r="J63" i="26"/>
  <c r="K63" i="26" s="1"/>
  <c r="K62" i="26" s="1"/>
  <c r="I62" i="26"/>
  <c r="D62" i="26"/>
  <c r="J61" i="26"/>
  <c r="K61" i="26" s="1"/>
  <c r="G60" i="26"/>
  <c r="H60" i="26"/>
  <c r="J59" i="26"/>
  <c r="D58" i="26"/>
  <c r="D77" i="26" s="1"/>
  <c r="G52" i="26"/>
  <c r="H52" i="26"/>
  <c r="D52" i="26"/>
  <c r="G51" i="26"/>
  <c r="G49" i="26"/>
  <c r="G46" i="26"/>
  <c r="J45" i="26"/>
  <c r="K45" i="26" s="1"/>
  <c r="L45" i="26" s="1"/>
  <c r="M45" i="26" s="1"/>
  <c r="N45" i="26" s="1"/>
  <c r="O45" i="26" s="1"/>
  <c r="P45" i="26" s="1"/>
  <c r="Q45" i="26" s="1"/>
  <c r="R45" i="26" s="1"/>
  <c r="S45" i="26" s="1"/>
  <c r="T45" i="26" s="1"/>
  <c r="G43" i="26"/>
  <c r="H42" i="26"/>
  <c r="J40" i="26"/>
  <c r="K40" i="26" s="1"/>
  <c r="I37" i="26"/>
  <c r="J37" i="26" s="1"/>
  <c r="G36" i="26"/>
  <c r="G35" i="26"/>
  <c r="T33" i="26"/>
  <c r="S33" i="26"/>
  <c r="R33" i="26"/>
  <c r="Q33" i="26"/>
  <c r="P33" i="26"/>
  <c r="O33" i="26"/>
  <c r="N33" i="26"/>
  <c r="M33" i="26"/>
  <c r="L33" i="26"/>
  <c r="K33" i="26"/>
  <c r="G33" i="26" s="1"/>
  <c r="J33" i="26"/>
  <c r="H33" i="26"/>
  <c r="D33" i="26"/>
  <c r="G32" i="26"/>
  <c r="I31" i="26"/>
  <c r="D31" i="26"/>
  <c r="S117" i="26"/>
  <c r="S115" i="26" s="1"/>
  <c r="R117" i="26"/>
  <c r="Q117" i="26"/>
  <c r="Q115" i="26" s="1"/>
  <c r="P117" i="26"/>
  <c r="O117" i="26"/>
  <c r="O115" i="26" s="1"/>
  <c r="N117" i="26"/>
  <c r="M117" i="26"/>
  <c r="M115" i="26" s="1"/>
  <c r="G19" i="26"/>
  <c r="J18" i="26"/>
  <c r="H18" i="26"/>
  <c r="G16" i="26"/>
  <c r="T15" i="26"/>
  <c r="R15" i="26"/>
  <c r="P15" i="26"/>
  <c r="N15" i="26"/>
  <c r="L15" i="26"/>
  <c r="J15" i="26"/>
  <c r="S15" i="26"/>
  <c r="G13" i="26"/>
  <c r="H13" i="26"/>
  <c r="H12" i="26"/>
  <c r="G12" i="26"/>
  <c r="AG13" i="21"/>
  <c r="K13" i="21"/>
  <c r="AG14" i="21"/>
  <c r="K14" i="21"/>
  <c r="L81" i="32" s="1"/>
  <c r="H13" i="21"/>
  <c r="H14" i="21" s="1"/>
  <c r="I81" i="32" s="1"/>
  <c r="AG10" i="21"/>
  <c r="AG9" i="21"/>
  <c r="AG8" i="21"/>
  <c r="H144" i="23"/>
  <c r="G144" i="23"/>
  <c r="F144" i="23"/>
  <c r="E144" i="23"/>
  <c r="H137" i="23"/>
  <c r="G137" i="23"/>
  <c r="F137" i="23"/>
  <c r="E137" i="23"/>
  <c r="H120" i="23"/>
  <c r="G120" i="23"/>
  <c r="F120" i="23"/>
  <c r="E120" i="23"/>
  <c r="D117" i="23"/>
  <c r="H117" i="23"/>
  <c r="G117" i="23"/>
  <c r="F117" i="23"/>
  <c r="E117" i="23"/>
  <c r="H112" i="23"/>
  <c r="G112" i="23"/>
  <c r="F112" i="23"/>
  <c r="E112" i="23"/>
  <c r="H91" i="23"/>
  <c r="G91" i="23"/>
  <c r="F91" i="23"/>
  <c r="E91" i="23"/>
  <c r="H88" i="23"/>
  <c r="H86" i="23" s="1"/>
  <c r="G88" i="23"/>
  <c r="G86" i="23" s="1"/>
  <c r="F88" i="23"/>
  <c r="E88" i="23"/>
  <c r="E86" i="23" s="1"/>
  <c r="D88" i="23"/>
  <c r="F86" i="23"/>
  <c r="H83" i="23"/>
  <c r="G83" i="23"/>
  <c r="F83" i="23"/>
  <c r="E83" i="23"/>
  <c r="H81" i="23"/>
  <c r="G81" i="23"/>
  <c r="F81" i="23"/>
  <c r="E81" i="23"/>
  <c r="H75" i="23"/>
  <c r="G75" i="23"/>
  <c r="F75" i="23"/>
  <c r="E75" i="23"/>
  <c r="H73" i="23"/>
  <c r="G73" i="23"/>
  <c r="F73" i="23"/>
  <c r="E73" i="23"/>
  <c r="E66" i="23"/>
  <c r="E64" i="23" s="1"/>
  <c r="H66" i="23"/>
  <c r="H64" i="23" s="1"/>
  <c r="G66" i="23"/>
  <c r="F66" i="23"/>
  <c r="F64" i="23" s="1"/>
  <c r="G64" i="23"/>
  <c r="D51" i="23"/>
  <c r="H51" i="23"/>
  <c r="G51" i="23"/>
  <c r="F51" i="23"/>
  <c r="E51" i="23"/>
  <c r="H41" i="23"/>
  <c r="G41" i="23"/>
  <c r="G39" i="23" s="1"/>
  <c r="F41" i="23"/>
  <c r="E41" i="23"/>
  <c r="E39" i="23" s="1"/>
  <c r="H39" i="23"/>
  <c r="F39" i="23"/>
  <c r="H31" i="23"/>
  <c r="G31" i="23"/>
  <c r="F31" i="23"/>
  <c r="E31" i="23"/>
  <c r="E22" i="23"/>
  <c r="E20" i="23" s="1"/>
  <c r="H22" i="23"/>
  <c r="H20" i="23" s="1"/>
  <c r="G22" i="23"/>
  <c r="F22" i="23"/>
  <c r="F20" i="23" s="1"/>
  <c r="G20" i="23"/>
  <c r="H13" i="23"/>
  <c r="G13" i="23"/>
  <c r="G11" i="23" s="1"/>
  <c r="F13" i="23"/>
  <c r="F11" i="23" s="1"/>
  <c r="E13" i="23"/>
  <c r="E11" i="23" s="1"/>
  <c r="H11" i="23"/>
  <c r="E9" i="23"/>
  <c r="H9" i="23"/>
  <c r="G9" i="23"/>
  <c r="F9" i="23"/>
  <c r="H5" i="23"/>
  <c r="G5" i="23"/>
  <c r="F5" i="23"/>
  <c r="E5" i="23"/>
  <c r="AG157" i="21"/>
  <c r="AG158" i="21" s="1"/>
  <c r="AG154" i="21"/>
  <c r="AG153" i="21"/>
  <c r="AG152" i="21"/>
  <c r="AG151" i="21"/>
  <c r="AG150" i="21"/>
  <c r="AG149" i="21"/>
  <c r="AG145" i="21"/>
  <c r="AG144" i="21"/>
  <c r="AG143" i="21"/>
  <c r="AG142" i="21"/>
  <c r="AG141" i="21"/>
  <c r="AG140" i="21"/>
  <c r="AG139" i="21"/>
  <c r="AG138" i="21"/>
  <c r="AG137" i="21"/>
  <c r="AG136" i="21"/>
  <c r="AG135" i="21"/>
  <c r="AG132" i="21"/>
  <c r="AG131" i="21"/>
  <c r="AG130" i="21"/>
  <c r="AG127" i="21"/>
  <c r="AG126" i="21"/>
  <c r="AG123" i="21"/>
  <c r="AG122" i="21"/>
  <c r="AG121" i="21"/>
  <c r="AG120" i="21"/>
  <c r="AG105" i="21"/>
  <c r="AG104" i="21"/>
  <c r="AG101" i="21"/>
  <c r="AG100" i="21"/>
  <c r="AG99" i="21"/>
  <c r="AG98" i="21"/>
  <c r="AG95" i="21"/>
  <c r="AG94" i="21"/>
  <c r="AG93" i="21"/>
  <c r="AG90" i="21"/>
  <c r="AG89" i="21"/>
  <c r="AG88" i="21"/>
  <c r="AG85" i="21"/>
  <c r="AG84" i="21"/>
  <c r="AG83" i="21"/>
  <c r="AG82" i="21"/>
  <c r="AG81" i="21"/>
  <c r="AG80" i="21"/>
  <c r="AG77" i="21"/>
  <c r="AG76" i="21"/>
  <c r="AG75" i="21"/>
  <c r="AG74" i="21"/>
  <c r="AG73" i="21"/>
  <c r="AG72" i="21"/>
  <c r="AG71" i="21"/>
  <c r="AG68" i="21"/>
  <c r="AG67" i="21"/>
  <c r="AG66" i="21"/>
  <c r="AG65" i="21"/>
  <c r="AG64" i="21"/>
  <c r="AG63" i="21"/>
  <c r="AG62" i="21"/>
  <c r="AG61" i="21"/>
  <c r="AG60" i="21"/>
  <c r="AG59" i="21"/>
  <c r="AG58" i="21"/>
  <c r="AG57" i="21"/>
  <c r="AG54" i="21"/>
  <c r="AG53" i="21"/>
  <c r="AG52" i="21"/>
  <c r="AG51" i="21"/>
  <c r="AG50" i="21"/>
  <c r="AG49" i="21"/>
  <c r="AG48" i="21"/>
  <c r="AG47" i="21"/>
  <c r="AG46" i="21"/>
  <c r="AG45" i="21"/>
  <c r="AG42" i="21"/>
  <c r="AG41" i="21"/>
  <c r="AG40" i="21"/>
  <c r="AG39" i="21"/>
  <c r="AG38" i="21"/>
  <c r="AG37" i="21"/>
  <c r="AG36" i="21"/>
  <c r="AG33" i="21"/>
  <c r="AG32" i="21"/>
  <c r="AG31" i="21"/>
  <c r="AG30" i="21"/>
  <c r="AG29" i="21"/>
  <c r="AG28" i="21"/>
  <c r="AG27" i="21"/>
  <c r="AG26" i="21"/>
  <c r="AG25" i="21"/>
  <c r="AG22" i="21"/>
  <c r="AG21" i="21"/>
  <c r="AG20" i="21"/>
  <c r="AG19" i="21"/>
  <c r="AG18" i="21"/>
  <c r="AG17" i="21"/>
  <c r="AG16" i="21"/>
  <c r="AE85" i="21"/>
  <c r="AB85" i="21"/>
  <c r="Y85" i="21"/>
  <c r="V85" i="21"/>
  <c r="AE84" i="21"/>
  <c r="AB84" i="21"/>
  <c r="Y84" i="21"/>
  <c r="V84" i="21"/>
  <c r="AE83" i="21"/>
  <c r="AB83" i="21"/>
  <c r="Y83" i="21"/>
  <c r="V83" i="21"/>
  <c r="AE82" i="21"/>
  <c r="AB82" i="21"/>
  <c r="Y82" i="21"/>
  <c r="V82" i="21"/>
  <c r="AE81" i="21"/>
  <c r="AB81" i="21"/>
  <c r="Y81" i="21"/>
  <c r="V81" i="21"/>
  <c r="AE42" i="21"/>
  <c r="AB42" i="21"/>
  <c r="Y42" i="21"/>
  <c r="AE41" i="21"/>
  <c r="AB41" i="21"/>
  <c r="Y41" i="21"/>
  <c r="AE40" i="21"/>
  <c r="AB40" i="21"/>
  <c r="Y40" i="21"/>
  <c r="AE39" i="21"/>
  <c r="AB39" i="21"/>
  <c r="Y39" i="21"/>
  <c r="AE38" i="21"/>
  <c r="AB38" i="21"/>
  <c r="Y38" i="21"/>
  <c r="AE37" i="21"/>
  <c r="AB37" i="21"/>
  <c r="Y37" i="21"/>
  <c r="AE36" i="21"/>
  <c r="AB36" i="21"/>
  <c r="Y36" i="21"/>
  <c r="V42" i="21"/>
  <c r="V41" i="21"/>
  <c r="V40" i="21"/>
  <c r="V39" i="21"/>
  <c r="V38" i="21"/>
  <c r="V37" i="21"/>
  <c r="V36" i="21"/>
  <c r="AE157" i="21"/>
  <c r="AE158" i="21" s="1"/>
  <c r="AE154" i="21"/>
  <c r="AE153" i="21"/>
  <c r="AE152" i="21"/>
  <c r="AE151" i="21"/>
  <c r="AE150" i="21"/>
  <c r="AE149" i="21"/>
  <c r="AE145" i="21"/>
  <c r="AE144" i="21"/>
  <c r="AE143" i="21"/>
  <c r="AE142" i="21"/>
  <c r="AE141" i="21"/>
  <c r="AE140" i="21"/>
  <c r="AE139" i="21"/>
  <c r="AE138" i="21"/>
  <c r="AE137" i="21"/>
  <c r="AE136" i="21"/>
  <c r="AE135" i="21"/>
  <c r="AE132" i="21"/>
  <c r="AE131" i="21"/>
  <c r="AE130" i="21"/>
  <c r="AE127" i="21"/>
  <c r="AE126" i="21"/>
  <c r="AE123" i="21"/>
  <c r="AE122" i="21"/>
  <c r="AE121" i="21"/>
  <c r="AE120" i="21"/>
  <c r="AE101" i="21"/>
  <c r="AE100" i="21"/>
  <c r="AE99" i="21"/>
  <c r="AE98" i="21"/>
  <c r="AE95" i="21"/>
  <c r="AE94" i="21"/>
  <c r="AE93" i="21"/>
  <c r="AE90" i="21"/>
  <c r="AE89" i="21"/>
  <c r="AE88" i="21"/>
  <c r="AE80" i="21"/>
  <c r="AE77" i="21"/>
  <c r="AE76" i="21"/>
  <c r="AE75" i="21"/>
  <c r="AE74" i="21"/>
  <c r="AE73" i="21"/>
  <c r="AE72" i="21"/>
  <c r="AE71" i="21"/>
  <c r="AE68" i="21"/>
  <c r="AE67" i="21"/>
  <c r="AE66" i="21"/>
  <c r="AE65" i="21"/>
  <c r="AE64" i="21"/>
  <c r="AE63" i="21"/>
  <c r="AE62" i="21"/>
  <c r="AE61" i="21"/>
  <c r="AE60" i="21"/>
  <c r="AE59" i="21"/>
  <c r="AE58" i="21"/>
  <c r="AE57" i="21"/>
  <c r="AE54" i="21"/>
  <c r="AE53" i="21"/>
  <c r="AE52" i="21"/>
  <c r="AE51" i="21"/>
  <c r="AE50" i="21"/>
  <c r="AE49" i="21"/>
  <c r="AE48" i="21"/>
  <c r="AE47" i="21"/>
  <c r="AE46" i="21"/>
  <c r="AE45" i="21"/>
  <c r="AE33" i="21"/>
  <c r="AE32" i="21"/>
  <c r="AE31" i="21"/>
  <c r="AE30" i="21"/>
  <c r="AE29" i="21"/>
  <c r="AE28" i="21"/>
  <c r="AE27" i="21"/>
  <c r="AE26" i="21"/>
  <c r="AE25" i="21"/>
  <c r="AE22" i="21"/>
  <c r="AE21" i="21"/>
  <c r="AE20" i="21"/>
  <c r="AE19" i="21"/>
  <c r="AE18" i="21"/>
  <c r="AE17" i="21"/>
  <c r="AE16" i="21"/>
  <c r="AE13" i="21"/>
  <c r="AE14" i="21" s="1"/>
  <c r="AE10" i="21"/>
  <c r="AE9" i="21"/>
  <c r="AE8" i="21"/>
  <c r="AB157" i="21"/>
  <c r="AB158" i="21" s="1"/>
  <c r="AB154" i="21"/>
  <c r="AB153" i="21"/>
  <c r="AB152" i="21"/>
  <c r="AB151" i="21"/>
  <c r="AB150" i="21"/>
  <c r="AB149" i="21"/>
  <c r="AB145" i="21"/>
  <c r="AB144" i="21"/>
  <c r="AB143" i="21"/>
  <c r="AB142" i="21"/>
  <c r="AB141" i="21"/>
  <c r="AB140" i="21"/>
  <c r="AB139" i="21"/>
  <c r="AB138" i="21"/>
  <c r="AB137" i="21"/>
  <c r="AB136" i="21"/>
  <c r="AB135" i="21"/>
  <c r="AB132" i="21"/>
  <c r="AB131" i="21"/>
  <c r="AB130" i="21"/>
  <c r="AB127" i="21"/>
  <c r="AB126" i="21"/>
  <c r="AB123" i="21"/>
  <c r="AB122" i="21"/>
  <c r="AB121" i="21"/>
  <c r="AB120" i="21"/>
  <c r="AB104" i="21"/>
  <c r="AB101" i="21"/>
  <c r="AB100" i="21"/>
  <c r="AB99" i="21"/>
  <c r="AB98" i="21"/>
  <c r="AB95" i="21"/>
  <c r="AB94" i="21"/>
  <c r="AB93" i="21"/>
  <c r="AB90" i="21"/>
  <c r="AB89" i="21"/>
  <c r="AB88" i="21"/>
  <c r="AB80" i="21"/>
  <c r="AB77" i="21"/>
  <c r="AB76" i="21"/>
  <c r="AB75" i="21"/>
  <c r="AB74" i="21"/>
  <c r="AB73" i="21"/>
  <c r="AB72" i="21"/>
  <c r="AB71" i="21"/>
  <c r="AB68" i="21"/>
  <c r="AB67" i="21"/>
  <c r="AB66" i="21"/>
  <c r="AB65" i="21"/>
  <c r="AB64" i="21"/>
  <c r="AB63" i="21"/>
  <c r="AB62" i="21"/>
  <c r="AB61" i="21"/>
  <c r="AB60" i="21"/>
  <c r="AB59" i="21"/>
  <c r="AB58" i="21"/>
  <c r="AB57" i="21"/>
  <c r="AB54" i="21"/>
  <c r="AB53" i="21"/>
  <c r="AB52" i="21"/>
  <c r="AB51" i="21"/>
  <c r="AB50" i="21"/>
  <c r="AB49" i="21"/>
  <c r="AB48" i="21"/>
  <c r="AB47" i="21"/>
  <c r="AB46" i="21"/>
  <c r="AB45" i="21"/>
  <c r="AB33" i="21"/>
  <c r="AB32" i="21"/>
  <c r="AB31" i="21"/>
  <c r="AB30" i="21"/>
  <c r="AB29" i="21"/>
  <c r="AB28" i="21"/>
  <c r="AB27" i="21"/>
  <c r="AB26" i="21"/>
  <c r="AB25" i="21"/>
  <c r="AB22" i="21"/>
  <c r="AB21" i="21"/>
  <c r="AB20" i="21"/>
  <c r="AB19" i="21"/>
  <c r="AB18" i="21"/>
  <c r="AB17" i="21"/>
  <c r="AB16" i="21"/>
  <c r="AB13" i="21"/>
  <c r="AB14" i="21" s="1"/>
  <c r="AB10" i="21"/>
  <c r="AB9" i="21"/>
  <c r="AB8" i="21"/>
  <c r="Y157" i="21"/>
  <c r="Y158" i="21" s="1"/>
  <c r="Y154" i="21"/>
  <c r="Y153" i="21"/>
  <c r="Y152" i="21"/>
  <c r="Y151" i="21"/>
  <c r="Y150" i="21"/>
  <c r="Y149" i="21"/>
  <c r="Y145" i="21"/>
  <c r="Y144" i="21"/>
  <c r="Y143" i="21"/>
  <c r="Y142" i="21"/>
  <c r="Y141" i="21"/>
  <c r="Y140" i="21"/>
  <c r="Y139" i="21"/>
  <c r="Y138" i="21"/>
  <c r="Y137" i="21"/>
  <c r="Y136" i="21"/>
  <c r="Y135" i="21"/>
  <c r="Y132" i="21"/>
  <c r="Y131" i="21"/>
  <c r="Y130" i="21"/>
  <c r="Y127" i="21"/>
  <c r="Y126" i="21"/>
  <c r="Y123" i="21"/>
  <c r="Y122" i="21"/>
  <c r="Y121" i="21"/>
  <c r="Y120" i="21"/>
  <c r="Y101" i="21"/>
  <c r="Y100" i="21"/>
  <c r="Y99" i="21"/>
  <c r="Y98" i="21"/>
  <c r="Y95" i="21"/>
  <c r="Y94" i="21"/>
  <c r="Y93" i="21"/>
  <c r="Y90" i="21"/>
  <c r="Y89" i="21"/>
  <c r="Y88" i="21"/>
  <c r="Y80" i="21"/>
  <c r="Y77" i="21"/>
  <c r="Y76" i="21"/>
  <c r="Y75" i="21"/>
  <c r="Y74" i="21"/>
  <c r="Y73" i="21"/>
  <c r="Y72" i="21"/>
  <c r="Y71" i="21"/>
  <c r="Y68" i="21"/>
  <c r="Y67" i="21"/>
  <c r="Y66" i="21"/>
  <c r="Y65" i="21"/>
  <c r="Y64" i="21"/>
  <c r="Y63" i="21"/>
  <c r="Y62" i="21"/>
  <c r="Y61" i="21"/>
  <c r="Y60" i="21"/>
  <c r="Y59" i="21"/>
  <c r="Y58" i="21"/>
  <c r="Y57" i="21"/>
  <c r="Y54" i="21"/>
  <c r="Y53" i="21"/>
  <c r="Y52" i="21"/>
  <c r="Y51" i="21"/>
  <c r="Y50" i="21"/>
  <c r="Y49" i="21"/>
  <c r="Y48" i="21"/>
  <c r="Y47" i="21"/>
  <c r="Y46" i="21"/>
  <c r="Y45" i="21"/>
  <c r="Y33" i="21"/>
  <c r="Y32" i="21"/>
  <c r="Y31" i="21"/>
  <c r="Y30" i="21"/>
  <c r="Y29" i="21"/>
  <c r="Y28" i="21"/>
  <c r="Y27" i="21"/>
  <c r="Y26" i="21"/>
  <c r="Y25" i="21"/>
  <c r="Y22" i="21"/>
  <c r="Y21" i="21"/>
  <c r="Y20" i="21"/>
  <c r="Y19" i="21"/>
  <c r="Y18" i="21"/>
  <c r="Y17" i="21"/>
  <c r="Y16" i="21"/>
  <c r="Y13" i="21"/>
  <c r="Y14" i="21" s="1"/>
  <c r="Y10" i="21"/>
  <c r="Y9" i="21"/>
  <c r="Y8" i="21"/>
  <c r="V157" i="21"/>
  <c r="V154" i="21"/>
  <c r="V153" i="21"/>
  <c r="V152" i="21"/>
  <c r="V151" i="21"/>
  <c r="V150" i="21"/>
  <c r="V149" i="21"/>
  <c r="Q85" i="26" l="1"/>
  <c r="I82" i="26"/>
  <c r="O82" i="26"/>
  <c r="I85" i="26"/>
  <c r="K85" i="26"/>
  <c r="M85" i="26"/>
  <c r="O85" i="26"/>
  <c r="I103" i="26"/>
  <c r="AB147" i="21"/>
  <c r="Y147" i="21"/>
  <c r="AE147" i="21"/>
  <c r="K18" i="26"/>
  <c r="J26" i="26"/>
  <c r="H51" i="26"/>
  <c r="K117" i="26"/>
  <c r="K115" i="26" s="1"/>
  <c r="P82" i="26"/>
  <c r="M103" i="26"/>
  <c r="Q103" i="26"/>
  <c r="H35" i="26"/>
  <c r="T117" i="26"/>
  <c r="T115" i="26" s="1"/>
  <c r="L117" i="26"/>
  <c r="L115" i="26" s="1"/>
  <c r="G71" i="26"/>
  <c r="I120" i="26"/>
  <c r="H19" i="26"/>
  <c r="L82" i="26"/>
  <c r="T82" i="26"/>
  <c r="G84" i="26"/>
  <c r="H84" i="26" s="1"/>
  <c r="Q82" i="26"/>
  <c r="G86" i="26"/>
  <c r="J85" i="26"/>
  <c r="L85" i="26"/>
  <c r="N85" i="26"/>
  <c r="P85" i="26"/>
  <c r="N103" i="26"/>
  <c r="P103" i="26"/>
  <c r="R103" i="26"/>
  <c r="T103" i="26"/>
  <c r="K82" i="26"/>
  <c r="M82" i="26"/>
  <c r="S82" i="26"/>
  <c r="N82" i="26"/>
  <c r="R82" i="26"/>
  <c r="T94" i="26"/>
  <c r="O94" i="26"/>
  <c r="S94" i="26"/>
  <c r="N115" i="26"/>
  <c r="P115" i="26"/>
  <c r="R115" i="26"/>
  <c r="J103" i="26"/>
  <c r="H96" i="26"/>
  <c r="H86" i="26"/>
  <c r="H71" i="26"/>
  <c r="H66" i="26"/>
  <c r="H64" i="26"/>
  <c r="J62" i="26"/>
  <c r="G57" i="26"/>
  <c r="H57" i="26" s="1"/>
  <c r="H49" i="26"/>
  <c r="M48" i="26"/>
  <c r="N48" i="26" s="1"/>
  <c r="O48" i="26" s="1"/>
  <c r="P48" i="26" s="1"/>
  <c r="Q48" i="26" s="1"/>
  <c r="R48" i="26" s="1"/>
  <c r="S48" i="26" s="1"/>
  <c r="T48" i="26" s="1"/>
  <c r="G47" i="26"/>
  <c r="H47" i="26" s="1"/>
  <c r="H44" i="26"/>
  <c r="H43" i="26"/>
  <c r="G41" i="26"/>
  <c r="H41" i="26" s="1"/>
  <c r="G39" i="26"/>
  <c r="H39" i="26"/>
  <c r="G21" i="26"/>
  <c r="H21" i="26" s="1"/>
  <c r="H16" i="26"/>
  <c r="P65" i="26"/>
  <c r="Q65" i="26" s="1"/>
  <c r="R65" i="26" s="1"/>
  <c r="S65" i="26" s="1"/>
  <c r="T65" i="26" s="1"/>
  <c r="G20" i="26"/>
  <c r="H20" i="26" s="1"/>
  <c r="T31" i="26"/>
  <c r="R31" i="26"/>
  <c r="P31" i="26"/>
  <c r="N31" i="26"/>
  <c r="L31" i="26"/>
  <c r="J31" i="26"/>
  <c r="M31" i="26"/>
  <c r="Q31" i="26"/>
  <c r="H32" i="26"/>
  <c r="I34" i="26"/>
  <c r="K37" i="26"/>
  <c r="L37" i="26" s="1"/>
  <c r="M37" i="26" s="1"/>
  <c r="N37" i="26" s="1"/>
  <c r="O37" i="26" s="1"/>
  <c r="P37" i="26" s="1"/>
  <c r="Q37" i="26" s="1"/>
  <c r="R37" i="26" s="1"/>
  <c r="S37" i="26" s="1"/>
  <c r="T37" i="26" s="1"/>
  <c r="G37" i="26"/>
  <c r="H37" i="26" s="1"/>
  <c r="L56" i="26"/>
  <c r="T67" i="26"/>
  <c r="R67" i="26"/>
  <c r="P67" i="26"/>
  <c r="N67" i="26"/>
  <c r="L67" i="26"/>
  <c r="J67" i="26"/>
  <c r="S67" i="26"/>
  <c r="O67" i="26"/>
  <c r="K67" i="26"/>
  <c r="Q67" i="26"/>
  <c r="H9" i="26"/>
  <c r="K15" i="26"/>
  <c r="M15" i="26"/>
  <c r="O15" i="26"/>
  <c r="Q15" i="26"/>
  <c r="I30" i="26"/>
  <c r="K31" i="26"/>
  <c r="O31" i="26"/>
  <c r="S31" i="26"/>
  <c r="D34" i="26"/>
  <c r="D30" i="26" s="1"/>
  <c r="H36" i="26"/>
  <c r="L40" i="26"/>
  <c r="M40" i="26" s="1"/>
  <c r="N40" i="26" s="1"/>
  <c r="O40" i="26" s="1"/>
  <c r="P40" i="26" s="1"/>
  <c r="Q40" i="26" s="1"/>
  <c r="R40" i="26" s="1"/>
  <c r="S40" i="26" s="1"/>
  <c r="T40" i="26" s="1"/>
  <c r="L42" i="26"/>
  <c r="M42" i="26" s="1"/>
  <c r="N42" i="26" s="1"/>
  <c r="O42" i="26" s="1"/>
  <c r="P42" i="26" s="1"/>
  <c r="Q42" i="26" s="1"/>
  <c r="R42" i="26" s="1"/>
  <c r="S42" i="26" s="1"/>
  <c r="G45" i="26"/>
  <c r="K59" i="26"/>
  <c r="J58" i="26"/>
  <c r="M67" i="26"/>
  <c r="K73" i="26"/>
  <c r="L73" i="26" s="1"/>
  <c r="M73" i="26" s="1"/>
  <c r="N73" i="26" s="1"/>
  <c r="O73" i="26" s="1"/>
  <c r="P73" i="26" s="1"/>
  <c r="Q73" i="26" s="1"/>
  <c r="R73" i="26" s="1"/>
  <c r="S73" i="26" s="1"/>
  <c r="T73" i="26" s="1"/>
  <c r="G76" i="26"/>
  <c r="H45" i="26"/>
  <c r="H46" i="26"/>
  <c r="H50" i="26"/>
  <c r="I77" i="26"/>
  <c r="L61" i="26"/>
  <c r="M61" i="26" s="1"/>
  <c r="N61" i="26" s="1"/>
  <c r="O61" i="26" s="1"/>
  <c r="P61" i="26" s="1"/>
  <c r="Q61" i="26" s="1"/>
  <c r="R61" i="26" s="1"/>
  <c r="S61" i="26" s="1"/>
  <c r="T61" i="26" s="1"/>
  <c r="L63" i="26"/>
  <c r="L68" i="26"/>
  <c r="M68" i="26" s="1"/>
  <c r="N68" i="26" s="1"/>
  <c r="O68" i="26" s="1"/>
  <c r="P68" i="26" s="1"/>
  <c r="Q68" i="26" s="1"/>
  <c r="R68" i="26" s="1"/>
  <c r="S68" i="26" s="1"/>
  <c r="T68" i="26" s="1"/>
  <c r="Q69" i="26"/>
  <c r="R69" i="26" s="1"/>
  <c r="S69" i="26" s="1"/>
  <c r="T69" i="26" s="1"/>
  <c r="H72" i="26"/>
  <c r="H76" i="26"/>
  <c r="G83" i="26"/>
  <c r="J82" i="26"/>
  <c r="I94" i="26"/>
  <c r="H98" i="26"/>
  <c r="H101" i="26"/>
  <c r="M118" i="26"/>
  <c r="N118" i="26" s="1"/>
  <c r="O118" i="26" s="1"/>
  <c r="AG11" i="21"/>
  <c r="AE86" i="21"/>
  <c r="AG23" i="21"/>
  <c r="AG43" i="21"/>
  <c r="AG86" i="21"/>
  <c r="AG96" i="21"/>
  <c r="AG102" i="21"/>
  <c r="AG124" i="21"/>
  <c r="AG128" i="21"/>
  <c r="AG147" i="21"/>
  <c r="AG155" i="21"/>
  <c r="F4" i="23"/>
  <c r="G4" i="23"/>
  <c r="H4" i="23"/>
  <c r="E4" i="23"/>
  <c r="V43" i="21"/>
  <c r="AB43" i="21"/>
  <c r="AG34" i="21"/>
  <c r="AG55" i="21"/>
  <c r="AG69" i="21"/>
  <c r="AG78" i="21"/>
  <c r="AG91" i="21"/>
  <c r="AG133" i="21"/>
  <c r="AB23" i="21"/>
  <c r="AB78" i="21"/>
  <c r="AB86" i="21"/>
  <c r="Y23" i="21"/>
  <c r="Y55" i="21"/>
  <c r="Y69" i="21"/>
  <c r="Y78" i="21"/>
  <c r="Y91" i="21"/>
  <c r="Y102" i="21"/>
  <c r="Y124" i="21"/>
  <c r="Y128" i="21"/>
  <c r="Y133" i="21"/>
  <c r="Y155" i="21"/>
  <c r="AB96" i="21"/>
  <c r="AB102" i="21"/>
  <c r="AB124" i="21"/>
  <c r="AB128" i="21"/>
  <c r="AB155" i="21"/>
  <c r="AE34" i="21"/>
  <c r="AE96" i="21"/>
  <c r="Y43" i="21"/>
  <c r="AE43" i="21"/>
  <c r="Y34" i="21"/>
  <c r="Y86" i="21"/>
  <c r="Y96" i="21"/>
  <c r="AB34" i="21"/>
  <c r="AB55" i="21"/>
  <c r="AB69" i="21"/>
  <c r="AB91" i="21"/>
  <c r="AB133" i="21"/>
  <c r="AE23" i="21"/>
  <c r="AE55" i="21"/>
  <c r="AE69" i="21"/>
  <c r="AE78" i="21"/>
  <c r="AE91" i="21"/>
  <c r="AE102" i="21"/>
  <c r="AE124" i="21"/>
  <c r="AE128" i="21"/>
  <c r="AE133" i="21"/>
  <c r="AE155" i="21"/>
  <c r="AE11" i="21"/>
  <c r="AB11" i="21"/>
  <c r="Y11" i="21"/>
  <c r="G82" i="26" l="1"/>
  <c r="H82" i="26" s="1"/>
  <c r="L18" i="26"/>
  <c r="K26" i="26"/>
  <c r="J117" i="26"/>
  <c r="G24" i="26"/>
  <c r="H24" i="26" s="1"/>
  <c r="G68" i="26"/>
  <c r="H68" i="26" s="1"/>
  <c r="G48" i="26"/>
  <c r="H48" i="26" s="1"/>
  <c r="G69" i="26"/>
  <c r="H69" i="26" s="1"/>
  <c r="G67" i="26"/>
  <c r="H67" i="26" s="1"/>
  <c r="G61" i="26"/>
  <c r="H61" i="26" s="1"/>
  <c r="P118" i="26"/>
  <c r="O120" i="26"/>
  <c r="L62" i="26"/>
  <c r="M63" i="26"/>
  <c r="H83" i="26"/>
  <c r="G31" i="26"/>
  <c r="K120" i="26"/>
  <c r="M56" i="26"/>
  <c r="T34" i="26"/>
  <c r="R34" i="26"/>
  <c r="R30" i="26" s="1"/>
  <c r="P34" i="26"/>
  <c r="N34" i="26"/>
  <c r="N30" i="26" s="1"/>
  <c r="L34" i="26"/>
  <c r="J34" i="26"/>
  <c r="J30" i="26" s="1"/>
  <c r="S34" i="26"/>
  <c r="O34" i="26"/>
  <c r="O53" i="26" s="1"/>
  <c r="K34" i="26"/>
  <c r="Q34" i="26"/>
  <c r="M34" i="26"/>
  <c r="M53" i="26" s="1"/>
  <c r="M30" i="26"/>
  <c r="L53" i="26"/>
  <c r="L30" i="26"/>
  <c r="P53" i="26"/>
  <c r="P30" i="26"/>
  <c r="T53" i="26"/>
  <c r="T30" i="26"/>
  <c r="L120" i="26"/>
  <c r="G15" i="26"/>
  <c r="H15" i="26" s="1"/>
  <c r="M120" i="26"/>
  <c r="G74" i="26"/>
  <c r="H74" i="26" s="1"/>
  <c r="G73" i="26"/>
  <c r="H73" i="26" s="1"/>
  <c r="J77" i="26"/>
  <c r="L59" i="26"/>
  <c r="K58" i="26"/>
  <c r="K77" i="26" s="1"/>
  <c r="G42" i="26"/>
  <c r="G40" i="26"/>
  <c r="H40" i="26" s="1"/>
  <c r="S53" i="26"/>
  <c r="S30" i="26"/>
  <c r="K53" i="26"/>
  <c r="K30" i="26"/>
  <c r="D53" i="26"/>
  <c r="D122" i="26" s="1"/>
  <c r="D124" i="26" s="1"/>
  <c r="G22" i="26"/>
  <c r="H22" i="26" s="1"/>
  <c r="G17" i="26"/>
  <c r="H17" i="26" s="1"/>
  <c r="Q53" i="26"/>
  <c r="Q30" i="26"/>
  <c r="J53" i="26"/>
  <c r="N53" i="26"/>
  <c r="R53" i="26"/>
  <c r="I53" i="26"/>
  <c r="N120" i="26"/>
  <c r="G65" i="26"/>
  <c r="H65" i="26" s="1"/>
  <c r="G23" i="26"/>
  <c r="H11" i="26"/>
  <c r="AG159" i="21"/>
  <c r="Y159" i="21"/>
  <c r="AE159" i="21"/>
  <c r="AB159" i="21"/>
  <c r="S47" i="25"/>
  <c r="R46" i="25"/>
  <c r="R45" i="25"/>
  <c r="R44" i="25"/>
  <c r="R43" i="25"/>
  <c r="R42" i="25"/>
  <c r="R41" i="25"/>
  <c r="T41" i="25" s="1"/>
  <c r="R40" i="25"/>
  <c r="R39" i="25"/>
  <c r="R38" i="25"/>
  <c r="R37" i="25"/>
  <c r="R36" i="25"/>
  <c r="R35" i="25"/>
  <c r="R34" i="25"/>
  <c r="R33" i="25"/>
  <c r="R32" i="25"/>
  <c r="R30" i="25"/>
  <c r="R29" i="25"/>
  <c r="R28" i="25"/>
  <c r="R27" i="25"/>
  <c r="R26" i="25"/>
  <c r="R24" i="25"/>
  <c r="R23" i="25"/>
  <c r="R22" i="25"/>
  <c r="R21" i="25"/>
  <c r="R18" i="25"/>
  <c r="R17" i="25"/>
  <c r="R15" i="25"/>
  <c r="R13" i="25"/>
  <c r="R12" i="25"/>
  <c r="R11" i="25"/>
  <c r="R9" i="25"/>
  <c r="U9" i="25" s="1"/>
  <c r="R8" i="25"/>
  <c r="M18" i="26" l="1"/>
  <c r="L26" i="26"/>
  <c r="J115" i="26"/>
  <c r="J120" i="26" s="1"/>
  <c r="G117" i="26"/>
  <c r="H23" i="26"/>
  <c r="G34" i="26"/>
  <c r="H34" i="26" s="1"/>
  <c r="N56" i="26"/>
  <c r="O30" i="26"/>
  <c r="N63" i="26"/>
  <c r="M62" i="26"/>
  <c r="M59" i="26"/>
  <c r="L58" i="26"/>
  <c r="L77" i="26" s="1"/>
  <c r="G53" i="26"/>
  <c r="G30" i="26"/>
  <c r="H30" i="26" s="1"/>
  <c r="H31" i="26"/>
  <c r="Q118" i="26"/>
  <c r="P120" i="26"/>
  <c r="V145" i="21"/>
  <c r="V144" i="21"/>
  <c r="V143" i="21"/>
  <c r="V142" i="21"/>
  <c r="V141" i="21"/>
  <c r="V140" i="21"/>
  <c r="V139" i="21"/>
  <c r="V138" i="21"/>
  <c r="V137" i="21"/>
  <c r="V136" i="21"/>
  <c r="V135" i="21"/>
  <c r="V132" i="21"/>
  <c r="V131" i="21"/>
  <c r="V130" i="21"/>
  <c r="V127" i="21"/>
  <c r="V126" i="21"/>
  <c r="V123" i="21"/>
  <c r="V122" i="21"/>
  <c r="V121" i="21"/>
  <c r="V120" i="21"/>
  <c r="V105" i="21"/>
  <c r="V104" i="21"/>
  <c r="V101" i="21"/>
  <c r="V100" i="21"/>
  <c r="V99" i="21"/>
  <c r="V98" i="21"/>
  <c r="V95" i="21"/>
  <c r="V94" i="21"/>
  <c r="V93" i="21"/>
  <c r="V90" i="21"/>
  <c r="V89" i="21"/>
  <c r="V88" i="21"/>
  <c r="V80" i="21"/>
  <c r="V86" i="21" s="1"/>
  <c r="V77" i="21"/>
  <c r="V76" i="21"/>
  <c r="V75" i="21"/>
  <c r="V74" i="21"/>
  <c r="V73" i="21"/>
  <c r="V72" i="21"/>
  <c r="V71" i="21"/>
  <c r="V68" i="21"/>
  <c r="V67" i="21"/>
  <c r="V66" i="21"/>
  <c r="V65" i="21"/>
  <c r="V64" i="21"/>
  <c r="V63" i="21"/>
  <c r="V62" i="21"/>
  <c r="V61" i="21"/>
  <c r="V60" i="21"/>
  <c r="V59" i="21"/>
  <c r="V58" i="21"/>
  <c r="V57" i="21"/>
  <c r="V54" i="21"/>
  <c r="V53" i="21"/>
  <c r="V52" i="21"/>
  <c r="V51" i="21"/>
  <c r="V50" i="21"/>
  <c r="V49" i="21"/>
  <c r="V48" i="21"/>
  <c r="V47" i="21"/>
  <c r="V46" i="21"/>
  <c r="V45" i="21"/>
  <c r="V33" i="21"/>
  <c r="V32" i="21"/>
  <c r="V31" i="21"/>
  <c r="V30" i="21"/>
  <c r="V29" i="21"/>
  <c r="V28" i="21"/>
  <c r="V27" i="21"/>
  <c r="V26" i="21"/>
  <c r="V25" i="21"/>
  <c r="V22" i="21"/>
  <c r="V13" i="21"/>
  <c r="V10" i="21"/>
  <c r="M26" i="26" l="1"/>
  <c r="N18" i="26"/>
  <c r="G115" i="26"/>
  <c r="H115" i="26" s="1"/>
  <c r="H117" i="26"/>
  <c r="R118" i="26"/>
  <c r="Q120" i="26"/>
  <c r="H53" i="26"/>
  <c r="M58" i="26"/>
  <c r="M77" i="26" s="1"/>
  <c r="N59" i="26"/>
  <c r="N62" i="26"/>
  <c r="O63" i="26"/>
  <c r="O56" i="26"/>
  <c r="V96" i="21"/>
  <c r="V55" i="21"/>
  <c r="V78" i="21"/>
  <c r="V91" i="21"/>
  <c r="V102" i="21"/>
  <c r="V124" i="21"/>
  <c r="V128" i="21"/>
  <c r="V147" i="21"/>
  <c r="V21" i="21"/>
  <c r="V20" i="21"/>
  <c r="V19" i="21"/>
  <c r="V18" i="21"/>
  <c r="V17" i="21"/>
  <c r="V16" i="21"/>
  <c r="V158" i="21"/>
  <c r="V155" i="21"/>
  <c r="V133" i="21"/>
  <c r="V69" i="21"/>
  <c r="V34" i="21"/>
  <c r="V14" i="21"/>
  <c r="V9" i="21"/>
  <c r="V8" i="21"/>
  <c r="O18" i="26" l="1"/>
  <c r="S118" i="26"/>
  <c r="P56" i="26"/>
  <c r="P63" i="26"/>
  <c r="O62" i="26"/>
  <c r="O59" i="26"/>
  <c r="N58" i="26"/>
  <c r="N77" i="26" s="1"/>
  <c r="V23" i="21"/>
  <c r="V11" i="21"/>
  <c r="K10" i="1"/>
  <c r="L10" i="1" s="1"/>
  <c r="M10" i="1" s="1"/>
  <c r="N10" i="1" s="1"/>
  <c r="K11" i="1"/>
  <c r="L11" i="1" s="1"/>
  <c r="G12" i="1"/>
  <c r="G13" i="1"/>
  <c r="O14" i="1"/>
  <c r="N14" i="26" s="1"/>
  <c r="N26" i="26" s="1"/>
  <c r="Q14" i="1"/>
  <c r="P14" i="26" s="1"/>
  <c r="R14" i="1"/>
  <c r="Q14" i="26" s="1"/>
  <c r="S14" i="1"/>
  <c r="R14" i="26" s="1"/>
  <c r="L15" i="1"/>
  <c r="G16" i="1"/>
  <c r="K17" i="1"/>
  <c r="K18" i="1"/>
  <c r="L18" i="1" s="1"/>
  <c r="M18" i="1" s="1"/>
  <c r="N18" i="1" s="1"/>
  <c r="O18" i="1" s="1"/>
  <c r="P18" i="1" s="1"/>
  <c r="Q18" i="1" s="1"/>
  <c r="R18" i="1" s="1"/>
  <c r="S18" i="1" s="1"/>
  <c r="T18" i="1" s="1"/>
  <c r="U18" i="1" s="1"/>
  <c r="G19" i="1"/>
  <c r="K20" i="1"/>
  <c r="L20" i="1" s="1"/>
  <c r="M20" i="1" s="1"/>
  <c r="N20" i="1" s="1"/>
  <c r="O20" i="1" s="1"/>
  <c r="P20" i="1" s="1"/>
  <c r="Q20" i="1" s="1"/>
  <c r="R20" i="1" s="1"/>
  <c r="S20" i="1" s="1"/>
  <c r="T20" i="1" s="1"/>
  <c r="U20" i="1" s="1"/>
  <c r="G21" i="1"/>
  <c r="K22" i="1"/>
  <c r="M23" i="1"/>
  <c r="K24" i="1"/>
  <c r="L24" i="1"/>
  <c r="M24" i="1"/>
  <c r="N24" i="1"/>
  <c r="N115" i="1" s="1"/>
  <c r="O24" i="1"/>
  <c r="O117" i="1" s="1"/>
  <c r="O115" i="1" s="1"/>
  <c r="P24" i="1"/>
  <c r="Q24" i="1"/>
  <c r="R24" i="1"/>
  <c r="R117" i="1" s="1"/>
  <c r="R115" i="1" s="1"/>
  <c r="S24" i="1"/>
  <c r="S115" i="1" s="1"/>
  <c r="T24" i="1"/>
  <c r="U24" i="1"/>
  <c r="D31" i="1"/>
  <c r="J31" i="1"/>
  <c r="L31" i="1" s="1"/>
  <c r="G32" i="1"/>
  <c r="D33" i="1"/>
  <c r="K33" i="1"/>
  <c r="L33" i="1"/>
  <c r="M33" i="1"/>
  <c r="N33" i="1"/>
  <c r="O33" i="1"/>
  <c r="P33" i="1"/>
  <c r="Q33" i="1"/>
  <c r="R33" i="1"/>
  <c r="S33" i="1"/>
  <c r="T33" i="1"/>
  <c r="U33" i="1"/>
  <c r="G35" i="1"/>
  <c r="G38" i="1"/>
  <c r="G36" i="1"/>
  <c r="K45" i="1"/>
  <c r="L45" i="1" s="1"/>
  <c r="M45" i="1" s="1"/>
  <c r="N45" i="1" s="1"/>
  <c r="O45" i="1" s="1"/>
  <c r="P45" i="1" s="1"/>
  <c r="Q45" i="1" s="1"/>
  <c r="R45" i="1" s="1"/>
  <c r="S45" i="1" s="1"/>
  <c r="T45" i="1" s="1"/>
  <c r="U45" i="1" s="1"/>
  <c r="G46" i="1"/>
  <c r="G51" i="1"/>
  <c r="G47" i="1"/>
  <c r="G39" i="1"/>
  <c r="G43" i="1"/>
  <c r="G48" i="1"/>
  <c r="K40" i="1"/>
  <c r="G49" i="1"/>
  <c r="G50" i="1"/>
  <c r="G41" i="1"/>
  <c r="K42" i="1"/>
  <c r="L42" i="1" s="1"/>
  <c r="D52" i="1"/>
  <c r="G52" i="1"/>
  <c r="G44" i="1"/>
  <c r="K56" i="1"/>
  <c r="L56" i="1"/>
  <c r="M56" i="1" s="1"/>
  <c r="N56" i="1" s="1"/>
  <c r="O56" i="1" s="1"/>
  <c r="P56" i="1" s="1"/>
  <c r="Q56" i="1" s="1"/>
  <c r="R56" i="1" s="1"/>
  <c r="S56" i="1" s="1"/>
  <c r="T56" i="1" s="1"/>
  <c r="U56" i="1" s="1"/>
  <c r="K57" i="1"/>
  <c r="M57" i="1"/>
  <c r="N57" i="1"/>
  <c r="P57" i="1"/>
  <c r="Q57" i="1" s="1"/>
  <c r="R57" i="1" s="1"/>
  <c r="S57" i="1" s="1"/>
  <c r="J67" i="1"/>
  <c r="K67" i="1" s="1"/>
  <c r="J70" i="1"/>
  <c r="G70" i="1" s="1"/>
  <c r="J75" i="1"/>
  <c r="G75" i="1" s="1"/>
  <c r="D58" i="1"/>
  <c r="J58" i="1"/>
  <c r="G60" i="1"/>
  <c r="K61" i="1"/>
  <c r="L61" i="1" s="1"/>
  <c r="M61" i="1" s="1"/>
  <c r="N61" i="1" s="1"/>
  <c r="O61" i="1" s="1"/>
  <c r="P61" i="1" s="1"/>
  <c r="Q61" i="1" s="1"/>
  <c r="R61" i="1" s="1"/>
  <c r="S61" i="1" s="1"/>
  <c r="T61" i="1" s="1"/>
  <c r="U61" i="1" s="1"/>
  <c r="G71" i="1"/>
  <c r="D62" i="1"/>
  <c r="J62" i="1"/>
  <c r="K63" i="1"/>
  <c r="K62" i="1" s="1"/>
  <c r="G64" i="1"/>
  <c r="J65" i="1"/>
  <c r="K65" i="1"/>
  <c r="L65" i="1" s="1"/>
  <c r="M65" i="1" s="1"/>
  <c r="N65" i="1" s="1"/>
  <c r="O65" i="1" s="1"/>
  <c r="P65" i="1" s="1"/>
  <c r="Q65" i="1" s="1"/>
  <c r="R65" i="1" s="1"/>
  <c r="S65" i="1" s="1"/>
  <c r="T65" i="1" s="1"/>
  <c r="U65" i="1" s="1"/>
  <c r="J72" i="1"/>
  <c r="M72" i="1"/>
  <c r="P72" i="1"/>
  <c r="S72" i="1"/>
  <c r="J69" i="1"/>
  <c r="K69" i="1" s="1"/>
  <c r="L69" i="1" s="1"/>
  <c r="M69" i="1" s="1"/>
  <c r="N69" i="1" s="1"/>
  <c r="O69" i="1" s="1"/>
  <c r="P69" i="1" s="1"/>
  <c r="Q69" i="1" s="1"/>
  <c r="R69" i="1" s="1"/>
  <c r="S69" i="1" s="1"/>
  <c r="T69" i="1" s="1"/>
  <c r="U69" i="1" s="1"/>
  <c r="J73" i="1"/>
  <c r="K73" i="1" s="1"/>
  <c r="K68" i="1"/>
  <c r="L68" i="1" s="1"/>
  <c r="K74" i="1"/>
  <c r="L74" i="1" s="1"/>
  <c r="M76" i="1"/>
  <c r="N76" i="1" s="1"/>
  <c r="D85" i="1"/>
  <c r="D91" i="1"/>
  <c r="D94" i="1"/>
  <c r="D100" i="1"/>
  <c r="D97" i="1"/>
  <c r="D103" i="1"/>
  <c r="G116" i="1"/>
  <c r="J115" i="1"/>
  <c r="L115" i="1"/>
  <c r="M115" i="1"/>
  <c r="P117" i="1"/>
  <c r="P115" i="1" s="1"/>
  <c r="Q117" i="1"/>
  <c r="Q115" i="1" s="1"/>
  <c r="T115" i="1"/>
  <c r="U115" i="1"/>
  <c r="K118" i="1"/>
  <c r="M118" i="1" s="1"/>
  <c r="N118" i="1" s="1"/>
  <c r="O118" i="1" s="1"/>
  <c r="P118" i="1" s="1"/>
  <c r="Q118" i="1" s="1"/>
  <c r="R118" i="1" s="1"/>
  <c r="S118" i="1" s="1"/>
  <c r="D120" i="1"/>
  <c r="P18" i="26" l="1"/>
  <c r="O26" i="26"/>
  <c r="G14" i="26"/>
  <c r="H14" i="26" s="1"/>
  <c r="L22" i="1"/>
  <c r="M22" i="1" s="1"/>
  <c r="N22" i="1" s="1"/>
  <c r="O22" i="1" s="1"/>
  <c r="P22" i="1" s="1"/>
  <c r="Q22" i="1" s="1"/>
  <c r="R22" i="1" s="1"/>
  <c r="S22" i="1" s="1"/>
  <c r="T22" i="1" s="1"/>
  <c r="U22" i="1" s="1"/>
  <c r="P59" i="26"/>
  <c r="O58" i="26"/>
  <c r="O77" i="26" s="1"/>
  <c r="Q56" i="26"/>
  <c r="P62" i="26"/>
  <c r="Q63" i="26"/>
  <c r="T118" i="26"/>
  <c r="T120" i="26" s="1"/>
  <c r="S120" i="26"/>
  <c r="G118" i="26"/>
  <c r="V159" i="21"/>
  <c r="D34" i="1"/>
  <c r="D53" i="1" s="1"/>
  <c r="J77" i="1"/>
  <c r="N67" i="1"/>
  <c r="R67" i="1"/>
  <c r="U15" i="1"/>
  <c r="J34" i="1"/>
  <c r="N34" i="1" s="1"/>
  <c r="O15" i="1"/>
  <c r="N15" i="1"/>
  <c r="S31" i="1"/>
  <c r="C24" i="6"/>
  <c r="S15" i="1"/>
  <c r="G72" i="1"/>
  <c r="P31" i="1"/>
  <c r="R15" i="1"/>
  <c r="M15" i="1"/>
  <c r="C22" i="6"/>
  <c r="C21" i="6"/>
  <c r="O31" i="1"/>
  <c r="Q15" i="1"/>
  <c r="K15" i="1"/>
  <c r="T31" i="1"/>
  <c r="N23" i="1"/>
  <c r="O23" i="1" s="1"/>
  <c r="P23" i="1" s="1"/>
  <c r="Q23" i="1" s="1"/>
  <c r="R23" i="1" s="1"/>
  <c r="S23" i="1" s="1"/>
  <c r="T23" i="1" s="1"/>
  <c r="U23" i="1" s="1"/>
  <c r="G24" i="1"/>
  <c r="L63" i="1"/>
  <c r="K59" i="1"/>
  <c r="G33" i="1"/>
  <c r="J30" i="1"/>
  <c r="T15" i="1"/>
  <c r="P15" i="1"/>
  <c r="G117" i="1"/>
  <c r="G45" i="1"/>
  <c r="R34" i="1"/>
  <c r="R31" i="1"/>
  <c r="N31" i="1"/>
  <c r="N30" i="1" s="1"/>
  <c r="U31" i="1"/>
  <c r="Q31" i="1"/>
  <c r="M31" i="1"/>
  <c r="D30" i="1"/>
  <c r="G14" i="1"/>
  <c r="M74" i="1"/>
  <c r="N74" i="1"/>
  <c r="O74" i="1" s="1"/>
  <c r="P74" i="1" s="1"/>
  <c r="Q74" i="1" s="1"/>
  <c r="R74" i="1" s="1"/>
  <c r="S74" i="1" s="1"/>
  <c r="T74" i="1" s="1"/>
  <c r="U74" i="1" s="1"/>
  <c r="T118" i="1"/>
  <c r="U118" i="1" s="1"/>
  <c r="O76" i="1"/>
  <c r="P76" i="1" s="1"/>
  <c r="Q76" i="1" s="1"/>
  <c r="R76" i="1" s="1"/>
  <c r="S76" i="1" s="1"/>
  <c r="T76" i="1" s="1"/>
  <c r="U76" i="1" s="1"/>
  <c r="M68" i="1"/>
  <c r="N68" i="1" s="1"/>
  <c r="O68" i="1" s="1"/>
  <c r="P68" i="1" s="1"/>
  <c r="Q68" i="1" s="1"/>
  <c r="R68" i="1" s="1"/>
  <c r="S68" i="1" s="1"/>
  <c r="T68" i="1" s="1"/>
  <c r="U68" i="1" s="1"/>
  <c r="G18" i="1"/>
  <c r="M11" i="1"/>
  <c r="K115" i="1"/>
  <c r="L73" i="1"/>
  <c r="M73" i="1" s="1"/>
  <c r="N73" i="1" s="1"/>
  <c r="O73" i="1" s="1"/>
  <c r="P73" i="1" s="1"/>
  <c r="Q73" i="1" s="1"/>
  <c r="R73" i="1" s="1"/>
  <c r="S73" i="1" s="1"/>
  <c r="T73" i="1" s="1"/>
  <c r="U73" i="1" s="1"/>
  <c r="G69" i="1"/>
  <c r="L17" i="1"/>
  <c r="M17" i="1" s="1"/>
  <c r="N17" i="1" s="1"/>
  <c r="O17" i="1" s="1"/>
  <c r="P17" i="1" s="1"/>
  <c r="Q17" i="1" s="1"/>
  <c r="R17" i="1" s="1"/>
  <c r="S17" i="1" s="1"/>
  <c r="T17" i="1" s="1"/>
  <c r="U17" i="1" s="1"/>
  <c r="O10" i="1"/>
  <c r="M42" i="1"/>
  <c r="N42" i="1" s="1"/>
  <c r="O42" i="1" s="1"/>
  <c r="P42" i="1" s="1"/>
  <c r="Q42" i="1" s="1"/>
  <c r="R42" i="1" s="1"/>
  <c r="S42" i="1" s="1"/>
  <c r="T42" i="1" s="1"/>
  <c r="L40" i="1"/>
  <c r="M40" i="1" s="1"/>
  <c r="N40" i="1" s="1"/>
  <c r="O40" i="1" s="1"/>
  <c r="P40" i="1" s="1"/>
  <c r="Q40" i="1" s="1"/>
  <c r="R40" i="1" s="1"/>
  <c r="S40" i="1" s="1"/>
  <c r="T40" i="1" s="1"/>
  <c r="U40" i="1" s="1"/>
  <c r="S34" i="1"/>
  <c r="S30" i="1" s="1"/>
  <c r="O34" i="1"/>
  <c r="O30" i="1" s="1"/>
  <c r="K34" i="1"/>
  <c r="U67" i="1"/>
  <c r="Q67" i="1"/>
  <c r="M67" i="1"/>
  <c r="T67" i="1"/>
  <c r="P67" i="1"/>
  <c r="L67" i="1"/>
  <c r="U34" i="1"/>
  <c r="Q34" i="1"/>
  <c r="M34" i="1"/>
  <c r="M30" i="1" s="1"/>
  <c r="K31" i="1"/>
  <c r="G20" i="1"/>
  <c r="S67" i="1"/>
  <c r="O67" i="1"/>
  <c r="T34" i="1"/>
  <c r="P34" i="1"/>
  <c r="L34" i="1"/>
  <c r="D13" i="31" l="1"/>
  <c r="G26" i="1"/>
  <c r="I26" i="1" s="1"/>
  <c r="H18" i="1"/>
  <c r="H26" i="1" s="1"/>
  <c r="D22" i="31"/>
  <c r="I77" i="1"/>
  <c r="E22" i="31"/>
  <c r="Q18" i="26"/>
  <c r="P26" i="26"/>
  <c r="E13" i="31"/>
  <c r="C25" i="6"/>
  <c r="G22" i="1"/>
  <c r="R63" i="26"/>
  <c r="Q62" i="26"/>
  <c r="R56" i="26"/>
  <c r="H118" i="26"/>
  <c r="Q59" i="26"/>
  <c r="P58" i="26"/>
  <c r="P77" i="26" s="1"/>
  <c r="G31" i="1"/>
  <c r="T30" i="1"/>
  <c r="R30" i="1"/>
  <c r="G15" i="1"/>
  <c r="G34" i="1"/>
  <c r="L62" i="1"/>
  <c r="M63" i="1"/>
  <c r="K58" i="1"/>
  <c r="K77" i="1" s="1"/>
  <c r="L59" i="1"/>
  <c r="G23" i="1"/>
  <c r="P10" i="1"/>
  <c r="N11" i="1"/>
  <c r="P30" i="1"/>
  <c r="G76" i="1"/>
  <c r="K30" i="1"/>
  <c r="Q30" i="1"/>
  <c r="G17" i="1"/>
  <c r="U30" i="1"/>
  <c r="G40" i="1"/>
  <c r="G68" i="1"/>
  <c r="L30" i="1"/>
  <c r="G73" i="1"/>
  <c r="D14" i="31" l="1"/>
  <c r="R18" i="26"/>
  <c r="Q26" i="26"/>
  <c r="R62" i="26"/>
  <c r="S63" i="26"/>
  <c r="Q58" i="26"/>
  <c r="Q77" i="26" s="1"/>
  <c r="R59" i="26"/>
  <c r="S56" i="26"/>
  <c r="T56" i="26" s="1"/>
  <c r="L58" i="1"/>
  <c r="L77" i="1" s="1"/>
  <c r="M59" i="1"/>
  <c r="M62" i="1"/>
  <c r="N63" i="1"/>
  <c r="Q10" i="1"/>
  <c r="O11" i="1"/>
  <c r="E14" i="31" l="1"/>
  <c r="S18" i="26"/>
  <c r="R26" i="26"/>
  <c r="S59" i="26"/>
  <c r="R58" i="26"/>
  <c r="R77" i="26" s="1"/>
  <c r="T63" i="26"/>
  <c r="S62" i="26"/>
  <c r="H10" i="26"/>
  <c r="O63" i="1"/>
  <c r="N62" i="1"/>
  <c r="M58" i="1"/>
  <c r="M77" i="1" s="1"/>
  <c r="N59" i="1"/>
  <c r="P11" i="1"/>
  <c r="R10" i="1"/>
  <c r="T18" i="26" l="1"/>
  <c r="S26" i="26"/>
  <c r="T59" i="26"/>
  <c r="S58" i="26"/>
  <c r="S77" i="26" s="1"/>
  <c r="G56" i="26"/>
  <c r="T62" i="26"/>
  <c r="G63" i="26"/>
  <c r="N58" i="1"/>
  <c r="N77" i="1" s="1"/>
  <c r="O59" i="1"/>
  <c r="P63" i="1"/>
  <c r="O62" i="1"/>
  <c r="S10" i="1"/>
  <c r="Q11" i="1"/>
  <c r="T26" i="26" l="1"/>
  <c r="G18" i="26"/>
  <c r="T58" i="26"/>
  <c r="T77" i="26" s="1"/>
  <c r="G59" i="26"/>
  <c r="G62" i="26"/>
  <c r="H62" i="26" s="1"/>
  <c r="H63" i="26"/>
  <c r="H56" i="26"/>
  <c r="Q63" i="1"/>
  <c r="P62" i="1"/>
  <c r="O58" i="1"/>
  <c r="O77" i="1" s="1"/>
  <c r="P59" i="1"/>
  <c r="R11" i="1"/>
  <c r="T10" i="1"/>
  <c r="G26" i="26" l="1"/>
  <c r="H59" i="26"/>
  <c r="G58" i="26"/>
  <c r="P58" i="1"/>
  <c r="P77" i="1" s="1"/>
  <c r="Q59" i="1"/>
  <c r="Q62" i="1"/>
  <c r="R63" i="1"/>
  <c r="S11" i="1"/>
  <c r="U10" i="1"/>
  <c r="H26" i="26" l="1"/>
  <c r="H58" i="26"/>
  <c r="G77" i="26"/>
  <c r="S63" i="1"/>
  <c r="R62" i="1"/>
  <c r="Q58" i="1"/>
  <c r="Q77" i="1" s="1"/>
  <c r="R59" i="1"/>
  <c r="G10" i="1"/>
  <c r="T11" i="1"/>
  <c r="H77" i="26" l="1"/>
  <c r="S59" i="1"/>
  <c r="R58" i="1"/>
  <c r="R77" i="1" s="1"/>
  <c r="S62" i="1"/>
  <c r="T63" i="1"/>
  <c r="U11" i="1"/>
  <c r="T62" i="1" l="1"/>
  <c r="U63" i="1"/>
  <c r="U62" i="1" s="1"/>
  <c r="T59" i="1"/>
  <c r="S58" i="1"/>
  <c r="S77" i="1" s="1"/>
  <c r="G11" i="1"/>
  <c r="D12" i="6" s="1"/>
  <c r="D15" i="6"/>
  <c r="D14" i="6"/>
  <c r="E14" i="6" s="1"/>
  <c r="D13" i="6"/>
  <c r="E13" i="6" s="1"/>
  <c r="C12" i="6"/>
  <c r="C15" i="6" s="1"/>
  <c r="A12" i="6"/>
  <c r="A13" i="6" s="1"/>
  <c r="A14" i="6" s="1"/>
  <c r="A15" i="6" s="1"/>
  <c r="E15" i="6" l="1"/>
  <c r="E12" i="6"/>
  <c r="G63" i="1"/>
  <c r="T58" i="1"/>
  <c r="T77" i="1" s="1"/>
  <c r="U59" i="1"/>
  <c r="C16" i="6"/>
  <c r="C29" i="6" s="1"/>
  <c r="I33" i="25"/>
  <c r="I34" i="25" s="1"/>
  <c r="I35" i="25" s="1"/>
  <c r="I36" i="25" s="1"/>
  <c r="I37" i="25" s="1"/>
  <c r="I38" i="25" s="1"/>
  <c r="I39" i="25" s="1"/>
  <c r="I40" i="25" s="1"/>
  <c r="I41" i="25" s="1"/>
  <c r="I42" i="25" s="1"/>
  <c r="I43" i="25" s="1"/>
  <c r="I44" i="25" s="1"/>
  <c r="I45" i="25" s="1"/>
  <c r="I46" i="25" s="1"/>
  <c r="H33" i="25"/>
  <c r="H34" i="25" s="1"/>
  <c r="H35" i="25" s="1"/>
  <c r="H36" i="25" s="1"/>
  <c r="H37" i="25" s="1"/>
  <c r="H38" i="25" s="1"/>
  <c r="H39" i="25" s="1"/>
  <c r="H40" i="25" s="1"/>
  <c r="H41" i="25" s="1"/>
  <c r="H42" i="25" s="1"/>
  <c r="H43" i="25" s="1"/>
  <c r="H44" i="25" s="1"/>
  <c r="H45" i="25" s="1"/>
  <c r="H46" i="25" s="1"/>
  <c r="B33" i="25"/>
  <c r="B34" i="25" s="1"/>
  <c r="B35" i="25" s="1"/>
  <c r="B36" i="25" s="1"/>
  <c r="B37" i="25" s="1"/>
  <c r="B38" i="25" s="1"/>
  <c r="B39" i="25" s="1"/>
  <c r="B40" i="25" s="1"/>
  <c r="B41" i="25" s="1"/>
  <c r="B42" i="25" s="1"/>
  <c r="B43" i="25" s="1"/>
  <c r="B44" i="25" s="1"/>
  <c r="B45" i="25" s="1"/>
  <c r="B46" i="25" s="1"/>
  <c r="X46" i="25"/>
  <c r="U46" i="25"/>
  <c r="T46" i="25"/>
  <c r="Z46" i="25" s="1"/>
  <c r="X44" i="25"/>
  <c r="U44" i="25"/>
  <c r="T44" i="25"/>
  <c r="Y44" i="25" s="1"/>
  <c r="X37" i="25"/>
  <c r="U37" i="25"/>
  <c r="T37" i="25"/>
  <c r="Z37" i="25" s="1"/>
  <c r="X45" i="25"/>
  <c r="U45" i="25"/>
  <c r="T45" i="25"/>
  <c r="Y45" i="25" s="1"/>
  <c r="X38" i="25"/>
  <c r="U38" i="25"/>
  <c r="T38" i="25"/>
  <c r="Z38" i="25" s="1"/>
  <c r="X40" i="25"/>
  <c r="U40" i="25"/>
  <c r="T40" i="25"/>
  <c r="Y40" i="25" s="1"/>
  <c r="X42" i="25"/>
  <c r="U42" i="25"/>
  <c r="T42" i="25"/>
  <c r="Z42" i="25" s="1"/>
  <c r="X36" i="25"/>
  <c r="U36" i="25"/>
  <c r="T36" i="25"/>
  <c r="Y36" i="25" s="1"/>
  <c r="X43" i="25"/>
  <c r="U43" i="25"/>
  <c r="T43" i="25"/>
  <c r="Z43" i="25" s="1"/>
  <c r="X39" i="25"/>
  <c r="U39" i="25"/>
  <c r="T39" i="25"/>
  <c r="Y39" i="25" s="1"/>
  <c r="X35" i="25"/>
  <c r="U35" i="25"/>
  <c r="T35" i="25"/>
  <c r="Z35" i="25" s="1"/>
  <c r="X41" i="25"/>
  <c r="U41" i="25"/>
  <c r="Y41" i="25"/>
  <c r="X34" i="25"/>
  <c r="U34" i="25"/>
  <c r="T34" i="25"/>
  <c r="Z34" i="25" s="1"/>
  <c r="X33" i="25"/>
  <c r="U33" i="25"/>
  <c r="T33" i="25"/>
  <c r="Y33" i="25" s="1"/>
  <c r="X32" i="25"/>
  <c r="U32" i="25"/>
  <c r="T32" i="25"/>
  <c r="Z32" i="25" s="1"/>
  <c r="X30" i="25"/>
  <c r="U30" i="25"/>
  <c r="T30" i="25"/>
  <c r="Y30" i="25" s="1"/>
  <c r="X29" i="25"/>
  <c r="U29" i="25"/>
  <c r="T29" i="25"/>
  <c r="Z29" i="25" s="1"/>
  <c r="X28" i="25"/>
  <c r="U28" i="25"/>
  <c r="T28" i="25"/>
  <c r="Y28" i="25" s="1"/>
  <c r="X27" i="25"/>
  <c r="U27" i="25"/>
  <c r="T27" i="25"/>
  <c r="Z27" i="25" s="1"/>
  <c r="X26" i="25"/>
  <c r="U26" i="25"/>
  <c r="T26" i="25"/>
  <c r="Y26" i="25" s="1"/>
  <c r="X24" i="25"/>
  <c r="U24" i="25"/>
  <c r="T24" i="25"/>
  <c r="Y24" i="25" s="1"/>
  <c r="X23" i="25"/>
  <c r="U23" i="25"/>
  <c r="T23" i="25"/>
  <c r="Z23" i="25" s="1"/>
  <c r="X22" i="25"/>
  <c r="U22" i="25"/>
  <c r="T22" i="25"/>
  <c r="Y22" i="25" s="1"/>
  <c r="X21" i="25"/>
  <c r="U21" i="25"/>
  <c r="T21" i="25"/>
  <c r="Z21" i="25" s="1"/>
  <c r="X20" i="25"/>
  <c r="X18" i="25"/>
  <c r="U18" i="25"/>
  <c r="T18" i="25"/>
  <c r="Y18" i="25" s="1"/>
  <c r="X17" i="25"/>
  <c r="U17" i="25"/>
  <c r="T17" i="25"/>
  <c r="Z17" i="25" s="1"/>
  <c r="X15" i="25"/>
  <c r="U15" i="25"/>
  <c r="T15" i="25"/>
  <c r="Y15" i="25" s="1"/>
  <c r="X13" i="25"/>
  <c r="U13" i="25"/>
  <c r="T13" i="25"/>
  <c r="Y13" i="25" s="1"/>
  <c r="X12" i="25"/>
  <c r="U12" i="25"/>
  <c r="T12" i="25"/>
  <c r="Z12" i="25" s="1"/>
  <c r="X11" i="25"/>
  <c r="U11" i="25"/>
  <c r="T11" i="25"/>
  <c r="Y11" i="25" s="1"/>
  <c r="X9" i="25"/>
  <c r="T9" i="25"/>
  <c r="Y9" i="25" s="1"/>
  <c r="AC47" i="25"/>
  <c r="AB47" i="25"/>
  <c r="AA47" i="25"/>
  <c r="U58" i="1" l="1"/>
  <c r="U77" i="1" s="1"/>
  <c r="G59" i="1"/>
  <c r="W17" i="25"/>
  <c r="Y17" i="25"/>
  <c r="W27" i="25"/>
  <c r="Y27" i="25"/>
  <c r="W29" i="25"/>
  <c r="Y29" i="25"/>
  <c r="W32" i="25"/>
  <c r="Y32" i="25"/>
  <c r="W34" i="25"/>
  <c r="Y34" i="25"/>
  <c r="W35" i="25"/>
  <c r="Y35" i="25"/>
  <c r="W43" i="25"/>
  <c r="Y43" i="25"/>
  <c r="W42" i="25"/>
  <c r="Y42" i="25"/>
  <c r="W38" i="25"/>
  <c r="Y38" i="25"/>
  <c r="W37" i="25"/>
  <c r="Y37" i="25"/>
  <c r="W46" i="25"/>
  <c r="Y46" i="25"/>
  <c r="W12" i="25"/>
  <c r="Y12" i="25"/>
  <c r="W21" i="25"/>
  <c r="Y21" i="25"/>
  <c r="W23" i="25"/>
  <c r="Y23" i="25"/>
  <c r="V33" i="25"/>
  <c r="Z33" i="25"/>
  <c r="V41" i="25"/>
  <c r="Z41" i="25"/>
  <c r="V39" i="25"/>
  <c r="Z39" i="25"/>
  <c r="V36" i="25"/>
  <c r="Z36" i="25"/>
  <c r="V40" i="25"/>
  <c r="Z40" i="25"/>
  <c r="V45" i="25"/>
  <c r="Z45" i="25"/>
  <c r="V44" i="25"/>
  <c r="Z44" i="25"/>
  <c r="V32" i="25"/>
  <c r="W33" i="25"/>
  <c r="V34" i="25"/>
  <c r="W41" i="25"/>
  <c r="V35" i="25"/>
  <c r="W39" i="25"/>
  <c r="V43" i="25"/>
  <c r="W36" i="25"/>
  <c r="V42" i="25"/>
  <c r="W40" i="25"/>
  <c r="V38" i="25"/>
  <c r="W45" i="25"/>
  <c r="V37" i="25"/>
  <c r="W44" i="25"/>
  <c r="V46" i="25"/>
  <c r="V26" i="25"/>
  <c r="Z26" i="25"/>
  <c r="V28" i="25"/>
  <c r="Z28" i="25"/>
  <c r="V30" i="25"/>
  <c r="Z30" i="25"/>
  <c r="W26" i="25"/>
  <c r="V27" i="25"/>
  <c r="W28" i="25"/>
  <c r="V29" i="25"/>
  <c r="W30" i="25"/>
  <c r="V22" i="25"/>
  <c r="Z22" i="25"/>
  <c r="V24" i="25"/>
  <c r="Z24" i="25"/>
  <c r="V21" i="25"/>
  <c r="W22" i="25"/>
  <c r="V23" i="25"/>
  <c r="W24" i="25"/>
  <c r="V18" i="25"/>
  <c r="Z18" i="25"/>
  <c r="V17" i="25"/>
  <c r="W18" i="25"/>
  <c r="V15" i="25"/>
  <c r="Z15" i="25"/>
  <c r="W15" i="25"/>
  <c r="V11" i="25"/>
  <c r="Z11" i="25"/>
  <c r="V13" i="25"/>
  <c r="Z13" i="25"/>
  <c r="W11" i="25"/>
  <c r="V12" i="25"/>
  <c r="W13" i="25"/>
  <c r="V9" i="25"/>
  <c r="Z9" i="25"/>
  <c r="W9" i="25"/>
  <c r="AD29" i="25" l="1"/>
  <c r="AD27" i="25"/>
  <c r="AD30" i="25"/>
  <c r="AD26" i="25"/>
  <c r="AD46" i="25"/>
  <c r="AD37" i="25"/>
  <c r="AD38" i="25"/>
  <c r="AD42" i="25"/>
  <c r="AD43" i="25"/>
  <c r="AD35" i="25"/>
  <c r="AD34" i="25"/>
  <c r="AD32" i="25"/>
  <c r="AD44" i="25"/>
  <c r="AD45" i="25"/>
  <c r="AD40" i="25"/>
  <c r="AD36" i="25"/>
  <c r="AD39" i="25"/>
  <c r="AD41" i="25"/>
  <c r="AD33" i="25"/>
  <c r="AD21" i="25"/>
  <c r="AD13" i="25"/>
  <c r="AD24" i="25"/>
  <c r="AD22" i="25"/>
  <c r="AD9" i="25"/>
  <c r="AD12" i="25"/>
  <c r="AD11" i="25"/>
  <c r="AD15" i="25"/>
  <c r="AD17" i="25"/>
  <c r="AD18" i="25"/>
  <c r="AD23" i="25"/>
  <c r="AD28" i="25"/>
  <c r="E47" i="25" l="1"/>
  <c r="N47" i="25"/>
  <c r="M47" i="25"/>
  <c r="L20" i="25"/>
  <c r="R20" i="25" s="1"/>
  <c r="R47" i="25" l="1"/>
  <c r="U20" i="25"/>
  <c r="T20" i="25"/>
  <c r="G47" i="25"/>
  <c r="F47" i="25"/>
  <c r="X47" i="25"/>
  <c r="U8" i="25"/>
  <c r="T8" i="25"/>
  <c r="U47" i="25" l="1"/>
  <c r="Y20" i="25"/>
  <c r="V20" i="25"/>
  <c r="W20" i="25"/>
  <c r="Z20" i="25"/>
  <c r="T47" i="25"/>
  <c r="L47" i="25"/>
  <c r="Z8" i="25"/>
  <c r="Z47" i="25" s="1"/>
  <c r="W8" i="25"/>
  <c r="Y8" i="25"/>
  <c r="V8" i="25"/>
  <c r="V47" i="25" s="1"/>
  <c r="W47" i="25" l="1"/>
  <c r="AD20" i="25"/>
  <c r="Y47" i="25"/>
  <c r="L48" i="25"/>
  <c r="AD8" i="25"/>
  <c r="AD47" i="25" s="1"/>
  <c r="AD48" i="25" s="1"/>
  <c r="AD49" i="25" l="1"/>
  <c r="G17" i="21"/>
  <c r="F13" i="12" l="1"/>
  <c r="H13" i="12" s="1"/>
  <c r="I13" i="12" s="1"/>
  <c r="J13" i="12" s="1"/>
  <c r="K13" i="12" s="1"/>
  <c r="L13" i="12" s="1"/>
  <c r="M13" i="12" s="1"/>
  <c r="N13" i="12" s="1"/>
  <c r="O13" i="12" s="1"/>
  <c r="P13" i="12" s="1"/>
  <c r="Q13" i="12" s="1"/>
  <c r="R13" i="12" s="1"/>
  <c r="S13" i="12" s="1"/>
  <c r="G13" i="12"/>
  <c r="B19" i="24"/>
  <c r="H8" i="24"/>
  <c r="G8" i="24"/>
  <c r="F8" i="24"/>
  <c r="E8" i="24"/>
  <c r="G10" i="24"/>
  <c r="F10" i="24"/>
  <c r="E10" i="24"/>
  <c r="H15" i="24"/>
  <c r="G15" i="24"/>
  <c r="F15" i="24"/>
  <c r="E15" i="24"/>
  <c r="D15" i="24"/>
  <c r="G17" i="24"/>
  <c r="F17" i="24"/>
  <c r="E17" i="24"/>
  <c r="D10" i="24"/>
  <c r="H26" i="24"/>
  <c r="H25" i="24"/>
  <c r="H24" i="24"/>
  <c r="H22" i="24"/>
  <c r="H21" i="24"/>
  <c r="H19" i="24"/>
  <c r="H18" i="24"/>
  <c r="H13" i="24"/>
  <c r="B13" i="24"/>
  <c r="B14" i="24" s="1"/>
  <c r="H12" i="24"/>
  <c r="H10" i="24" s="1"/>
  <c r="D8" i="24"/>
  <c r="S158" i="10"/>
  <c r="P158" i="10"/>
  <c r="O158" i="10"/>
  <c r="N158" i="10"/>
  <c r="M158" i="10"/>
  <c r="L158" i="10"/>
  <c r="K158" i="10"/>
  <c r="J158" i="10"/>
  <c r="I158" i="10"/>
  <c r="H158" i="10"/>
  <c r="G154" i="10"/>
  <c r="G153" i="10"/>
  <c r="G152" i="10"/>
  <c r="G151" i="10"/>
  <c r="G150" i="10"/>
  <c r="G149" i="10"/>
  <c r="G145" i="10"/>
  <c r="G144" i="10"/>
  <c r="G143" i="10"/>
  <c r="G142" i="10"/>
  <c r="G141" i="10"/>
  <c r="G140" i="10"/>
  <c r="G139" i="10"/>
  <c r="G138" i="10"/>
  <c r="G137" i="10"/>
  <c r="G136" i="10"/>
  <c r="G135" i="10"/>
  <c r="G132" i="10"/>
  <c r="G131" i="10"/>
  <c r="G130" i="10"/>
  <c r="G127" i="10"/>
  <c r="G126" i="10"/>
  <c r="G123" i="10"/>
  <c r="G121" i="10"/>
  <c r="G120" i="10"/>
  <c r="G105" i="10"/>
  <c r="G104" i="10"/>
  <c r="G101" i="10"/>
  <c r="G100" i="10"/>
  <c r="G99" i="10"/>
  <c r="G98" i="10"/>
  <c r="G95" i="10"/>
  <c r="G94" i="10"/>
  <c r="G93" i="10"/>
  <c r="G90" i="10"/>
  <c r="G89" i="10"/>
  <c r="G88" i="10"/>
  <c r="G85" i="10"/>
  <c r="G84" i="10"/>
  <c r="G83" i="10"/>
  <c r="G82" i="10"/>
  <c r="G81" i="10"/>
  <c r="G80" i="10"/>
  <c r="G77" i="10"/>
  <c r="G76" i="10"/>
  <c r="G75" i="10"/>
  <c r="G74" i="10"/>
  <c r="G73" i="10"/>
  <c r="G72" i="10"/>
  <c r="G71" i="10"/>
  <c r="G68" i="10"/>
  <c r="G67" i="10"/>
  <c r="G66" i="10"/>
  <c r="G65" i="10"/>
  <c r="G64" i="10"/>
  <c r="G63" i="10"/>
  <c r="G58" i="10"/>
  <c r="G57" i="10"/>
  <c r="G54" i="10"/>
  <c r="G53" i="10"/>
  <c r="G52" i="10"/>
  <c r="G51" i="10"/>
  <c r="G50" i="10"/>
  <c r="G49" i="10"/>
  <c r="G48" i="10"/>
  <c r="G47" i="10"/>
  <c r="G46" i="10"/>
  <c r="G45" i="10"/>
  <c r="G42" i="10"/>
  <c r="G40" i="10"/>
  <c r="G39" i="10"/>
  <c r="G38" i="10"/>
  <c r="G37" i="10"/>
  <c r="G36" i="10"/>
  <c r="G33" i="10"/>
  <c r="G32" i="10"/>
  <c r="G31" i="10"/>
  <c r="G30" i="10"/>
  <c r="G29" i="10"/>
  <c r="G28" i="10"/>
  <c r="G27" i="10"/>
  <c r="G26" i="10"/>
  <c r="G25" i="10"/>
  <c r="G22" i="10"/>
  <c r="G21" i="10"/>
  <c r="G20" i="10"/>
  <c r="G19" i="10"/>
  <c r="G18" i="10"/>
  <c r="G17" i="10"/>
  <c r="G16" i="10"/>
  <c r="G13" i="10"/>
  <c r="G10" i="10"/>
  <c r="G9" i="10"/>
  <c r="G8" i="10"/>
  <c r="F154" i="21"/>
  <c r="F154" i="10" s="1"/>
  <c r="S154" i="10" s="1"/>
  <c r="F153" i="21"/>
  <c r="F153" i="10" s="1"/>
  <c r="Q153" i="10" s="1"/>
  <c r="F152" i="21"/>
  <c r="F152" i="10" s="1"/>
  <c r="H152" i="10" s="1"/>
  <c r="I152" i="10" s="1"/>
  <c r="J152" i="10" s="1"/>
  <c r="K152" i="10" s="1"/>
  <c r="L152" i="10" s="1"/>
  <c r="M152" i="10" s="1"/>
  <c r="N152" i="10" s="1"/>
  <c r="O152" i="10" s="1"/>
  <c r="P152" i="10" s="1"/>
  <c r="Q152" i="10" s="1"/>
  <c r="R152" i="10" s="1"/>
  <c r="S152" i="10" s="1"/>
  <c r="F151" i="21"/>
  <c r="F151" i="10" s="1"/>
  <c r="H151" i="10" s="1"/>
  <c r="K151" i="10" s="1"/>
  <c r="N151" i="10" s="1"/>
  <c r="Q151" i="10" s="1"/>
  <c r="F150" i="21"/>
  <c r="F150" i="10" s="1"/>
  <c r="J150" i="10" s="1"/>
  <c r="F149" i="21"/>
  <c r="F149" i="10" s="1"/>
  <c r="M149" i="10" s="1"/>
  <c r="S149" i="10" s="1"/>
  <c r="F144" i="21"/>
  <c r="F144" i="10" s="1"/>
  <c r="H144" i="10" s="1"/>
  <c r="K144" i="10" s="1"/>
  <c r="N144" i="10" s="1"/>
  <c r="Q144" i="10" s="1"/>
  <c r="F143" i="21"/>
  <c r="F143" i="10" s="1"/>
  <c r="J143" i="10" s="1"/>
  <c r="F141" i="21"/>
  <c r="F141" i="10" s="1"/>
  <c r="O141" i="10" s="1"/>
  <c r="F140" i="21"/>
  <c r="F140" i="10" s="1"/>
  <c r="H140" i="10" s="1"/>
  <c r="F138" i="21"/>
  <c r="F138" i="10" s="1"/>
  <c r="I138" i="10" s="1"/>
  <c r="Q138" i="10" s="1"/>
  <c r="F135" i="21"/>
  <c r="F135" i="10" s="1"/>
  <c r="F132" i="21"/>
  <c r="F132" i="10" s="1"/>
  <c r="P132" i="10" s="1"/>
  <c r="F131" i="21"/>
  <c r="F131" i="10" s="1"/>
  <c r="S131" i="10" s="1"/>
  <c r="F130" i="21"/>
  <c r="F130" i="10" s="1"/>
  <c r="M130" i="10" s="1"/>
  <c r="S130" i="10" s="1"/>
  <c r="F127" i="21"/>
  <c r="F127" i="10" s="1"/>
  <c r="M127" i="10" s="1"/>
  <c r="F126" i="21"/>
  <c r="F126" i="10" s="1"/>
  <c r="M126" i="10" s="1"/>
  <c r="F123" i="21"/>
  <c r="F123" i="10" s="1"/>
  <c r="M123" i="10" s="1"/>
  <c r="F105" i="21"/>
  <c r="F105" i="10" s="1"/>
  <c r="H105" i="10" s="1"/>
  <c r="I105" i="10" s="1"/>
  <c r="J105" i="10" s="1"/>
  <c r="K105" i="10" s="1"/>
  <c r="L105" i="10" s="1"/>
  <c r="M105" i="10" s="1"/>
  <c r="N105" i="10" s="1"/>
  <c r="O105" i="10" s="1"/>
  <c r="P105" i="10" s="1"/>
  <c r="Q105" i="10" s="1"/>
  <c r="R105" i="10" s="1"/>
  <c r="S105" i="10" s="1"/>
  <c r="F104" i="21"/>
  <c r="F104" i="10" s="1"/>
  <c r="P104" i="10" s="1"/>
  <c r="F101" i="21"/>
  <c r="F101" i="10" s="1"/>
  <c r="K101" i="10" s="1"/>
  <c r="L105" i="26" s="1"/>
  <c r="F100" i="21"/>
  <c r="F100" i="10" s="1"/>
  <c r="J100" i="10" s="1"/>
  <c r="F99" i="21"/>
  <c r="F99" i="10" s="1"/>
  <c r="J99" i="10" s="1"/>
  <c r="F98" i="21"/>
  <c r="F98" i="10" s="1"/>
  <c r="J98" i="10" s="1"/>
  <c r="F95" i="21"/>
  <c r="F95" i="10" s="1"/>
  <c r="N95" i="10" s="1"/>
  <c r="O102" i="26" s="1"/>
  <c r="F94" i="21"/>
  <c r="F94" i="10" s="1"/>
  <c r="H94" i="10" s="1"/>
  <c r="F93" i="21"/>
  <c r="F93" i="10" s="1"/>
  <c r="H93" i="10" s="1"/>
  <c r="F90" i="21"/>
  <c r="F90" i="10" s="1"/>
  <c r="K90" i="10" s="1"/>
  <c r="Q90" i="10" s="1"/>
  <c r="F89" i="21"/>
  <c r="F89" i="10" s="1"/>
  <c r="K89" i="10" s="1"/>
  <c r="F88" i="21"/>
  <c r="F85" i="21"/>
  <c r="F85" i="10" s="1"/>
  <c r="L85" i="10" s="1"/>
  <c r="M96" i="26" s="1"/>
  <c r="M94" i="26" s="1"/>
  <c r="F84" i="21"/>
  <c r="F84" i="10" s="1"/>
  <c r="K84" i="10" s="1"/>
  <c r="F83" i="21"/>
  <c r="F83" i="10" s="1"/>
  <c r="J83" i="10" s="1"/>
  <c r="F82" i="21"/>
  <c r="F82" i="10" s="1"/>
  <c r="K82" i="10" s="1"/>
  <c r="F81" i="21"/>
  <c r="F81" i="10" s="1"/>
  <c r="J81" i="10" s="1"/>
  <c r="F80" i="21"/>
  <c r="F80" i="10" s="1"/>
  <c r="K80" i="10" s="1"/>
  <c r="L95" i="26" s="1"/>
  <c r="F77" i="21"/>
  <c r="F77" i="10" s="1"/>
  <c r="I77" i="10" s="1"/>
  <c r="F76" i="21"/>
  <c r="F76" i="10" s="1"/>
  <c r="J76" i="10" s="1"/>
  <c r="F75" i="21"/>
  <c r="F75" i="10" s="1"/>
  <c r="J75" i="10" s="1"/>
  <c r="F74" i="21"/>
  <c r="F74" i="10" s="1"/>
  <c r="M74" i="10" s="1"/>
  <c r="F72" i="21"/>
  <c r="F72" i="10" s="1"/>
  <c r="L72" i="10" s="1"/>
  <c r="M93" i="26" s="1"/>
  <c r="F68" i="21"/>
  <c r="F67" i="21"/>
  <c r="F67" i="10" s="1"/>
  <c r="M67" i="10" s="1"/>
  <c r="S67" i="10" s="1"/>
  <c r="F66" i="21"/>
  <c r="F65" i="21"/>
  <c r="F65" i="10" s="1"/>
  <c r="L65" i="10" s="1"/>
  <c r="R65" i="10" s="1"/>
  <c r="F64" i="21"/>
  <c r="F63" i="21"/>
  <c r="F63" i="10" s="1"/>
  <c r="J63" i="10" s="1"/>
  <c r="F62" i="21"/>
  <c r="F62" i="10" s="1"/>
  <c r="L62" i="10" s="1"/>
  <c r="F61" i="21"/>
  <c r="F61" i="10" s="1"/>
  <c r="J61" i="10" s="1"/>
  <c r="F60" i="21"/>
  <c r="F60" i="10" s="1"/>
  <c r="I60" i="10" s="1"/>
  <c r="F59" i="21"/>
  <c r="F59" i="10" s="1"/>
  <c r="H59" i="10" s="1"/>
  <c r="F58" i="21"/>
  <c r="F58" i="10" s="1"/>
  <c r="F57" i="21"/>
  <c r="F57" i="10" s="1"/>
  <c r="F54" i="21"/>
  <c r="F54" i="10" s="1"/>
  <c r="K54" i="10" s="1"/>
  <c r="Q54" i="10" s="1"/>
  <c r="F53" i="21"/>
  <c r="F53" i="10" s="1"/>
  <c r="S53" i="10" s="1"/>
  <c r="F51" i="21"/>
  <c r="F51" i="10" s="1"/>
  <c r="Q51" i="10" s="1"/>
  <c r="F50" i="21"/>
  <c r="F50" i="10" s="1"/>
  <c r="Q50" i="10" s="1"/>
  <c r="F49" i="21"/>
  <c r="F49" i="10" s="1"/>
  <c r="K49" i="10" s="1"/>
  <c r="F48" i="21"/>
  <c r="F48" i="10" s="1"/>
  <c r="K48" i="10" s="1"/>
  <c r="F47" i="21"/>
  <c r="F47" i="10" s="1"/>
  <c r="J47" i="10" s="1"/>
  <c r="F46" i="21"/>
  <c r="F46" i="10" s="1"/>
  <c r="F45" i="21"/>
  <c r="F45" i="10" s="1"/>
  <c r="H45" i="10" s="1"/>
  <c r="F42" i="21"/>
  <c r="F41" i="21"/>
  <c r="F41" i="10" s="1"/>
  <c r="I41" i="10" s="1"/>
  <c r="F40" i="21"/>
  <c r="F39" i="21"/>
  <c r="F39" i="10" s="1"/>
  <c r="F37" i="21"/>
  <c r="F37" i="10" s="1"/>
  <c r="L37" i="10" s="1"/>
  <c r="F33" i="21"/>
  <c r="F33" i="10" s="1"/>
  <c r="F32" i="21"/>
  <c r="F32" i="10" s="1"/>
  <c r="F31" i="21"/>
  <c r="F31" i="10" s="1"/>
  <c r="F30" i="21"/>
  <c r="F30" i="10" s="1"/>
  <c r="F29" i="21"/>
  <c r="F29" i="10" s="1"/>
  <c r="F28" i="21"/>
  <c r="F28" i="10" s="1"/>
  <c r="F26" i="21"/>
  <c r="F26" i="10" s="1"/>
  <c r="F25" i="21"/>
  <c r="F25" i="10" s="1"/>
  <c r="F19" i="21"/>
  <c r="F19" i="10" s="1"/>
  <c r="F18" i="21"/>
  <c r="F18" i="10" s="1"/>
  <c r="F17" i="21"/>
  <c r="F10" i="21"/>
  <c r="F10" i="10" s="1"/>
  <c r="F9" i="21"/>
  <c r="F9" i="10" s="1"/>
  <c r="G122" i="21"/>
  <c r="G122" i="10" s="1"/>
  <c r="G62" i="21"/>
  <c r="G62" i="10" s="1"/>
  <c r="G61" i="21"/>
  <c r="G61" i="10" s="1"/>
  <c r="G60" i="21"/>
  <c r="G60" i="10" s="1"/>
  <c r="G59" i="21"/>
  <c r="G41" i="21"/>
  <c r="G41" i="10" s="1"/>
  <c r="H37" i="21"/>
  <c r="I37" i="21" s="1"/>
  <c r="J37" i="21" s="1"/>
  <c r="K37" i="21" s="1"/>
  <c r="L37" i="21" s="1"/>
  <c r="M37" i="21" s="1"/>
  <c r="N37" i="21" s="1"/>
  <c r="O37" i="21" s="1"/>
  <c r="P37" i="21" s="1"/>
  <c r="Q37" i="21" s="1"/>
  <c r="R37" i="21" s="1"/>
  <c r="S37" i="21" s="1"/>
  <c r="H51" i="21"/>
  <c r="I51" i="21" s="1"/>
  <c r="J51" i="21" s="1"/>
  <c r="K51" i="21" s="1"/>
  <c r="L51" i="21" s="1"/>
  <c r="M51" i="21" s="1"/>
  <c r="N51" i="21" s="1"/>
  <c r="O51" i="21" s="1"/>
  <c r="P51" i="21" s="1"/>
  <c r="Q51" i="21" s="1"/>
  <c r="R51" i="21" s="1"/>
  <c r="S51" i="21" s="1"/>
  <c r="H50" i="21"/>
  <c r="I50" i="21" s="1"/>
  <c r="J50" i="21" s="1"/>
  <c r="K50" i="21" s="1"/>
  <c r="L50" i="21" s="1"/>
  <c r="M50" i="21" s="1"/>
  <c r="N50" i="21" s="1"/>
  <c r="O50" i="21" s="1"/>
  <c r="P50" i="21" s="1"/>
  <c r="Q50" i="21" s="1"/>
  <c r="R50" i="21" s="1"/>
  <c r="S50" i="21" s="1"/>
  <c r="H47" i="21"/>
  <c r="I47" i="21" s="1"/>
  <c r="J47" i="21" s="1"/>
  <c r="K47" i="21" s="1"/>
  <c r="L47" i="21" s="1"/>
  <c r="M47" i="21" s="1"/>
  <c r="N47" i="21" s="1"/>
  <c r="O47" i="21" s="1"/>
  <c r="P47" i="21" s="1"/>
  <c r="Q47" i="21" s="1"/>
  <c r="R47" i="21" s="1"/>
  <c r="S47" i="21" s="1"/>
  <c r="H57" i="21"/>
  <c r="I57" i="21" s="1"/>
  <c r="J57" i="21" s="1"/>
  <c r="K57" i="21" s="1"/>
  <c r="L57" i="21" s="1"/>
  <c r="M57" i="21" s="1"/>
  <c r="N57" i="21" s="1"/>
  <c r="O57" i="21" s="1"/>
  <c r="P57" i="21" s="1"/>
  <c r="Q57" i="21" s="1"/>
  <c r="R57" i="21" s="1"/>
  <c r="S57" i="21" s="1"/>
  <c r="D145" i="23"/>
  <c r="F157" i="10" s="1"/>
  <c r="Q157" i="10" s="1"/>
  <c r="T157" i="10" s="1"/>
  <c r="D135" i="23"/>
  <c r="F145" i="21" s="1"/>
  <c r="D132" i="23"/>
  <c r="F142" i="21" s="1"/>
  <c r="F142" i="10" s="1"/>
  <c r="S142" i="10" s="1"/>
  <c r="D129" i="23"/>
  <c r="F139" i="21" s="1"/>
  <c r="F139" i="10" s="1"/>
  <c r="L139" i="10" s="1"/>
  <c r="D127" i="23"/>
  <c r="F137" i="21" s="1"/>
  <c r="F137" i="10" s="1"/>
  <c r="K137" i="10" s="1"/>
  <c r="D126" i="23"/>
  <c r="B126" i="23"/>
  <c r="B127" i="23" s="1"/>
  <c r="B128" i="23" s="1"/>
  <c r="B129" i="23" s="1"/>
  <c r="B130" i="23" s="1"/>
  <c r="B131" i="23" s="1"/>
  <c r="B132" i="23" s="1"/>
  <c r="B133" i="23" s="1"/>
  <c r="B134" i="23" s="1"/>
  <c r="B135" i="23" s="1"/>
  <c r="D120" i="23"/>
  <c r="D115" i="23"/>
  <c r="F122" i="21" s="1"/>
  <c r="F122" i="10" s="1"/>
  <c r="K122" i="10" s="1"/>
  <c r="D114" i="23"/>
  <c r="F121" i="21" s="1"/>
  <c r="F121" i="10" s="1"/>
  <c r="J121" i="10" s="1"/>
  <c r="D113" i="23"/>
  <c r="F120" i="21" s="1"/>
  <c r="D92" i="23"/>
  <c r="D91" i="23" s="1"/>
  <c r="D86" i="23"/>
  <c r="D83" i="23"/>
  <c r="D81" i="23" s="1"/>
  <c r="D75" i="23"/>
  <c r="D73" i="23" s="1"/>
  <c r="D68" i="23"/>
  <c r="F73" i="21" s="1"/>
  <c r="F73" i="10" s="1"/>
  <c r="M73" i="10" s="1"/>
  <c r="S73" i="10" s="1"/>
  <c r="D65" i="23"/>
  <c r="F71" i="21" s="1"/>
  <c r="F71" i="10" s="1"/>
  <c r="D48" i="23"/>
  <c r="F52" i="21" s="1"/>
  <c r="F52" i="10" s="1"/>
  <c r="D34" i="23"/>
  <c r="F38" i="21" s="1"/>
  <c r="D32" i="23"/>
  <c r="F36" i="21" s="1"/>
  <c r="F36" i="10" s="1"/>
  <c r="M36" i="10" s="1"/>
  <c r="D31" i="23"/>
  <c r="D24" i="23"/>
  <c r="F27" i="21" s="1"/>
  <c r="F27" i="10" s="1"/>
  <c r="Q27" i="10" s="1"/>
  <c r="D22" i="23"/>
  <c r="D20" i="23" s="1"/>
  <c r="D19" i="23"/>
  <c r="F22" i="21" s="1"/>
  <c r="F22" i="10" s="1"/>
  <c r="D18" i="23"/>
  <c r="F21" i="21" s="1"/>
  <c r="F21" i="10" s="1"/>
  <c r="D17" i="23"/>
  <c r="D12" i="23"/>
  <c r="D10" i="23"/>
  <c r="F13" i="21" s="1"/>
  <c r="D6" i="23"/>
  <c r="D5" i="23" s="1"/>
  <c r="E7" i="24" l="1"/>
  <c r="G7" i="24"/>
  <c r="D11" i="23"/>
  <c r="F136" i="21"/>
  <c r="F136" i="10" s="1"/>
  <c r="H136" i="10" s="1"/>
  <c r="I136" i="10" s="1"/>
  <c r="D124" i="23"/>
  <c r="D13" i="23"/>
  <c r="D41" i="23"/>
  <c r="D39" i="23" s="1"/>
  <c r="J135" i="10"/>
  <c r="F145" i="10"/>
  <c r="H145" i="10" s="1"/>
  <c r="H145" i="21"/>
  <c r="I145" i="21" s="1"/>
  <c r="J145" i="21" s="1"/>
  <c r="K145" i="21" s="1"/>
  <c r="L145" i="21" s="1"/>
  <c r="M145" i="21" s="1"/>
  <c r="N145" i="21" s="1"/>
  <c r="O145" i="21" s="1"/>
  <c r="P145" i="21" s="1"/>
  <c r="Q145" i="21" s="1"/>
  <c r="R145" i="21" s="1"/>
  <c r="S145" i="21" s="1"/>
  <c r="K104" i="26"/>
  <c r="G104" i="26" s="1"/>
  <c r="H38" i="21"/>
  <c r="I38" i="21" s="1"/>
  <c r="J38" i="21" s="1"/>
  <c r="K38" i="21" s="1"/>
  <c r="L38" i="21" s="1"/>
  <c r="M38" i="21" s="1"/>
  <c r="N38" i="21" s="1"/>
  <c r="O38" i="21" s="1"/>
  <c r="P38" i="21" s="1"/>
  <c r="Q38" i="21" s="1"/>
  <c r="R38" i="21" s="1"/>
  <c r="S38" i="21" s="1"/>
  <c r="F38" i="10"/>
  <c r="N38" i="10" s="1"/>
  <c r="H17" i="21"/>
  <c r="F17" i="10"/>
  <c r="H64" i="21"/>
  <c r="I64" i="21" s="1"/>
  <c r="J64" i="21" s="1"/>
  <c r="K64" i="21" s="1"/>
  <c r="L64" i="21" s="1"/>
  <c r="M64" i="21" s="1"/>
  <c r="N64" i="21" s="1"/>
  <c r="O64" i="21" s="1"/>
  <c r="P64" i="21" s="1"/>
  <c r="Q64" i="21" s="1"/>
  <c r="R64" i="21" s="1"/>
  <c r="S64" i="21" s="1"/>
  <c r="F64" i="10"/>
  <c r="H66" i="21"/>
  <c r="I66" i="21" s="1"/>
  <c r="J66" i="21" s="1"/>
  <c r="K66" i="21" s="1"/>
  <c r="L66" i="21" s="1"/>
  <c r="M66" i="21" s="1"/>
  <c r="N66" i="21" s="1"/>
  <c r="O66" i="21" s="1"/>
  <c r="P66" i="21" s="1"/>
  <c r="Q66" i="21" s="1"/>
  <c r="R66" i="21" s="1"/>
  <c r="S66" i="21" s="1"/>
  <c r="F66" i="10"/>
  <c r="J66" i="10" s="1"/>
  <c r="H68" i="21"/>
  <c r="I68" i="21" s="1"/>
  <c r="J68" i="21" s="1"/>
  <c r="K68" i="21" s="1"/>
  <c r="L68" i="21" s="1"/>
  <c r="M68" i="21" s="1"/>
  <c r="N68" i="21" s="1"/>
  <c r="O68" i="21" s="1"/>
  <c r="P68" i="21" s="1"/>
  <c r="Q68" i="21" s="1"/>
  <c r="R68" i="21" s="1"/>
  <c r="S68" i="21" s="1"/>
  <c r="F68" i="10"/>
  <c r="L68" i="10" s="1"/>
  <c r="R68" i="10" s="1"/>
  <c r="S74" i="10"/>
  <c r="T74" i="10" s="1"/>
  <c r="G95" i="26"/>
  <c r="P82" i="10"/>
  <c r="Q96" i="26" s="1"/>
  <c r="Q94" i="26" s="1"/>
  <c r="L96" i="26"/>
  <c r="L94" i="26" s="1"/>
  <c r="H88" i="21"/>
  <c r="I88" i="21" s="1"/>
  <c r="F88" i="10"/>
  <c r="H88" i="10" s="1"/>
  <c r="M94" i="10"/>
  <c r="N102" i="26" s="1"/>
  <c r="I102" i="26"/>
  <c r="F13" i="10"/>
  <c r="F14" i="10" s="1"/>
  <c r="R71" i="10"/>
  <c r="S92" i="26" s="1"/>
  <c r="S91" i="26" s="1"/>
  <c r="P71" i="10"/>
  <c r="Q92" i="26" s="1"/>
  <c r="Q91" i="26" s="1"/>
  <c r="N71" i="10"/>
  <c r="O92" i="26" s="1"/>
  <c r="L71" i="10"/>
  <c r="M92" i="26" s="1"/>
  <c r="M91" i="26" s="1"/>
  <c r="J71" i="10"/>
  <c r="K92" i="26" s="1"/>
  <c r="H71" i="10"/>
  <c r="I92" i="26" s="1"/>
  <c r="S71" i="10"/>
  <c r="T92" i="26" s="1"/>
  <c r="O71" i="10"/>
  <c r="P92" i="26" s="1"/>
  <c r="P91" i="26" s="1"/>
  <c r="K71" i="10"/>
  <c r="L92" i="26" s="1"/>
  <c r="L91" i="26" s="1"/>
  <c r="Q71" i="10"/>
  <c r="R92" i="26" s="1"/>
  <c r="R91" i="26" s="1"/>
  <c r="M71" i="10"/>
  <c r="N92" i="26" s="1"/>
  <c r="I71" i="10"/>
  <c r="J92" i="26" s="1"/>
  <c r="H120" i="21"/>
  <c r="I120" i="21" s="1"/>
  <c r="J120" i="21" s="1"/>
  <c r="K120" i="21" s="1"/>
  <c r="L120" i="21" s="1"/>
  <c r="M120" i="21" s="1"/>
  <c r="N120" i="21" s="1"/>
  <c r="O120" i="21" s="1"/>
  <c r="P120" i="21" s="1"/>
  <c r="Q120" i="21" s="1"/>
  <c r="R120" i="21" s="1"/>
  <c r="S120" i="21" s="1"/>
  <c r="F120" i="10"/>
  <c r="I120" i="10" s="1"/>
  <c r="H40" i="21"/>
  <c r="I40" i="21" s="1"/>
  <c r="J40" i="21" s="1"/>
  <c r="K40" i="21" s="1"/>
  <c r="L40" i="21" s="1"/>
  <c r="M40" i="21" s="1"/>
  <c r="N40" i="21" s="1"/>
  <c r="O40" i="21" s="1"/>
  <c r="P40" i="21" s="1"/>
  <c r="Q40" i="21" s="1"/>
  <c r="R40" i="21" s="1"/>
  <c r="S40" i="21" s="1"/>
  <c r="F40" i="10"/>
  <c r="H42" i="21"/>
  <c r="I42" i="21" s="1"/>
  <c r="J42" i="21" s="1"/>
  <c r="K42" i="21" s="1"/>
  <c r="L42" i="21" s="1"/>
  <c r="M42" i="21" s="1"/>
  <c r="N42" i="21" s="1"/>
  <c r="O42" i="21" s="1"/>
  <c r="P42" i="21" s="1"/>
  <c r="Q42" i="21" s="1"/>
  <c r="R42" i="21" s="1"/>
  <c r="S42" i="21" s="1"/>
  <c r="F42" i="10"/>
  <c r="J42" i="10" s="1"/>
  <c r="K93" i="26"/>
  <c r="K91" i="26" s="1"/>
  <c r="N77" i="10"/>
  <c r="O93" i="26" s="1"/>
  <c r="J93" i="26"/>
  <c r="O81" i="10"/>
  <c r="P96" i="26" s="1"/>
  <c r="P94" i="26" s="1"/>
  <c r="K96" i="26"/>
  <c r="Q89" i="10"/>
  <c r="R99" i="26" s="1"/>
  <c r="L99" i="26"/>
  <c r="I93" i="10"/>
  <c r="I101" i="26"/>
  <c r="L103" i="26"/>
  <c r="G105" i="26"/>
  <c r="F7" i="24"/>
  <c r="H144" i="21"/>
  <c r="I144" i="21" s="1"/>
  <c r="J144" i="21" s="1"/>
  <c r="K144" i="21" s="1"/>
  <c r="L144" i="21" s="1"/>
  <c r="M144" i="21" s="1"/>
  <c r="N144" i="21" s="1"/>
  <c r="O144" i="21" s="1"/>
  <c r="P144" i="21" s="1"/>
  <c r="Q144" i="21" s="1"/>
  <c r="R144" i="21" s="1"/>
  <c r="S144" i="21" s="1"/>
  <c r="H99" i="21"/>
  <c r="H140" i="21"/>
  <c r="I140" i="21" s="1"/>
  <c r="J140" i="21" s="1"/>
  <c r="K140" i="21" s="1"/>
  <c r="L140" i="21" s="1"/>
  <c r="M140" i="21" s="1"/>
  <c r="N140" i="21" s="1"/>
  <c r="O140" i="21" s="1"/>
  <c r="P140" i="21" s="1"/>
  <c r="Q140" i="21" s="1"/>
  <c r="R140" i="21" s="1"/>
  <c r="S140" i="21" s="1"/>
  <c r="H131" i="21"/>
  <c r="I131" i="21" s="1"/>
  <c r="J131" i="21" s="1"/>
  <c r="K131" i="21" s="1"/>
  <c r="L131" i="21" s="1"/>
  <c r="M131" i="21" s="1"/>
  <c r="N131" i="21" s="1"/>
  <c r="O131" i="21" s="1"/>
  <c r="P131" i="21" s="1"/>
  <c r="Q131" i="21" s="1"/>
  <c r="R131" i="21" s="1"/>
  <c r="S131" i="21" s="1"/>
  <c r="H85" i="21"/>
  <c r="I85" i="21" s="1"/>
  <c r="J85" i="21" s="1"/>
  <c r="K85" i="21" s="1"/>
  <c r="L85" i="21" s="1"/>
  <c r="M85" i="21" s="1"/>
  <c r="N85" i="21" s="1"/>
  <c r="O85" i="21" s="1"/>
  <c r="P85" i="21" s="1"/>
  <c r="Q85" i="21" s="1"/>
  <c r="R85" i="21" s="1"/>
  <c r="S85" i="21" s="1"/>
  <c r="H93" i="21"/>
  <c r="H61" i="21"/>
  <c r="I61" i="21" s="1"/>
  <c r="J61" i="21" s="1"/>
  <c r="K61" i="21" s="1"/>
  <c r="L61" i="21" s="1"/>
  <c r="M61" i="21" s="1"/>
  <c r="N61" i="21" s="1"/>
  <c r="O61" i="21" s="1"/>
  <c r="P61" i="21" s="1"/>
  <c r="Q61" i="21" s="1"/>
  <c r="R61" i="21" s="1"/>
  <c r="S61" i="21" s="1"/>
  <c r="H151" i="21"/>
  <c r="I151" i="21" s="1"/>
  <c r="J151" i="21" s="1"/>
  <c r="K151" i="21" s="1"/>
  <c r="L151" i="21" s="1"/>
  <c r="M151" i="21" s="1"/>
  <c r="N151" i="21" s="1"/>
  <c r="O151" i="21" s="1"/>
  <c r="P151" i="21" s="1"/>
  <c r="Q151" i="21" s="1"/>
  <c r="R151" i="21" s="1"/>
  <c r="S151" i="21" s="1"/>
  <c r="H152" i="21"/>
  <c r="I152" i="21" s="1"/>
  <c r="J152" i="21" s="1"/>
  <c r="K152" i="21" s="1"/>
  <c r="L152" i="21" s="1"/>
  <c r="M152" i="21" s="1"/>
  <c r="N152" i="21" s="1"/>
  <c r="O152" i="21" s="1"/>
  <c r="P152" i="21" s="1"/>
  <c r="Q152" i="21" s="1"/>
  <c r="R152" i="21" s="1"/>
  <c r="S152" i="21" s="1"/>
  <c r="H141" i="21"/>
  <c r="I141" i="21" s="1"/>
  <c r="J141" i="21" s="1"/>
  <c r="K141" i="21" s="1"/>
  <c r="L141" i="21" s="1"/>
  <c r="M141" i="21" s="1"/>
  <c r="N141" i="21" s="1"/>
  <c r="O141" i="21" s="1"/>
  <c r="P141" i="21" s="1"/>
  <c r="Q141" i="21" s="1"/>
  <c r="R141" i="21" s="1"/>
  <c r="S141" i="21" s="1"/>
  <c r="H130" i="21"/>
  <c r="I130" i="21" s="1"/>
  <c r="J130" i="21" s="1"/>
  <c r="K130" i="21" s="1"/>
  <c r="L130" i="21" s="1"/>
  <c r="M130" i="21" s="1"/>
  <c r="N130" i="21" s="1"/>
  <c r="O130" i="21" s="1"/>
  <c r="P130" i="21" s="1"/>
  <c r="Q130" i="21" s="1"/>
  <c r="R130" i="21" s="1"/>
  <c r="S130" i="21" s="1"/>
  <c r="H105" i="21"/>
  <c r="I105" i="21" s="1"/>
  <c r="J105" i="21" s="1"/>
  <c r="K105" i="21" s="1"/>
  <c r="L105" i="21" s="1"/>
  <c r="M105" i="21" s="1"/>
  <c r="N105" i="21" s="1"/>
  <c r="O105" i="21" s="1"/>
  <c r="P105" i="21" s="1"/>
  <c r="Q105" i="21" s="1"/>
  <c r="R105" i="21" s="1"/>
  <c r="S105" i="21" s="1"/>
  <c r="H95" i="21"/>
  <c r="I95" i="21" s="1"/>
  <c r="J95" i="21" s="1"/>
  <c r="K95" i="21" s="1"/>
  <c r="L95" i="21" s="1"/>
  <c r="M95" i="21" s="1"/>
  <c r="N95" i="21" s="1"/>
  <c r="O95" i="21" s="1"/>
  <c r="P95" i="21" s="1"/>
  <c r="Q95" i="21" s="1"/>
  <c r="R95" i="21" s="1"/>
  <c r="S95" i="21" s="1"/>
  <c r="H81" i="21"/>
  <c r="H75" i="21"/>
  <c r="I75" i="21" s="1"/>
  <c r="J75" i="21" s="1"/>
  <c r="K75" i="21" s="1"/>
  <c r="L75" i="21" s="1"/>
  <c r="M75" i="21" s="1"/>
  <c r="N75" i="21" s="1"/>
  <c r="O75" i="21" s="1"/>
  <c r="P75" i="21" s="1"/>
  <c r="Q75" i="21" s="1"/>
  <c r="R75" i="21" s="1"/>
  <c r="S75" i="21" s="1"/>
  <c r="H65" i="21"/>
  <c r="I65" i="21" s="1"/>
  <c r="J65" i="21" s="1"/>
  <c r="K65" i="21" s="1"/>
  <c r="L65" i="21" s="1"/>
  <c r="M65" i="21" s="1"/>
  <c r="N65" i="21" s="1"/>
  <c r="O65" i="21" s="1"/>
  <c r="P65" i="21" s="1"/>
  <c r="Q65" i="21" s="1"/>
  <c r="R65" i="21" s="1"/>
  <c r="S65" i="21" s="1"/>
  <c r="H104" i="21"/>
  <c r="I104" i="21" s="1"/>
  <c r="J104" i="21" s="1"/>
  <c r="K104" i="21" s="1"/>
  <c r="L104" i="21" s="1"/>
  <c r="M104" i="21" s="1"/>
  <c r="N104" i="21" s="1"/>
  <c r="O104" i="21" s="1"/>
  <c r="P104" i="21" s="1"/>
  <c r="Q104" i="21" s="1"/>
  <c r="R104" i="21" s="1"/>
  <c r="S104" i="21" s="1"/>
  <c r="H98" i="21"/>
  <c r="H94" i="21"/>
  <c r="H9" i="21"/>
  <c r="I9" i="21" s="1"/>
  <c r="J9" i="21" s="1"/>
  <c r="K9" i="21" s="1"/>
  <c r="L9" i="21" s="1"/>
  <c r="M9" i="21" s="1"/>
  <c r="N9" i="21" s="1"/>
  <c r="O9" i="21" s="1"/>
  <c r="P9" i="21" s="1"/>
  <c r="Q9" i="21" s="1"/>
  <c r="R9" i="21" s="1"/>
  <c r="S9" i="21" s="1"/>
  <c r="H123" i="21"/>
  <c r="I123" i="21" s="1"/>
  <c r="J123" i="21" s="1"/>
  <c r="K123" i="21" s="1"/>
  <c r="L123" i="21" s="1"/>
  <c r="M123" i="21" s="1"/>
  <c r="N123" i="21" s="1"/>
  <c r="O123" i="21" s="1"/>
  <c r="P123" i="21" s="1"/>
  <c r="Q123" i="21" s="1"/>
  <c r="R123" i="21" s="1"/>
  <c r="S123" i="21" s="1"/>
  <c r="H80" i="21"/>
  <c r="H84" i="21"/>
  <c r="I84" i="21" s="1"/>
  <c r="J84" i="21" s="1"/>
  <c r="K84" i="21" s="1"/>
  <c r="L84" i="21" s="1"/>
  <c r="M84" i="21" s="1"/>
  <c r="N84" i="21" s="1"/>
  <c r="O84" i="21" s="1"/>
  <c r="P84" i="21" s="1"/>
  <c r="Q84" i="21" s="1"/>
  <c r="R84" i="21" s="1"/>
  <c r="S84" i="21" s="1"/>
  <c r="H74" i="21"/>
  <c r="I74" i="21" s="1"/>
  <c r="J74" i="21" s="1"/>
  <c r="K74" i="21" s="1"/>
  <c r="L74" i="21" s="1"/>
  <c r="M74" i="21" s="1"/>
  <c r="N74" i="21" s="1"/>
  <c r="O74" i="21" s="1"/>
  <c r="P74" i="21" s="1"/>
  <c r="Q74" i="21" s="1"/>
  <c r="R74" i="21" s="1"/>
  <c r="S74" i="21" s="1"/>
  <c r="F78" i="10"/>
  <c r="H71" i="21"/>
  <c r="H137" i="21"/>
  <c r="I137" i="21" s="1"/>
  <c r="J137" i="21" s="1"/>
  <c r="K137" i="21" s="1"/>
  <c r="L137" i="21" s="1"/>
  <c r="M137" i="21" s="1"/>
  <c r="N137" i="21" s="1"/>
  <c r="O137" i="21" s="1"/>
  <c r="P137" i="21" s="1"/>
  <c r="Q137" i="21" s="1"/>
  <c r="R137" i="21" s="1"/>
  <c r="S137" i="21" s="1"/>
  <c r="H136" i="21"/>
  <c r="I136" i="21" s="1"/>
  <c r="J136" i="21" s="1"/>
  <c r="K136" i="21" s="1"/>
  <c r="L136" i="21" s="1"/>
  <c r="M136" i="21" s="1"/>
  <c r="N136" i="21" s="1"/>
  <c r="O136" i="21" s="1"/>
  <c r="P136" i="21" s="1"/>
  <c r="Q136" i="21" s="1"/>
  <c r="R136" i="21" s="1"/>
  <c r="S136" i="21" s="1"/>
  <c r="F158" i="10"/>
  <c r="R119" i="26"/>
  <c r="G119" i="26" s="1"/>
  <c r="F8" i="21"/>
  <c r="F8" i="10" s="1"/>
  <c r="F16" i="21"/>
  <c r="F16" i="10" s="1"/>
  <c r="F20" i="21"/>
  <c r="F20" i="10" s="1"/>
  <c r="H62" i="21"/>
  <c r="I62" i="21" s="1"/>
  <c r="J62" i="21" s="1"/>
  <c r="K62" i="21" s="1"/>
  <c r="L62" i="21" s="1"/>
  <c r="M62" i="21" s="1"/>
  <c r="N62" i="21" s="1"/>
  <c r="O62" i="21" s="1"/>
  <c r="P62" i="21" s="1"/>
  <c r="Q62" i="21" s="1"/>
  <c r="R62" i="21" s="1"/>
  <c r="S62" i="21" s="1"/>
  <c r="F133" i="10"/>
  <c r="F157" i="21"/>
  <c r="H157" i="21" s="1"/>
  <c r="I157" i="21" s="1"/>
  <c r="J157" i="21" s="1"/>
  <c r="K157" i="21" s="1"/>
  <c r="L157" i="21" s="1"/>
  <c r="M157" i="21" s="1"/>
  <c r="N157" i="21" s="1"/>
  <c r="O157" i="21" s="1"/>
  <c r="P157" i="21" s="1"/>
  <c r="Q157" i="21" s="1"/>
  <c r="R157" i="21" s="1"/>
  <c r="S157" i="21" s="1"/>
  <c r="D9" i="23"/>
  <c r="D66" i="23"/>
  <c r="D64" i="23" s="1"/>
  <c r="D144" i="23"/>
  <c r="F14" i="12"/>
  <c r="H135" i="21"/>
  <c r="H77" i="21"/>
  <c r="I77" i="21" s="1"/>
  <c r="J77" i="21" s="1"/>
  <c r="K77" i="21" s="1"/>
  <c r="L77" i="21" s="1"/>
  <c r="M77" i="21" s="1"/>
  <c r="N77" i="21" s="1"/>
  <c r="O77" i="21" s="1"/>
  <c r="P77" i="21" s="1"/>
  <c r="Q77" i="21" s="1"/>
  <c r="R77" i="21" s="1"/>
  <c r="S77" i="21" s="1"/>
  <c r="H90" i="21"/>
  <c r="I90" i="21" s="1"/>
  <c r="J90" i="21" s="1"/>
  <c r="K90" i="21" s="1"/>
  <c r="L90" i="21" s="1"/>
  <c r="M90" i="21" s="1"/>
  <c r="N90" i="21" s="1"/>
  <c r="O90" i="21" s="1"/>
  <c r="P90" i="21" s="1"/>
  <c r="Q90" i="21" s="1"/>
  <c r="R90" i="21" s="1"/>
  <c r="S90" i="21" s="1"/>
  <c r="H46" i="21"/>
  <c r="I46" i="21" s="1"/>
  <c r="J46" i="21" s="1"/>
  <c r="K46" i="21" s="1"/>
  <c r="L46" i="21" s="1"/>
  <c r="M46" i="21" s="1"/>
  <c r="N46" i="21" s="1"/>
  <c r="O46" i="21" s="1"/>
  <c r="P46" i="21" s="1"/>
  <c r="Q46" i="21" s="1"/>
  <c r="R46" i="21" s="1"/>
  <c r="S46" i="21" s="1"/>
  <c r="F55" i="10"/>
  <c r="H39" i="21"/>
  <c r="I39" i="21" s="1"/>
  <c r="J39" i="21" s="1"/>
  <c r="K39" i="21" s="1"/>
  <c r="L39" i="21" s="1"/>
  <c r="M39" i="21" s="1"/>
  <c r="N39" i="21" s="1"/>
  <c r="O39" i="21" s="1"/>
  <c r="P39" i="21" s="1"/>
  <c r="Q39" i="21" s="1"/>
  <c r="R39" i="21" s="1"/>
  <c r="S39" i="21" s="1"/>
  <c r="H150" i="21"/>
  <c r="I150" i="21" s="1"/>
  <c r="J150" i="21" s="1"/>
  <c r="K150" i="21" s="1"/>
  <c r="L150" i="21" s="1"/>
  <c r="M150" i="21" s="1"/>
  <c r="N150" i="21" s="1"/>
  <c r="O150" i="21" s="1"/>
  <c r="P150" i="21" s="1"/>
  <c r="Q150" i="21" s="1"/>
  <c r="R150" i="21" s="1"/>
  <c r="S150" i="21" s="1"/>
  <c r="H139" i="21"/>
  <c r="I139" i="21" s="1"/>
  <c r="J139" i="21" s="1"/>
  <c r="K139" i="21" s="1"/>
  <c r="L139" i="21" s="1"/>
  <c r="M139" i="21" s="1"/>
  <c r="N139" i="21" s="1"/>
  <c r="O139" i="21" s="1"/>
  <c r="P139" i="21" s="1"/>
  <c r="Q139" i="21" s="1"/>
  <c r="R139" i="21" s="1"/>
  <c r="S139" i="21" s="1"/>
  <c r="H127" i="21"/>
  <c r="I127" i="21" s="1"/>
  <c r="J127" i="21" s="1"/>
  <c r="K127" i="21" s="1"/>
  <c r="L127" i="21" s="1"/>
  <c r="M127" i="21" s="1"/>
  <c r="N127" i="21" s="1"/>
  <c r="O127" i="21" s="1"/>
  <c r="P127" i="21" s="1"/>
  <c r="Q127" i="21" s="1"/>
  <c r="R127" i="21" s="1"/>
  <c r="S127" i="21" s="1"/>
  <c r="H63" i="21"/>
  <c r="I63" i="21" s="1"/>
  <c r="J63" i="21" s="1"/>
  <c r="K63" i="21" s="1"/>
  <c r="L63" i="21" s="1"/>
  <c r="M63" i="21" s="1"/>
  <c r="N63" i="21" s="1"/>
  <c r="O63" i="21" s="1"/>
  <c r="P63" i="21" s="1"/>
  <c r="Q63" i="21" s="1"/>
  <c r="R63" i="21" s="1"/>
  <c r="S63" i="21" s="1"/>
  <c r="H45" i="21"/>
  <c r="H36" i="21"/>
  <c r="I36" i="21" s="1"/>
  <c r="J36" i="21" s="1"/>
  <c r="K36" i="21" s="1"/>
  <c r="L36" i="21" s="1"/>
  <c r="M36" i="21" s="1"/>
  <c r="N36" i="21" s="1"/>
  <c r="O36" i="21" s="1"/>
  <c r="P36" i="21" s="1"/>
  <c r="Q36" i="21" s="1"/>
  <c r="R36" i="21" s="1"/>
  <c r="S36" i="21" s="1"/>
  <c r="H59" i="21"/>
  <c r="I59" i="21" s="1"/>
  <c r="J59" i="21" s="1"/>
  <c r="K59" i="21" s="1"/>
  <c r="L59" i="21" s="1"/>
  <c r="M59" i="21" s="1"/>
  <c r="N59" i="21" s="1"/>
  <c r="O59" i="21" s="1"/>
  <c r="P59" i="21" s="1"/>
  <c r="Q59" i="21" s="1"/>
  <c r="R59" i="21" s="1"/>
  <c r="S59" i="21" s="1"/>
  <c r="F43" i="21"/>
  <c r="H73" i="21"/>
  <c r="I73" i="21" s="1"/>
  <c r="J73" i="21" s="1"/>
  <c r="K73" i="21" s="1"/>
  <c r="L73" i="21" s="1"/>
  <c r="M73" i="21" s="1"/>
  <c r="N73" i="21" s="1"/>
  <c r="O73" i="21" s="1"/>
  <c r="P73" i="21" s="1"/>
  <c r="Q73" i="21" s="1"/>
  <c r="R73" i="21" s="1"/>
  <c r="S73" i="21" s="1"/>
  <c r="H67" i="21"/>
  <c r="I67" i="21" s="1"/>
  <c r="J67" i="21" s="1"/>
  <c r="K67" i="21" s="1"/>
  <c r="L67" i="21" s="1"/>
  <c r="M67" i="21" s="1"/>
  <c r="N67" i="21" s="1"/>
  <c r="O67" i="21" s="1"/>
  <c r="P67" i="21" s="1"/>
  <c r="Q67" i="21" s="1"/>
  <c r="R67" i="21" s="1"/>
  <c r="S67" i="21" s="1"/>
  <c r="H53" i="21"/>
  <c r="I53" i="21" s="1"/>
  <c r="J53" i="21" s="1"/>
  <c r="K53" i="21" s="1"/>
  <c r="L53" i="21" s="1"/>
  <c r="M53" i="21" s="1"/>
  <c r="N53" i="21" s="1"/>
  <c r="O53" i="21" s="1"/>
  <c r="P53" i="21" s="1"/>
  <c r="Q53" i="21" s="1"/>
  <c r="R53" i="21" s="1"/>
  <c r="S53" i="21" s="1"/>
  <c r="H121" i="21"/>
  <c r="I121" i="21" s="1"/>
  <c r="J121" i="21" s="1"/>
  <c r="K121" i="21" s="1"/>
  <c r="L121" i="21" s="1"/>
  <c r="M121" i="21" s="1"/>
  <c r="N121" i="21" s="1"/>
  <c r="O121" i="21" s="1"/>
  <c r="P121" i="21" s="1"/>
  <c r="Q121" i="21" s="1"/>
  <c r="R121" i="21" s="1"/>
  <c r="S121" i="21" s="1"/>
  <c r="H154" i="21"/>
  <c r="I154" i="21" s="1"/>
  <c r="J154" i="21" s="1"/>
  <c r="K154" i="21" s="1"/>
  <c r="L154" i="21" s="1"/>
  <c r="M154" i="21" s="1"/>
  <c r="N154" i="21" s="1"/>
  <c r="O154" i="21" s="1"/>
  <c r="P154" i="21" s="1"/>
  <c r="Q154" i="21" s="1"/>
  <c r="R154" i="21" s="1"/>
  <c r="S154" i="21" s="1"/>
  <c r="H143" i="21"/>
  <c r="I143" i="21" s="1"/>
  <c r="J143" i="21" s="1"/>
  <c r="K143" i="21" s="1"/>
  <c r="L143" i="21" s="1"/>
  <c r="M143" i="21" s="1"/>
  <c r="N143" i="21" s="1"/>
  <c r="O143" i="21" s="1"/>
  <c r="P143" i="21" s="1"/>
  <c r="Q143" i="21" s="1"/>
  <c r="R143" i="21" s="1"/>
  <c r="S143" i="21" s="1"/>
  <c r="H101" i="21"/>
  <c r="H89" i="21"/>
  <c r="H83" i="21"/>
  <c r="I83" i="21" s="1"/>
  <c r="J83" i="21" s="1"/>
  <c r="K83" i="21" s="1"/>
  <c r="L83" i="21" s="1"/>
  <c r="M83" i="21" s="1"/>
  <c r="N83" i="21" s="1"/>
  <c r="O83" i="21" s="1"/>
  <c r="P83" i="21" s="1"/>
  <c r="Q83" i="21" s="1"/>
  <c r="R83" i="21" s="1"/>
  <c r="S83" i="21" s="1"/>
  <c r="H49" i="21"/>
  <c r="I49" i="21" s="1"/>
  <c r="J49" i="21" s="1"/>
  <c r="K49" i="21" s="1"/>
  <c r="L49" i="21" s="1"/>
  <c r="M49" i="21" s="1"/>
  <c r="N49" i="21" s="1"/>
  <c r="O49" i="21" s="1"/>
  <c r="P49" i="21" s="1"/>
  <c r="Q49" i="21" s="1"/>
  <c r="R49" i="21" s="1"/>
  <c r="S49" i="21" s="1"/>
  <c r="H54" i="21"/>
  <c r="I54" i="21" s="1"/>
  <c r="J54" i="21" s="1"/>
  <c r="K54" i="21" s="1"/>
  <c r="L54" i="21" s="1"/>
  <c r="M54" i="21" s="1"/>
  <c r="N54" i="21" s="1"/>
  <c r="O54" i="21" s="1"/>
  <c r="P54" i="21" s="1"/>
  <c r="Q54" i="21" s="1"/>
  <c r="R54" i="21" s="1"/>
  <c r="S54" i="21" s="1"/>
  <c r="F34" i="10"/>
  <c r="F86" i="10"/>
  <c r="F102" i="10"/>
  <c r="F96" i="10"/>
  <c r="H153" i="21"/>
  <c r="I153" i="21" s="1"/>
  <c r="J153" i="21" s="1"/>
  <c r="K153" i="21" s="1"/>
  <c r="L153" i="21" s="1"/>
  <c r="M153" i="21" s="1"/>
  <c r="N153" i="21" s="1"/>
  <c r="O153" i="21" s="1"/>
  <c r="P153" i="21" s="1"/>
  <c r="Q153" i="21" s="1"/>
  <c r="R153" i="21" s="1"/>
  <c r="S153" i="21" s="1"/>
  <c r="H132" i="21"/>
  <c r="I132" i="21" s="1"/>
  <c r="J132" i="21" s="1"/>
  <c r="K132" i="21" s="1"/>
  <c r="L132" i="21" s="1"/>
  <c r="M132" i="21" s="1"/>
  <c r="N132" i="21" s="1"/>
  <c r="O132" i="21" s="1"/>
  <c r="P132" i="21" s="1"/>
  <c r="Q132" i="21" s="1"/>
  <c r="R132" i="21" s="1"/>
  <c r="S132" i="21" s="1"/>
  <c r="H41" i="21"/>
  <c r="I41" i="21" s="1"/>
  <c r="J41" i="21" s="1"/>
  <c r="K41" i="21" s="1"/>
  <c r="L41" i="21" s="1"/>
  <c r="M41" i="21" s="1"/>
  <c r="N41" i="21" s="1"/>
  <c r="O41" i="21" s="1"/>
  <c r="P41" i="21" s="1"/>
  <c r="Q41" i="21" s="1"/>
  <c r="R41" i="21" s="1"/>
  <c r="S41" i="21" s="1"/>
  <c r="H100" i="21"/>
  <c r="H58" i="21"/>
  <c r="I58" i="21" s="1"/>
  <c r="J58" i="21" s="1"/>
  <c r="K58" i="21" s="1"/>
  <c r="L58" i="21" s="1"/>
  <c r="M58" i="21" s="1"/>
  <c r="N58" i="21" s="1"/>
  <c r="O58" i="21" s="1"/>
  <c r="P58" i="21" s="1"/>
  <c r="Q58" i="21" s="1"/>
  <c r="R58" i="21" s="1"/>
  <c r="S58" i="21" s="1"/>
  <c r="H60" i="21"/>
  <c r="I60" i="21" s="1"/>
  <c r="J60" i="21" s="1"/>
  <c r="K60" i="21" s="1"/>
  <c r="L60" i="21" s="1"/>
  <c r="M60" i="21" s="1"/>
  <c r="N60" i="21" s="1"/>
  <c r="O60" i="21" s="1"/>
  <c r="P60" i="21" s="1"/>
  <c r="Q60" i="21" s="1"/>
  <c r="R60" i="21" s="1"/>
  <c r="S60" i="21" s="1"/>
  <c r="H122" i="21"/>
  <c r="I122" i="21" s="1"/>
  <c r="J122" i="21" s="1"/>
  <c r="K122" i="21" s="1"/>
  <c r="L122" i="21" s="1"/>
  <c r="M122" i="21" s="1"/>
  <c r="N122" i="21" s="1"/>
  <c r="O122" i="21" s="1"/>
  <c r="P122" i="21" s="1"/>
  <c r="Q122" i="21" s="1"/>
  <c r="R122" i="21" s="1"/>
  <c r="S122" i="21" s="1"/>
  <c r="G59" i="10"/>
  <c r="H149" i="21"/>
  <c r="I149" i="21" s="1"/>
  <c r="J149" i="21" s="1"/>
  <c r="K149" i="21" s="1"/>
  <c r="L149" i="21" s="1"/>
  <c r="M149" i="21" s="1"/>
  <c r="N149" i="21" s="1"/>
  <c r="O149" i="21" s="1"/>
  <c r="P149" i="21" s="1"/>
  <c r="Q149" i="21" s="1"/>
  <c r="R149" i="21" s="1"/>
  <c r="S149" i="21" s="1"/>
  <c r="H138" i="21"/>
  <c r="I138" i="21" s="1"/>
  <c r="J138" i="21" s="1"/>
  <c r="K138" i="21" s="1"/>
  <c r="L138" i="21" s="1"/>
  <c r="M138" i="21" s="1"/>
  <c r="N138" i="21" s="1"/>
  <c r="O138" i="21" s="1"/>
  <c r="P138" i="21" s="1"/>
  <c r="Q138" i="21" s="1"/>
  <c r="R138" i="21" s="1"/>
  <c r="S138" i="21" s="1"/>
  <c r="H142" i="21"/>
  <c r="I142" i="21" s="1"/>
  <c r="J142" i="21" s="1"/>
  <c r="K142" i="21" s="1"/>
  <c r="L142" i="21" s="1"/>
  <c r="M142" i="21" s="1"/>
  <c r="N142" i="21" s="1"/>
  <c r="O142" i="21" s="1"/>
  <c r="P142" i="21" s="1"/>
  <c r="Q142" i="21" s="1"/>
  <c r="R142" i="21" s="1"/>
  <c r="S142" i="21" s="1"/>
  <c r="H126" i="21"/>
  <c r="I126" i="21" s="1"/>
  <c r="J126" i="21" s="1"/>
  <c r="K126" i="21" s="1"/>
  <c r="L126" i="21" s="1"/>
  <c r="M126" i="21" s="1"/>
  <c r="N126" i="21" s="1"/>
  <c r="O126" i="21" s="1"/>
  <c r="P126" i="21" s="1"/>
  <c r="Q126" i="21" s="1"/>
  <c r="R126" i="21" s="1"/>
  <c r="S126" i="21" s="1"/>
  <c r="H82" i="21"/>
  <c r="I82" i="21" s="1"/>
  <c r="J82" i="21" s="1"/>
  <c r="K82" i="21" s="1"/>
  <c r="L82" i="21" s="1"/>
  <c r="M82" i="21" s="1"/>
  <c r="N82" i="21" s="1"/>
  <c r="O82" i="21" s="1"/>
  <c r="P82" i="21" s="1"/>
  <c r="Q82" i="21" s="1"/>
  <c r="R82" i="21" s="1"/>
  <c r="S82" i="21" s="1"/>
  <c r="H72" i="21"/>
  <c r="H76" i="21"/>
  <c r="I76" i="21" s="1"/>
  <c r="J76" i="21" s="1"/>
  <c r="K76" i="21" s="1"/>
  <c r="L76" i="21" s="1"/>
  <c r="M76" i="21" s="1"/>
  <c r="N76" i="21" s="1"/>
  <c r="O76" i="21" s="1"/>
  <c r="P76" i="21" s="1"/>
  <c r="Q76" i="21" s="1"/>
  <c r="R76" i="21" s="1"/>
  <c r="S76" i="21" s="1"/>
  <c r="H48" i="21"/>
  <c r="I48" i="21" s="1"/>
  <c r="J48" i="21" s="1"/>
  <c r="K48" i="21" s="1"/>
  <c r="L48" i="21" s="1"/>
  <c r="M48" i="21" s="1"/>
  <c r="N48" i="21" s="1"/>
  <c r="O48" i="21" s="1"/>
  <c r="P48" i="21" s="1"/>
  <c r="Q48" i="21" s="1"/>
  <c r="R48" i="21" s="1"/>
  <c r="S48" i="21" s="1"/>
  <c r="H52" i="21"/>
  <c r="I52" i="21" s="1"/>
  <c r="J52" i="21" s="1"/>
  <c r="K52" i="21" s="1"/>
  <c r="L52" i="21" s="1"/>
  <c r="M52" i="21" s="1"/>
  <c r="N52" i="21" s="1"/>
  <c r="O52" i="21" s="1"/>
  <c r="P52" i="21" s="1"/>
  <c r="Q52" i="21" s="1"/>
  <c r="R52" i="21" s="1"/>
  <c r="S52" i="21" s="1"/>
  <c r="F128" i="10"/>
  <c r="F155" i="10"/>
  <c r="H17" i="24"/>
  <c r="H7" i="24" s="1"/>
  <c r="H10" i="21"/>
  <c r="H147" i="10" l="1"/>
  <c r="K103" i="26"/>
  <c r="I100" i="21"/>
  <c r="J100" i="21" s="1"/>
  <c r="K100" i="21" s="1"/>
  <c r="L100" i="21" s="1"/>
  <c r="M100" i="21" s="1"/>
  <c r="N100" i="21" s="1"/>
  <c r="O100" i="21" s="1"/>
  <c r="P100" i="21" s="1"/>
  <c r="Q100" i="21" s="1"/>
  <c r="R100" i="21" s="1"/>
  <c r="S100" i="21" s="1"/>
  <c r="I135" i="21"/>
  <c r="H147" i="21"/>
  <c r="I99" i="21"/>
  <c r="J99" i="21" s="1"/>
  <c r="K99" i="21" s="1"/>
  <c r="L99" i="21" s="1"/>
  <c r="M99" i="21" s="1"/>
  <c r="N99" i="21" s="1"/>
  <c r="O99" i="21" s="1"/>
  <c r="P99" i="21" s="1"/>
  <c r="Q99" i="21" s="1"/>
  <c r="R99" i="21" s="1"/>
  <c r="S99" i="21" s="1"/>
  <c r="J136" i="10"/>
  <c r="K136" i="10" s="1"/>
  <c r="M135" i="10"/>
  <c r="I145" i="10"/>
  <c r="J145" i="10" s="1"/>
  <c r="K145" i="10" s="1"/>
  <c r="L145" i="10" s="1"/>
  <c r="M145" i="10" s="1"/>
  <c r="N145" i="10" s="1"/>
  <c r="O145" i="10" s="1"/>
  <c r="P145" i="10" s="1"/>
  <c r="Q145" i="10" s="1"/>
  <c r="R145" i="10" s="1"/>
  <c r="S145" i="10" s="1"/>
  <c r="F147" i="10"/>
  <c r="G103" i="26"/>
  <c r="F91" i="10"/>
  <c r="O91" i="26"/>
  <c r="J91" i="26"/>
  <c r="T145" i="10"/>
  <c r="I72" i="21"/>
  <c r="J93" i="32" s="1"/>
  <c r="I93" i="32"/>
  <c r="J105" i="1"/>
  <c r="I105" i="32"/>
  <c r="J92" i="1"/>
  <c r="I92" i="32"/>
  <c r="I91" i="32" s="1"/>
  <c r="J95" i="1"/>
  <c r="I95" i="32"/>
  <c r="I98" i="21"/>
  <c r="J98" i="21" s="1"/>
  <c r="I104" i="32"/>
  <c r="I103" i="32" s="1"/>
  <c r="I81" i="21"/>
  <c r="K96" i="1" s="1"/>
  <c r="I96" i="32"/>
  <c r="J101" i="1"/>
  <c r="I101" i="32"/>
  <c r="J93" i="10"/>
  <c r="J101" i="26"/>
  <c r="J100" i="26" s="1"/>
  <c r="I91" i="26"/>
  <c r="G92" i="26"/>
  <c r="I100" i="26"/>
  <c r="G102" i="26"/>
  <c r="H102" i="26" s="1"/>
  <c r="I88" i="10"/>
  <c r="I98" i="26"/>
  <c r="K98" i="1"/>
  <c r="J98" i="32"/>
  <c r="I89" i="21"/>
  <c r="J99" i="32" s="1"/>
  <c r="I99" i="32"/>
  <c r="J102" i="1"/>
  <c r="I102" i="32"/>
  <c r="G99" i="26"/>
  <c r="G96" i="26"/>
  <c r="K94" i="26"/>
  <c r="J98" i="1"/>
  <c r="I98" i="32"/>
  <c r="G94" i="26"/>
  <c r="H94" i="26" s="1"/>
  <c r="R120" i="26"/>
  <c r="I93" i="21"/>
  <c r="K101" i="1" s="1"/>
  <c r="D4" i="23"/>
  <c r="F11" i="10"/>
  <c r="J100" i="1"/>
  <c r="I94" i="21"/>
  <c r="J104" i="1"/>
  <c r="I80" i="21"/>
  <c r="J95" i="32" s="1"/>
  <c r="F23" i="10"/>
  <c r="J99" i="1"/>
  <c r="I71" i="21"/>
  <c r="I101" i="21"/>
  <c r="K99" i="1"/>
  <c r="K97" i="1" s="1"/>
  <c r="Q158" i="10"/>
  <c r="J93" i="1"/>
  <c r="F69" i="10"/>
  <c r="F124" i="10"/>
  <c r="F43" i="10"/>
  <c r="J96" i="1"/>
  <c r="J88" i="21"/>
  <c r="T9" i="21"/>
  <c r="K93" i="1" l="1"/>
  <c r="K104" i="1"/>
  <c r="J72" i="21"/>
  <c r="K93" i="32" s="1"/>
  <c r="J94" i="1"/>
  <c r="J89" i="21"/>
  <c r="L99" i="1" s="1"/>
  <c r="J97" i="32"/>
  <c r="P135" i="10"/>
  <c r="L136" i="10"/>
  <c r="K147" i="10"/>
  <c r="K104" i="32"/>
  <c r="J97" i="1"/>
  <c r="J104" i="32"/>
  <c r="J147" i="10"/>
  <c r="I147" i="10"/>
  <c r="T99" i="21"/>
  <c r="J135" i="21"/>
  <c r="I147" i="21"/>
  <c r="T100" i="21"/>
  <c r="I97" i="32"/>
  <c r="L98" i="1"/>
  <c r="K98" i="32"/>
  <c r="K105" i="1"/>
  <c r="J105" i="32"/>
  <c r="J93" i="21"/>
  <c r="J101" i="32"/>
  <c r="I97" i="26"/>
  <c r="I100" i="32"/>
  <c r="I94" i="32"/>
  <c r="J101" i="21"/>
  <c r="J91" i="1"/>
  <c r="J71" i="21"/>
  <c r="K92" i="32" s="1"/>
  <c r="J92" i="32"/>
  <c r="J91" i="32" s="1"/>
  <c r="J103" i="1"/>
  <c r="J94" i="21"/>
  <c r="K102" i="32" s="1"/>
  <c r="J102" i="32"/>
  <c r="J88" i="10"/>
  <c r="J98" i="26"/>
  <c r="J97" i="26" s="1"/>
  <c r="K93" i="10"/>
  <c r="K101" i="26"/>
  <c r="K100" i="26" s="1"/>
  <c r="J81" i="21"/>
  <c r="J96" i="32"/>
  <c r="J94" i="32" s="1"/>
  <c r="H119" i="26"/>
  <c r="G120" i="26"/>
  <c r="K103" i="1"/>
  <c r="K102" i="1"/>
  <c r="K100" i="1" s="1"/>
  <c r="K92" i="1"/>
  <c r="K95" i="1"/>
  <c r="K94" i="1" s="1"/>
  <c r="J80" i="21"/>
  <c r="K95" i="32" s="1"/>
  <c r="F159" i="10"/>
  <c r="K98" i="21"/>
  <c r="L104" i="32" s="1"/>
  <c r="L104" i="1"/>
  <c r="K88" i="21"/>
  <c r="K91" i="1" l="1"/>
  <c r="L92" i="1"/>
  <c r="J103" i="32"/>
  <c r="L97" i="1"/>
  <c r="L102" i="1"/>
  <c r="K72" i="21"/>
  <c r="L93" i="32" s="1"/>
  <c r="K89" i="21"/>
  <c r="M99" i="1" s="1"/>
  <c r="K91" i="32"/>
  <c r="K99" i="32"/>
  <c r="K97" i="32" s="1"/>
  <c r="L93" i="1"/>
  <c r="L91" i="1" s="1"/>
  <c r="K101" i="21"/>
  <c r="L105" i="32" s="1"/>
  <c r="L103" i="32" s="1"/>
  <c r="M136" i="10"/>
  <c r="L147" i="10"/>
  <c r="K135" i="21"/>
  <c r="J147" i="21"/>
  <c r="L93" i="10"/>
  <c r="L101" i="26"/>
  <c r="K88" i="10"/>
  <c r="K98" i="26"/>
  <c r="K97" i="26" s="1"/>
  <c r="L101" i="1"/>
  <c r="K101" i="32"/>
  <c r="K100" i="32" s="1"/>
  <c r="K93" i="21"/>
  <c r="M98" i="1"/>
  <c r="L98" i="32"/>
  <c r="K94" i="21"/>
  <c r="L102" i="32" s="1"/>
  <c r="K71" i="21"/>
  <c r="L92" i="32" s="1"/>
  <c r="L99" i="32"/>
  <c r="K96" i="32"/>
  <c r="K94" i="32" s="1"/>
  <c r="K81" i="21"/>
  <c r="L96" i="1"/>
  <c r="L105" i="1"/>
  <c r="K105" i="32"/>
  <c r="K103" i="32" s="1"/>
  <c r="J100" i="32"/>
  <c r="H120" i="26"/>
  <c r="L95" i="1"/>
  <c r="K80" i="21"/>
  <c r="L95" i="32" s="1"/>
  <c r="L98" i="21"/>
  <c r="M104" i="1"/>
  <c r="L88" i="21"/>
  <c r="L101" i="21" l="1"/>
  <c r="M105" i="32" s="1"/>
  <c r="M102" i="1"/>
  <c r="M92" i="1"/>
  <c r="L89" i="21"/>
  <c r="M89" i="21" s="1"/>
  <c r="N99" i="32" s="1"/>
  <c r="M93" i="1"/>
  <c r="L72" i="21"/>
  <c r="M93" i="32" s="1"/>
  <c r="L91" i="32"/>
  <c r="N136" i="10"/>
  <c r="M147" i="10"/>
  <c r="M104" i="32"/>
  <c r="M105" i="1"/>
  <c r="M103" i="1" s="1"/>
  <c r="L135" i="21"/>
  <c r="K147" i="21"/>
  <c r="L94" i="1"/>
  <c r="M97" i="1"/>
  <c r="O99" i="1"/>
  <c r="L96" i="32"/>
  <c r="L94" i="32" s="1"/>
  <c r="L81" i="21"/>
  <c r="M96" i="1"/>
  <c r="L101" i="32"/>
  <c r="L100" i="32" s="1"/>
  <c r="L93" i="21"/>
  <c r="M101" i="1"/>
  <c r="L88" i="10"/>
  <c r="L98" i="26"/>
  <c r="M93" i="10"/>
  <c r="M101" i="26"/>
  <c r="M100" i="26" s="1"/>
  <c r="L100" i="1"/>
  <c r="N98" i="1"/>
  <c r="M98" i="32"/>
  <c r="L71" i="21"/>
  <c r="M92" i="32" s="1"/>
  <c r="M91" i="32" s="1"/>
  <c r="L94" i="21"/>
  <c r="M102" i="32" s="1"/>
  <c r="L97" i="32"/>
  <c r="L100" i="26"/>
  <c r="L103" i="1"/>
  <c r="L80" i="21"/>
  <c r="M95" i="32" s="1"/>
  <c r="M95" i="1"/>
  <c r="M94" i="21"/>
  <c r="N102" i="32" s="1"/>
  <c r="M98" i="21"/>
  <c r="N104" i="32" s="1"/>
  <c r="N104" i="1"/>
  <c r="M88" i="21"/>
  <c r="M91" i="1" l="1"/>
  <c r="N105" i="1"/>
  <c r="M72" i="21"/>
  <c r="N93" i="32" s="1"/>
  <c r="M71" i="21"/>
  <c r="N92" i="32" s="1"/>
  <c r="N99" i="1"/>
  <c r="N97" i="1" s="1"/>
  <c r="N89" i="21"/>
  <c r="O99" i="32" s="1"/>
  <c r="N93" i="1"/>
  <c r="M100" i="1"/>
  <c r="M99" i="32"/>
  <c r="M97" i="32" s="1"/>
  <c r="M103" i="32"/>
  <c r="M101" i="21"/>
  <c r="N105" i="32" s="1"/>
  <c r="N103" i="32" s="1"/>
  <c r="N103" i="1"/>
  <c r="M135" i="21"/>
  <c r="L147" i="21"/>
  <c r="N92" i="1"/>
  <c r="N91" i="1" s="1"/>
  <c r="O136" i="10"/>
  <c r="N147" i="10"/>
  <c r="M94" i="1"/>
  <c r="N93" i="10"/>
  <c r="N101" i="26"/>
  <c r="M88" i="10"/>
  <c r="M98" i="26"/>
  <c r="M97" i="26" s="1"/>
  <c r="M96" i="32"/>
  <c r="M94" i="32" s="1"/>
  <c r="N96" i="1"/>
  <c r="M81" i="21"/>
  <c r="O98" i="1"/>
  <c r="O97" i="1" s="1"/>
  <c r="N98" i="32"/>
  <c r="N97" i="32" s="1"/>
  <c r="N102" i="1"/>
  <c r="L97" i="26"/>
  <c r="M101" i="32"/>
  <c r="M100" i="32" s="1"/>
  <c r="N101" i="1"/>
  <c r="M93" i="21"/>
  <c r="N95" i="1"/>
  <c r="M80" i="21"/>
  <c r="N95" i="32" s="1"/>
  <c r="N94" i="21"/>
  <c r="O102" i="32" s="1"/>
  <c r="O102" i="1"/>
  <c r="N98" i="21"/>
  <c r="O104" i="1"/>
  <c r="O93" i="1"/>
  <c r="N88" i="21"/>
  <c r="O92" i="1" l="1"/>
  <c r="O91" i="1" s="1"/>
  <c r="P99" i="1"/>
  <c r="N72" i="21"/>
  <c r="O93" i="32" s="1"/>
  <c r="O105" i="1"/>
  <c r="O103" i="1" s="1"/>
  <c r="N91" i="32"/>
  <c r="O89" i="21"/>
  <c r="Q99" i="1" s="1"/>
  <c r="N71" i="21"/>
  <c r="O92" i="32" s="1"/>
  <c r="O91" i="32" s="1"/>
  <c r="N101" i="21"/>
  <c r="O105" i="32" s="1"/>
  <c r="N135" i="21"/>
  <c r="M147" i="21"/>
  <c r="O104" i="32"/>
  <c r="P136" i="10"/>
  <c r="O147" i="10"/>
  <c r="P98" i="1"/>
  <c r="P97" i="1" s="1"/>
  <c r="O98" i="32"/>
  <c r="O97" i="32" s="1"/>
  <c r="P105" i="1"/>
  <c r="N101" i="32"/>
  <c r="N100" i="32" s="1"/>
  <c r="N93" i="21"/>
  <c r="O101" i="1"/>
  <c r="O100" i="1" s="1"/>
  <c r="N100" i="1"/>
  <c r="N100" i="26"/>
  <c r="N94" i="1"/>
  <c r="N96" i="32"/>
  <c r="N94" i="32" s="1"/>
  <c r="N81" i="21"/>
  <c r="O96" i="1"/>
  <c r="N88" i="10"/>
  <c r="N98" i="26"/>
  <c r="O93" i="10"/>
  <c r="O101" i="26"/>
  <c r="O100" i="26" s="1"/>
  <c r="N80" i="21"/>
  <c r="O95" i="32" s="1"/>
  <c r="O95" i="1"/>
  <c r="O94" i="1" s="1"/>
  <c r="O94" i="21"/>
  <c r="P102" i="32" s="1"/>
  <c r="P102" i="1"/>
  <c r="O98" i="21"/>
  <c r="P104" i="32" s="1"/>
  <c r="P104" i="1"/>
  <c r="O88" i="21"/>
  <c r="O71" i="21" l="1"/>
  <c r="P92" i="32" s="1"/>
  <c r="O72" i="21"/>
  <c r="P93" i="32" s="1"/>
  <c r="P93" i="1"/>
  <c r="P89" i="21"/>
  <c r="Q99" i="32" s="1"/>
  <c r="P99" i="32"/>
  <c r="P92" i="1"/>
  <c r="O101" i="21"/>
  <c r="Q105" i="1" s="1"/>
  <c r="Q136" i="10"/>
  <c r="P147" i="10"/>
  <c r="O135" i="21"/>
  <c r="N147" i="21"/>
  <c r="P103" i="1"/>
  <c r="O103" i="32"/>
  <c r="R99" i="1"/>
  <c r="P93" i="10"/>
  <c r="P101" i="26"/>
  <c r="P100" i="26" s="1"/>
  <c r="O88" i="10"/>
  <c r="O98" i="26"/>
  <c r="O97" i="26" s="1"/>
  <c r="O96" i="32"/>
  <c r="O94" i="32" s="1"/>
  <c r="P96" i="1"/>
  <c r="O81" i="21"/>
  <c r="O101" i="32"/>
  <c r="O100" i="32" s="1"/>
  <c r="O93" i="21"/>
  <c r="P101" i="1"/>
  <c r="P100" i="1" s="1"/>
  <c r="Q98" i="1"/>
  <c r="Q97" i="1" s="1"/>
  <c r="P98" i="32"/>
  <c r="N97" i="26"/>
  <c r="P95" i="1"/>
  <c r="O80" i="21"/>
  <c r="P95" i="32" s="1"/>
  <c r="P94" i="21"/>
  <c r="Q102" i="32" s="1"/>
  <c r="Q102" i="1"/>
  <c r="P98" i="21"/>
  <c r="Q104" i="32" s="1"/>
  <c r="Q104" i="1"/>
  <c r="Q93" i="1"/>
  <c r="P88" i="21"/>
  <c r="Q92" i="1" l="1"/>
  <c r="Q91" i="1" s="1"/>
  <c r="P71" i="21"/>
  <c r="Q92" i="32" s="1"/>
  <c r="P91" i="32"/>
  <c r="P72" i="21"/>
  <c r="Q93" i="32" s="1"/>
  <c r="Q91" i="32" s="1"/>
  <c r="P97" i="32"/>
  <c r="P91" i="1"/>
  <c r="Q89" i="21"/>
  <c r="S99" i="1" s="1"/>
  <c r="P105" i="32"/>
  <c r="P103" i="32" s="1"/>
  <c r="P101" i="21"/>
  <c r="R105" i="1" s="1"/>
  <c r="Q103" i="1"/>
  <c r="P135" i="21"/>
  <c r="O147" i="21"/>
  <c r="R136" i="10"/>
  <c r="Q147" i="10"/>
  <c r="P94" i="1"/>
  <c r="R98" i="1"/>
  <c r="R97" i="1" s="1"/>
  <c r="Q98" i="32"/>
  <c r="Q97" i="32" s="1"/>
  <c r="P101" i="32"/>
  <c r="P100" i="32" s="1"/>
  <c r="P93" i="21"/>
  <c r="Q101" i="1"/>
  <c r="Q100" i="1" s="1"/>
  <c r="P96" i="32"/>
  <c r="P94" i="32" s="1"/>
  <c r="P81" i="21"/>
  <c r="Q96" i="1"/>
  <c r="P88" i="10"/>
  <c r="P98" i="26"/>
  <c r="Q93" i="10"/>
  <c r="Q101" i="26"/>
  <c r="Q100" i="26" s="1"/>
  <c r="P80" i="21"/>
  <c r="Q95" i="32" s="1"/>
  <c r="Q95" i="1"/>
  <c r="Q94" i="1" s="1"/>
  <c r="R92" i="1"/>
  <c r="Q98" i="21"/>
  <c r="R104" i="32" s="1"/>
  <c r="R104" i="1"/>
  <c r="Q94" i="21"/>
  <c r="R102" i="32" s="1"/>
  <c r="R102" i="1"/>
  <c r="Q88" i="21"/>
  <c r="Q71" i="21" l="1"/>
  <c r="R92" i="32" s="1"/>
  <c r="R93" i="1"/>
  <c r="R91" i="1" s="1"/>
  <c r="Q72" i="21"/>
  <c r="R93" i="32" s="1"/>
  <c r="R89" i="21"/>
  <c r="T99" i="1" s="1"/>
  <c r="R99" i="32"/>
  <c r="Q101" i="21"/>
  <c r="R105" i="32" s="1"/>
  <c r="R103" i="32" s="1"/>
  <c r="Q105" i="32"/>
  <c r="Q103" i="32" s="1"/>
  <c r="R103" i="1"/>
  <c r="S136" i="10"/>
  <c r="S147" i="10" s="1"/>
  <c r="R147" i="10"/>
  <c r="Q135" i="21"/>
  <c r="P147" i="21"/>
  <c r="R93" i="10"/>
  <c r="R101" i="26"/>
  <c r="R100" i="26" s="1"/>
  <c r="Q88" i="10"/>
  <c r="Q98" i="26"/>
  <c r="Q97" i="26" s="1"/>
  <c r="Q96" i="32"/>
  <c r="Q94" i="32" s="1"/>
  <c r="Q81" i="21"/>
  <c r="R96" i="1"/>
  <c r="S98" i="1"/>
  <c r="S97" i="1" s="1"/>
  <c r="R98" i="32"/>
  <c r="P97" i="26"/>
  <c r="Q101" i="32"/>
  <c r="Q100" i="32" s="1"/>
  <c r="Q93" i="21"/>
  <c r="R101" i="1"/>
  <c r="R100" i="1" s="1"/>
  <c r="R95" i="1"/>
  <c r="Q80" i="21"/>
  <c r="R95" i="32" s="1"/>
  <c r="R94" i="21"/>
  <c r="S102" i="32" s="1"/>
  <c r="S102" i="1"/>
  <c r="R98" i="21"/>
  <c r="S104" i="32" s="1"/>
  <c r="S104" i="1"/>
  <c r="R88" i="21"/>
  <c r="R91" i="32" l="1"/>
  <c r="R71" i="21"/>
  <c r="S92" i="32" s="1"/>
  <c r="S92" i="1"/>
  <c r="S93" i="1"/>
  <c r="R72" i="21"/>
  <c r="S93" i="32" s="1"/>
  <c r="S89" i="21"/>
  <c r="T99" i="32" s="1"/>
  <c r="S105" i="1"/>
  <c r="S103" i="1" s="1"/>
  <c r="S99" i="32"/>
  <c r="R97" i="32"/>
  <c r="R101" i="21"/>
  <c r="S105" i="32" s="1"/>
  <c r="S103" i="32" s="1"/>
  <c r="R94" i="1"/>
  <c r="R135" i="21"/>
  <c r="Q147" i="21"/>
  <c r="U99" i="1"/>
  <c r="G99" i="1" s="1"/>
  <c r="H99" i="1" s="1"/>
  <c r="R101" i="32"/>
  <c r="R100" i="32" s="1"/>
  <c r="R93" i="21"/>
  <c r="S101" i="1"/>
  <c r="S100" i="1" s="1"/>
  <c r="R96" i="32"/>
  <c r="R94" i="32" s="1"/>
  <c r="R81" i="21"/>
  <c r="S96" i="1"/>
  <c r="T98" i="1"/>
  <c r="T97" i="1" s="1"/>
  <c r="S98" i="32"/>
  <c r="R88" i="10"/>
  <c r="R98" i="26"/>
  <c r="R97" i="26" s="1"/>
  <c r="S93" i="10"/>
  <c r="T101" i="26" s="1"/>
  <c r="S101" i="26"/>
  <c r="S100" i="26" s="1"/>
  <c r="R80" i="21"/>
  <c r="S95" i="32" s="1"/>
  <c r="S95" i="1"/>
  <c r="S94" i="21"/>
  <c r="T102" i="1"/>
  <c r="S98" i="21"/>
  <c r="T98" i="21" s="1"/>
  <c r="T104" i="1"/>
  <c r="T93" i="1"/>
  <c r="S88" i="21"/>
  <c r="T92" i="1" l="1"/>
  <c r="T91" i="1" s="1"/>
  <c r="S71" i="21"/>
  <c r="U92" i="1" s="1"/>
  <c r="S91" i="32"/>
  <c r="S91" i="1"/>
  <c r="S94" i="1"/>
  <c r="S72" i="21"/>
  <c r="U93" i="1" s="1"/>
  <c r="G93" i="1" s="1"/>
  <c r="T105" i="1"/>
  <c r="T103" i="1" s="1"/>
  <c r="S97" i="32"/>
  <c r="S101" i="21"/>
  <c r="T101" i="21" s="1"/>
  <c r="T102" i="21" s="1"/>
  <c r="S135" i="21"/>
  <c r="S147" i="21" s="1"/>
  <c r="R147" i="21"/>
  <c r="T100" i="26"/>
  <c r="G101" i="26"/>
  <c r="G100" i="26" s="1"/>
  <c r="H100" i="26" s="1"/>
  <c r="S88" i="10"/>
  <c r="T98" i="26" s="1"/>
  <c r="S98" i="26"/>
  <c r="S97" i="26" s="1"/>
  <c r="S101" i="32"/>
  <c r="S100" i="32" s="1"/>
  <c r="T101" i="1"/>
  <c r="T100" i="1" s="1"/>
  <c r="S93" i="21"/>
  <c r="U98" i="1"/>
  <c r="G98" i="1" s="1"/>
  <c r="T98" i="32"/>
  <c r="T97" i="32" s="1"/>
  <c r="U104" i="1"/>
  <c r="G104" i="1" s="1"/>
  <c r="T104" i="32"/>
  <c r="U102" i="1"/>
  <c r="T102" i="32"/>
  <c r="S96" i="32"/>
  <c r="S94" i="32" s="1"/>
  <c r="T96" i="1"/>
  <c r="S81" i="21"/>
  <c r="S80" i="21"/>
  <c r="T95" i="1"/>
  <c r="I6" i="10"/>
  <c r="J6" i="10" s="1"/>
  <c r="K6" i="10" s="1"/>
  <c r="L6" i="10" s="1"/>
  <c r="M6" i="10" s="1"/>
  <c r="N6" i="10" s="1"/>
  <c r="O6" i="10" s="1"/>
  <c r="P6" i="10" s="1"/>
  <c r="Q6" i="10" s="1"/>
  <c r="R6" i="10" s="1"/>
  <c r="S6" i="10" s="1"/>
  <c r="T8" i="10"/>
  <c r="T9" i="10"/>
  <c r="T10" i="10"/>
  <c r="H11" i="10"/>
  <c r="I80" i="26" s="1"/>
  <c r="I11" i="10"/>
  <c r="J80" i="26" s="1"/>
  <c r="J11" i="10"/>
  <c r="K80" i="26" s="1"/>
  <c r="K11" i="10"/>
  <c r="L80" i="26" s="1"/>
  <c r="L11" i="10"/>
  <c r="M80" i="26" s="1"/>
  <c r="M11" i="10"/>
  <c r="N80" i="26" s="1"/>
  <c r="N11" i="10"/>
  <c r="O80" i="26" s="1"/>
  <c r="O11" i="10"/>
  <c r="P80" i="26" s="1"/>
  <c r="P11" i="10"/>
  <c r="Q80" i="26" s="1"/>
  <c r="Q11" i="10"/>
  <c r="R80" i="26" s="1"/>
  <c r="R11" i="10"/>
  <c r="S80" i="26" s="1"/>
  <c r="S11" i="10"/>
  <c r="T80" i="26" s="1"/>
  <c r="I13" i="10"/>
  <c r="L13" i="10"/>
  <c r="M13" i="10" s="1"/>
  <c r="T16" i="10"/>
  <c r="T17" i="10"/>
  <c r="T18" i="10"/>
  <c r="T19" i="10"/>
  <c r="T20" i="10"/>
  <c r="T92" i="32" l="1"/>
  <c r="T93" i="32"/>
  <c r="T105" i="32"/>
  <c r="T103" i="32" s="1"/>
  <c r="G92" i="1"/>
  <c r="H92" i="1" s="1"/>
  <c r="U97" i="1"/>
  <c r="U105" i="1"/>
  <c r="G105" i="1" s="1"/>
  <c r="H105" i="1" s="1"/>
  <c r="U91" i="1"/>
  <c r="G97" i="1"/>
  <c r="H98" i="1"/>
  <c r="I98" i="1"/>
  <c r="U95" i="1"/>
  <c r="G95" i="1" s="1"/>
  <c r="T95" i="32"/>
  <c r="G102" i="1"/>
  <c r="G91" i="1"/>
  <c r="H104" i="1"/>
  <c r="I93" i="1"/>
  <c r="H93" i="1"/>
  <c r="U96" i="1"/>
  <c r="G96" i="1" s="1"/>
  <c r="T96" i="32"/>
  <c r="U101" i="1"/>
  <c r="G101" i="1" s="1"/>
  <c r="T101" i="32"/>
  <c r="T100" i="32" s="1"/>
  <c r="T97" i="26"/>
  <c r="G98" i="26"/>
  <c r="G97" i="26" s="1"/>
  <c r="H97" i="26" s="1"/>
  <c r="G80" i="26"/>
  <c r="T94" i="1"/>
  <c r="K14" i="10"/>
  <c r="L81" i="26" s="1"/>
  <c r="N13" i="10"/>
  <c r="M14" i="10"/>
  <c r="N81" i="26" s="1"/>
  <c r="J13" i="10"/>
  <c r="J14" i="10" s="1"/>
  <c r="K81" i="26" s="1"/>
  <c r="I14" i="10"/>
  <c r="J81" i="26" s="1"/>
  <c r="L14" i="10"/>
  <c r="M81" i="26" s="1"/>
  <c r="H14" i="10"/>
  <c r="I81" i="26" s="1"/>
  <c r="T11" i="10"/>
  <c r="H33" i="21"/>
  <c r="I33" i="21" s="1"/>
  <c r="J33" i="21" s="1"/>
  <c r="K33" i="21" s="1"/>
  <c r="L33" i="21" s="1"/>
  <c r="M33" i="21" s="1"/>
  <c r="N33" i="21" s="1"/>
  <c r="O33" i="21" s="1"/>
  <c r="P33" i="21" s="1"/>
  <c r="Q33" i="21" s="1"/>
  <c r="R33" i="21" s="1"/>
  <c r="S33" i="21" s="1"/>
  <c r="H32" i="21"/>
  <c r="I32" i="21" s="1"/>
  <c r="J32" i="21" s="1"/>
  <c r="K32" i="21" s="1"/>
  <c r="L32" i="21" s="1"/>
  <c r="M32" i="21" s="1"/>
  <c r="N32" i="21" s="1"/>
  <c r="O32" i="21" s="1"/>
  <c r="P32" i="21" s="1"/>
  <c r="Q32" i="21" s="1"/>
  <c r="R32" i="21" s="1"/>
  <c r="S32" i="21" s="1"/>
  <c r="H31" i="21"/>
  <c r="I31" i="21" s="1"/>
  <c r="J31" i="21" s="1"/>
  <c r="K31" i="21" s="1"/>
  <c r="L31" i="21" s="1"/>
  <c r="M31" i="21" s="1"/>
  <c r="N31" i="21" s="1"/>
  <c r="O31" i="21" s="1"/>
  <c r="P31" i="21" s="1"/>
  <c r="Q31" i="21" s="1"/>
  <c r="R31" i="21" s="1"/>
  <c r="S31" i="21" s="1"/>
  <c r="H30" i="21"/>
  <c r="I30" i="21" s="1"/>
  <c r="J30" i="21" s="1"/>
  <c r="K30" i="21" s="1"/>
  <c r="L30" i="21" s="1"/>
  <c r="M30" i="21" s="1"/>
  <c r="N30" i="21" s="1"/>
  <c r="O30" i="21" s="1"/>
  <c r="P30" i="21" s="1"/>
  <c r="Q30" i="21" s="1"/>
  <c r="R30" i="21" s="1"/>
  <c r="S30" i="21" s="1"/>
  <c r="H29" i="21"/>
  <c r="I29" i="21" s="1"/>
  <c r="J29" i="21" s="1"/>
  <c r="K29" i="21" s="1"/>
  <c r="L29" i="21" s="1"/>
  <c r="M29" i="21" s="1"/>
  <c r="N29" i="21" s="1"/>
  <c r="O29" i="21" s="1"/>
  <c r="P29" i="21" s="1"/>
  <c r="Q29" i="21" s="1"/>
  <c r="R29" i="21" s="1"/>
  <c r="S29" i="21" s="1"/>
  <c r="H28" i="21"/>
  <c r="I28" i="21" s="1"/>
  <c r="J28" i="21" s="1"/>
  <c r="K28" i="21" s="1"/>
  <c r="L28" i="21" s="1"/>
  <c r="M28" i="21" s="1"/>
  <c r="N28" i="21" s="1"/>
  <c r="O28" i="21" s="1"/>
  <c r="P28" i="21" s="1"/>
  <c r="Q28" i="21" s="1"/>
  <c r="R28" i="21" s="1"/>
  <c r="S28" i="21" s="1"/>
  <c r="H26" i="21"/>
  <c r="H25" i="21"/>
  <c r="H22" i="21"/>
  <c r="I22" i="21" s="1"/>
  <c r="J22" i="21" s="1"/>
  <c r="K22" i="21" s="1"/>
  <c r="L22" i="21" s="1"/>
  <c r="M22" i="21" s="1"/>
  <c r="N22" i="21" s="1"/>
  <c r="O22" i="21" s="1"/>
  <c r="P22" i="21" s="1"/>
  <c r="Q22" i="21" s="1"/>
  <c r="R22" i="21" s="1"/>
  <c r="S22" i="21" s="1"/>
  <c r="H21" i="21"/>
  <c r="I21" i="21" s="1"/>
  <c r="J21" i="21" s="1"/>
  <c r="K21" i="21" s="1"/>
  <c r="L21" i="21" s="1"/>
  <c r="M21" i="21" s="1"/>
  <c r="N21" i="21" s="1"/>
  <c r="O21" i="21" s="1"/>
  <c r="P21" i="21" s="1"/>
  <c r="Q21" i="21" s="1"/>
  <c r="R21" i="21" s="1"/>
  <c r="S21" i="21" s="1"/>
  <c r="H20" i="21"/>
  <c r="I20" i="21" s="1"/>
  <c r="J20" i="21" s="1"/>
  <c r="K20" i="21" s="1"/>
  <c r="L20" i="21" s="1"/>
  <c r="M20" i="21" s="1"/>
  <c r="N20" i="21" s="1"/>
  <c r="O20" i="21" s="1"/>
  <c r="P20" i="21" s="1"/>
  <c r="Q20" i="21" s="1"/>
  <c r="R20" i="21" s="1"/>
  <c r="S20" i="21" s="1"/>
  <c r="H19" i="21"/>
  <c r="I19" i="21" s="1"/>
  <c r="J19" i="21" s="1"/>
  <c r="K19" i="21" s="1"/>
  <c r="L19" i="21" s="1"/>
  <c r="M19" i="21" s="1"/>
  <c r="N19" i="21" s="1"/>
  <c r="O19" i="21" s="1"/>
  <c r="P19" i="21" s="1"/>
  <c r="Q19" i="21" s="1"/>
  <c r="R19" i="21" s="1"/>
  <c r="S19" i="21" s="1"/>
  <c r="H18" i="21"/>
  <c r="H16" i="21"/>
  <c r="T91" i="32" l="1"/>
  <c r="G103" i="1"/>
  <c r="H103" i="1" s="1"/>
  <c r="U103" i="1"/>
  <c r="I84" i="32"/>
  <c r="H96" i="1"/>
  <c r="I96" i="1"/>
  <c r="I26" i="21"/>
  <c r="J26" i="21" s="1"/>
  <c r="H102" i="1"/>
  <c r="I102" i="1"/>
  <c r="T94" i="32"/>
  <c r="I97" i="1"/>
  <c r="H97" i="1"/>
  <c r="J83" i="1"/>
  <c r="I83" i="32"/>
  <c r="I82" i="32" s="1"/>
  <c r="J86" i="1"/>
  <c r="I86" i="32"/>
  <c r="G94" i="1"/>
  <c r="H95" i="1"/>
  <c r="G100" i="1"/>
  <c r="I101" i="1"/>
  <c r="H101" i="1"/>
  <c r="H91" i="1"/>
  <c r="I91" i="1"/>
  <c r="U100" i="1"/>
  <c r="U94" i="1"/>
  <c r="H80" i="26"/>
  <c r="I16" i="21"/>
  <c r="I18" i="21"/>
  <c r="J18" i="21" s="1"/>
  <c r="K18" i="21" s="1"/>
  <c r="L18" i="21" s="1"/>
  <c r="M18" i="21" s="1"/>
  <c r="N18" i="21" s="1"/>
  <c r="O18" i="21" s="1"/>
  <c r="P18" i="21" s="1"/>
  <c r="Q18" i="21" s="1"/>
  <c r="R18" i="21" s="1"/>
  <c r="S18" i="21" s="1"/>
  <c r="J84" i="1"/>
  <c r="I25" i="21"/>
  <c r="I17" i="21"/>
  <c r="O13" i="10"/>
  <c r="N14" i="10"/>
  <c r="O81" i="26" s="1"/>
  <c r="S158" i="21"/>
  <c r="Q158" i="21"/>
  <c r="P158" i="21"/>
  <c r="O158" i="21"/>
  <c r="N158" i="21"/>
  <c r="M158" i="21"/>
  <c r="L158" i="21"/>
  <c r="K158" i="21"/>
  <c r="J158" i="21"/>
  <c r="I158" i="21"/>
  <c r="H158" i="21"/>
  <c r="F158" i="21"/>
  <c r="S155" i="21"/>
  <c r="R155" i="21"/>
  <c r="Q155" i="21"/>
  <c r="P155" i="21"/>
  <c r="O155" i="21"/>
  <c r="N155" i="21"/>
  <c r="M155" i="21"/>
  <c r="L155" i="21"/>
  <c r="K155" i="21"/>
  <c r="J155" i="21"/>
  <c r="I155" i="21"/>
  <c r="H155" i="21"/>
  <c r="F155" i="21"/>
  <c r="T154" i="21"/>
  <c r="U154" i="21" s="1"/>
  <c r="W154" i="21" s="1"/>
  <c r="T153" i="21"/>
  <c r="U153" i="21" s="1"/>
  <c r="W153" i="21" s="1"/>
  <c r="T152" i="21"/>
  <c r="U152" i="21" s="1"/>
  <c r="W152" i="21" s="1"/>
  <c r="T151" i="21"/>
  <c r="U151" i="21" s="1"/>
  <c r="W151" i="21" s="1"/>
  <c r="T150" i="21"/>
  <c r="U150" i="21" s="1"/>
  <c r="W150" i="21" s="1"/>
  <c r="T149" i="21"/>
  <c r="F147" i="21"/>
  <c r="T145" i="21"/>
  <c r="T144" i="21"/>
  <c r="T143" i="21"/>
  <c r="T142" i="21"/>
  <c r="T141" i="21"/>
  <c r="T140" i="21"/>
  <c r="T139" i="21"/>
  <c r="T138" i="21"/>
  <c r="T137" i="21"/>
  <c r="T136" i="21"/>
  <c r="T135" i="21"/>
  <c r="S133" i="21"/>
  <c r="R133" i="21"/>
  <c r="Q133" i="21"/>
  <c r="P133" i="21"/>
  <c r="O133" i="21"/>
  <c r="N133" i="21"/>
  <c r="M133" i="21"/>
  <c r="L133" i="21"/>
  <c r="K133" i="21"/>
  <c r="J133" i="21"/>
  <c r="I133" i="21"/>
  <c r="H133" i="21"/>
  <c r="F133" i="21"/>
  <c r="T132" i="21"/>
  <c r="U132" i="21" s="1"/>
  <c r="W132" i="21" s="1"/>
  <c r="T131" i="21"/>
  <c r="T130" i="21"/>
  <c r="S128" i="21"/>
  <c r="R128" i="21"/>
  <c r="Q128" i="21"/>
  <c r="P128" i="21"/>
  <c r="O128" i="21"/>
  <c r="N128" i="21"/>
  <c r="M128" i="21"/>
  <c r="L128" i="21"/>
  <c r="K128" i="21"/>
  <c r="J128" i="21"/>
  <c r="I128" i="21"/>
  <c r="H128" i="21"/>
  <c r="F128" i="21"/>
  <c r="T127" i="21"/>
  <c r="T126" i="21"/>
  <c r="S124" i="21"/>
  <c r="R124" i="21"/>
  <c r="Q124" i="21"/>
  <c r="P124" i="21"/>
  <c r="O124" i="21"/>
  <c r="N124" i="21"/>
  <c r="M124" i="21"/>
  <c r="L124" i="21"/>
  <c r="K124" i="21"/>
  <c r="J124" i="21"/>
  <c r="I124" i="21"/>
  <c r="H124" i="21"/>
  <c r="F124" i="21"/>
  <c r="T123" i="21"/>
  <c r="T122" i="21"/>
  <c r="T121" i="21"/>
  <c r="U121" i="21" s="1"/>
  <c r="W121" i="21" s="1"/>
  <c r="T120" i="21"/>
  <c r="T105" i="21"/>
  <c r="T104" i="21"/>
  <c r="S102" i="21"/>
  <c r="R102" i="21"/>
  <c r="Q102" i="21"/>
  <c r="P102" i="21"/>
  <c r="O102" i="21"/>
  <c r="N102" i="21"/>
  <c r="M102" i="21"/>
  <c r="L102" i="21"/>
  <c r="K102" i="21"/>
  <c r="J102" i="21"/>
  <c r="I102" i="21"/>
  <c r="H102" i="21"/>
  <c r="F102" i="21"/>
  <c r="U101" i="21"/>
  <c r="W101" i="21" s="1"/>
  <c r="U100" i="21"/>
  <c r="W100" i="21" s="1"/>
  <c r="U99" i="21"/>
  <c r="W99" i="21" s="1"/>
  <c r="S96" i="21"/>
  <c r="R96" i="21"/>
  <c r="Q96" i="21"/>
  <c r="P96" i="21"/>
  <c r="O96" i="21"/>
  <c r="N96" i="21"/>
  <c r="M96" i="21"/>
  <c r="L96" i="21"/>
  <c r="K96" i="21"/>
  <c r="J96" i="21"/>
  <c r="I96" i="21"/>
  <c r="H96" i="21"/>
  <c r="F96" i="21"/>
  <c r="T95" i="21"/>
  <c r="T94" i="21"/>
  <c r="T93" i="21"/>
  <c r="S91" i="21"/>
  <c r="R91" i="21"/>
  <c r="Q91" i="21"/>
  <c r="P91" i="21"/>
  <c r="O91" i="21"/>
  <c r="N91" i="21"/>
  <c r="M91" i="21"/>
  <c r="L91" i="21"/>
  <c r="K91" i="21"/>
  <c r="J91" i="21"/>
  <c r="I91" i="21"/>
  <c r="H91" i="21"/>
  <c r="F91" i="21"/>
  <c r="T90" i="21"/>
  <c r="T89" i="21"/>
  <c r="T88" i="21"/>
  <c r="S86" i="21"/>
  <c r="R86" i="21"/>
  <c r="Q86" i="21"/>
  <c r="P86" i="21"/>
  <c r="O86" i="21"/>
  <c r="N86" i="21"/>
  <c r="M86" i="21"/>
  <c r="L86" i="21"/>
  <c r="K86" i="21"/>
  <c r="J86" i="21"/>
  <c r="I86" i="21"/>
  <c r="H86" i="21"/>
  <c r="F86" i="21"/>
  <c r="T85" i="21"/>
  <c r="T84" i="21"/>
  <c r="T83" i="21"/>
  <c r="T82" i="21"/>
  <c r="T81" i="21"/>
  <c r="T80" i="21"/>
  <c r="R78" i="21"/>
  <c r="Q78" i="21"/>
  <c r="P78" i="21"/>
  <c r="O78" i="21"/>
  <c r="N78" i="21"/>
  <c r="L78" i="21"/>
  <c r="K78" i="21"/>
  <c r="J78" i="21"/>
  <c r="I78" i="21"/>
  <c r="H78" i="21"/>
  <c r="F78" i="21"/>
  <c r="T77" i="21"/>
  <c r="T76" i="21"/>
  <c r="T75" i="21"/>
  <c r="S78" i="21"/>
  <c r="M78" i="21"/>
  <c r="T73" i="21"/>
  <c r="T72" i="21"/>
  <c r="T71" i="21"/>
  <c r="S69" i="21"/>
  <c r="Q69" i="21"/>
  <c r="P69" i="21"/>
  <c r="O69" i="21"/>
  <c r="N69" i="21"/>
  <c r="M69" i="21"/>
  <c r="K69" i="21"/>
  <c r="J69" i="21"/>
  <c r="I69" i="21"/>
  <c r="H69" i="21"/>
  <c r="F69" i="21"/>
  <c r="T68" i="21"/>
  <c r="T67" i="21"/>
  <c r="T66" i="21"/>
  <c r="T65" i="21"/>
  <c r="T64" i="21"/>
  <c r="U64" i="21" s="1"/>
  <c r="W64" i="21" s="1"/>
  <c r="T63" i="21"/>
  <c r="U63" i="21" s="1"/>
  <c r="W63" i="21" s="1"/>
  <c r="R69" i="21"/>
  <c r="L69" i="21"/>
  <c r="T61" i="21"/>
  <c r="U61" i="21" s="1"/>
  <c r="W61" i="21" s="1"/>
  <c r="T60" i="21"/>
  <c r="U60" i="21" s="1"/>
  <c r="W60" i="21" s="1"/>
  <c r="T59" i="21"/>
  <c r="U59" i="21" s="1"/>
  <c r="W59" i="21" s="1"/>
  <c r="T58" i="21"/>
  <c r="U58" i="21" s="1"/>
  <c r="W58" i="21" s="1"/>
  <c r="T57" i="21"/>
  <c r="U57" i="21" s="1"/>
  <c r="W57" i="21" s="1"/>
  <c r="F55" i="21"/>
  <c r="T54" i="21"/>
  <c r="T53" i="21"/>
  <c r="T51" i="21"/>
  <c r="T50" i="21"/>
  <c r="T49" i="21"/>
  <c r="T48" i="21"/>
  <c r="T47" i="21"/>
  <c r="S43" i="21"/>
  <c r="R43" i="21"/>
  <c r="Q43" i="21"/>
  <c r="P43" i="21"/>
  <c r="O43" i="21"/>
  <c r="N43" i="21"/>
  <c r="M43" i="21"/>
  <c r="L43" i="21"/>
  <c r="K43" i="21"/>
  <c r="J43" i="21"/>
  <c r="I43" i="21"/>
  <c r="H43" i="21"/>
  <c r="T42" i="21"/>
  <c r="T41" i="21"/>
  <c r="T40" i="21"/>
  <c r="T39" i="21"/>
  <c r="T38" i="21"/>
  <c r="T37" i="21"/>
  <c r="T36" i="21"/>
  <c r="T33" i="21"/>
  <c r="T32" i="21"/>
  <c r="T31" i="21"/>
  <c r="T30" i="21"/>
  <c r="T29" i="21"/>
  <c r="T28" i="21"/>
  <c r="H27" i="21"/>
  <c r="I27" i="21" s="1"/>
  <c r="J27" i="21" s="1"/>
  <c r="K27" i="21" s="1"/>
  <c r="L27" i="21" s="1"/>
  <c r="M27" i="21" s="1"/>
  <c r="N27" i="21" s="1"/>
  <c r="O27" i="21" s="1"/>
  <c r="P27" i="21" s="1"/>
  <c r="Q27" i="21" s="1"/>
  <c r="R27" i="21" s="1"/>
  <c r="S27" i="21" s="1"/>
  <c r="H23" i="21"/>
  <c r="F23" i="21"/>
  <c r="T22" i="21"/>
  <c r="T21" i="21"/>
  <c r="T20" i="21"/>
  <c r="T19" i="21"/>
  <c r="M81" i="1"/>
  <c r="F14" i="21"/>
  <c r="I10" i="21"/>
  <c r="T8" i="21"/>
  <c r="I6" i="21"/>
  <c r="J6" i="21" s="1"/>
  <c r="K6" i="21" s="1"/>
  <c r="L6" i="21" s="1"/>
  <c r="M6" i="21" s="1"/>
  <c r="N6" i="21" s="1"/>
  <c r="O6" i="21" s="1"/>
  <c r="P6" i="21" s="1"/>
  <c r="Q6" i="21" s="1"/>
  <c r="R6" i="21" s="1"/>
  <c r="S6" i="21" s="1"/>
  <c r="J84" i="32" l="1"/>
  <c r="T147" i="21"/>
  <c r="J88" i="1"/>
  <c r="I88" i="32"/>
  <c r="L88" i="1"/>
  <c r="K88" i="32"/>
  <c r="N88" i="1"/>
  <c r="M88" i="32"/>
  <c r="P88" i="1"/>
  <c r="O88" i="32"/>
  <c r="R88" i="1"/>
  <c r="Q88" i="32"/>
  <c r="T88" i="1"/>
  <c r="S88" i="32"/>
  <c r="T90" i="1"/>
  <c r="S90" i="32"/>
  <c r="J90" i="1"/>
  <c r="I90" i="32"/>
  <c r="L90" i="1"/>
  <c r="K90" i="32"/>
  <c r="O90" i="1"/>
  <c r="N90" i="32"/>
  <c r="Q90" i="1"/>
  <c r="P90" i="32"/>
  <c r="S90" i="1"/>
  <c r="R90" i="32"/>
  <c r="J106" i="1"/>
  <c r="I106" i="32"/>
  <c r="L106" i="1"/>
  <c r="K106" i="32"/>
  <c r="N106" i="1"/>
  <c r="M106" i="32"/>
  <c r="P106" i="1"/>
  <c r="O106" i="32"/>
  <c r="R106" i="1"/>
  <c r="Q106" i="32"/>
  <c r="T106" i="1"/>
  <c r="S106" i="32"/>
  <c r="K107" i="1"/>
  <c r="J107" i="32"/>
  <c r="M107" i="1"/>
  <c r="L107" i="32"/>
  <c r="O107" i="1"/>
  <c r="N107" i="32"/>
  <c r="Q107" i="1"/>
  <c r="P107" i="32"/>
  <c r="S107" i="1"/>
  <c r="R107" i="32"/>
  <c r="U107" i="1"/>
  <c r="T107" i="32"/>
  <c r="J108" i="1"/>
  <c r="I108" i="32"/>
  <c r="H108" i="32" s="1"/>
  <c r="L108" i="1"/>
  <c r="K108" i="32"/>
  <c r="N108" i="1"/>
  <c r="M108" i="32"/>
  <c r="P108" i="1"/>
  <c r="O108" i="32"/>
  <c r="R108" i="1"/>
  <c r="Q108" i="32"/>
  <c r="T108" i="1"/>
  <c r="S108" i="32"/>
  <c r="J109" i="1"/>
  <c r="I109" i="32"/>
  <c r="L109" i="1"/>
  <c r="K109" i="32"/>
  <c r="N109" i="1"/>
  <c r="M109" i="32"/>
  <c r="P109" i="1"/>
  <c r="O109" i="32"/>
  <c r="R109" i="1"/>
  <c r="Q109" i="32"/>
  <c r="T109" i="1"/>
  <c r="S109" i="32"/>
  <c r="J110" i="1"/>
  <c r="I110" i="32"/>
  <c r="L110" i="1"/>
  <c r="K110" i="32"/>
  <c r="N110" i="1"/>
  <c r="M110" i="32"/>
  <c r="P110" i="1"/>
  <c r="O110" i="32"/>
  <c r="R110" i="1"/>
  <c r="Q110" i="32"/>
  <c r="T110" i="1"/>
  <c r="S110" i="32"/>
  <c r="K111" i="1"/>
  <c r="J111" i="32"/>
  <c r="M111" i="1"/>
  <c r="L111" i="32"/>
  <c r="O111" i="1"/>
  <c r="N111" i="32"/>
  <c r="Q111" i="1"/>
  <c r="P111" i="32"/>
  <c r="S111" i="1"/>
  <c r="R111" i="32"/>
  <c r="U111" i="1"/>
  <c r="T111" i="32"/>
  <c r="K86" i="1"/>
  <c r="J86" i="32"/>
  <c r="K83" i="1"/>
  <c r="J83" i="32"/>
  <c r="H100" i="1"/>
  <c r="I100" i="1"/>
  <c r="H94" i="1"/>
  <c r="I94" i="1"/>
  <c r="I87" i="32"/>
  <c r="K88" i="1"/>
  <c r="J88" i="32"/>
  <c r="M88" i="1"/>
  <c r="L88" i="32"/>
  <c r="O88" i="1"/>
  <c r="N88" i="32"/>
  <c r="Q88" i="1"/>
  <c r="P88" i="32"/>
  <c r="S88" i="1"/>
  <c r="R88" i="32"/>
  <c r="U88" i="1"/>
  <c r="T88" i="32"/>
  <c r="N90" i="1"/>
  <c r="M90" i="32"/>
  <c r="K90" i="1"/>
  <c r="J90" i="32"/>
  <c r="M90" i="1"/>
  <c r="L90" i="32"/>
  <c r="P90" i="1"/>
  <c r="O90" i="32"/>
  <c r="R90" i="1"/>
  <c r="Q90" i="32"/>
  <c r="U90" i="1"/>
  <c r="T90" i="32"/>
  <c r="K106" i="1"/>
  <c r="J106" i="32"/>
  <c r="M106" i="1"/>
  <c r="L106" i="32"/>
  <c r="O106" i="1"/>
  <c r="N106" i="32"/>
  <c r="Q106" i="1"/>
  <c r="P106" i="32"/>
  <c r="S106" i="1"/>
  <c r="R106" i="32"/>
  <c r="U106" i="1"/>
  <c r="T106" i="32"/>
  <c r="J107" i="1"/>
  <c r="I107" i="32"/>
  <c r="L107" i="1"/>
  <c r="K107" i="32"/>
  <c r="N107" i="1"/>
  <c r="M107" i="32"/>
  <c r="P107" i="1"/>
  <c r="O107" i="32"/>
  <c r="R107" i="1"/>
  <c r="Q107" i="32"/>
  <c r="T107" i="1"/>
  <c r="S107" i="32"/>
  <c r="K108" i="1"/>
  <c r="J108" i="32"/>
  <c r="M108" i="1"/>
  <c r="L108" i="32"/>
  <c r="O108" i="1"/>
  <c r="N108" i="32"/>
  <c r="Q108" i="1"/>
  <c r="P108" i="32"/>
  <c r="S108" i="1"/>
  <c r="R108" i="32"/>
  <c r="U108" i="1"/>
  <c r="T108" i="32"/>
  <c r="K109" i="1"/>
  <c r="J109" i="32"/>
  <c r="M109" i="1"/>
  <c r="L109" i="32"/>
  <c r="O109" i="1"/>
  <c r="N109" i="32"/>
  <c r="Q109" i="1"/>
  <c r="P109" i="32"/>
  <c r="S109" i="1"/>
  <c r="R109" i="32"/>
  <c r="U109" i="1"/>
  <c r="T109" i="32"/>
  <c r="K110" i="1"/>
  <c r="J110" i="32"/>
  <c r="M110" i="1"/>
  <c r="L110" i="32"/>
  <c r="O110" i="1"/>
  <c r="N110" i="32"/>
  <c r="Q110" i="1"/>
  <c r="P110" i="32"/>
  <c r="S110" i="1"/>
  <c r="R110" i="32"/>
  <c r="U110" i="1"/>
  <c r="T110" i="32"/>
  <c r="J111" i="1"/>
  <c r="I111" i="32"/>
  <c r="H111" i="32" s="1"/>
  <c r="L111" i="1"/>
  <c r="K111" i="32"/>
  <c r="N111" i="1"/>
  <c r="M111" i="32"/>
  <c r="P111" i="1"/>
  <c r="O111" i="32"/>
  <c r="R111" i="1"/>
  <c r="Q111" i="32"/>
  <c r="T111" i="1"/>
  <c r="S111" i="32"/>
  <c r="K87" i="32"/>
  <c r="I85" i="32"/>
  <c r="J87" i="32"/>
  <c r="T18" i="21"/>
  <c r="U18" i="21" s="1"/>
  <c r="T43" i="21"/>
  <c r="J16" i="21"/>
  <c r="J10" i="21"/>
  <c r="K10" i="21" s="1"/>
  <c r="L10" i="21" s="1"/>
  <c r="M10" i="21" s="1"/>
  <c r="N10" i="21" s="1"/>
  <c r="O10" i="21" s="1"/>
  <c r="P10" i="21" s="1"/>
  <c r="Q10" i="21" s="1"/>
  <c r="R10" i="21" s="1"/>
  <c r="S10" i="21" s="1"/>
  <c r="K84" i="1"/>
  <c r="L13" i="21"/>
  <c r="I23" i="21"/>
  <c r="L87" i="1"/>
  <c r="J82" i="1"/>
  <c r="J87" i="1"/>
  <c r="K87" i="1"/>
  <c r="U122" i="21"/>
  <c r="W122" i="21" s="1"/>
  <c r="K26" i="21"/>
  <c r="J25" i="21"/>
  <c r="U19" i="21"/>
  <c r="W19" i="21" s="1"/>
  <c r="U20" i="21"/>
  <c r="W20" i="21" s="1"/>
  <c r="U22" i="21"/>
  <c r="J17" i="21"/>
  <c r="X151" i="21"/>
  <c r="X153" i="21"/>
  <c r="T155" i="21"/>
  <c r="U149" i="21"/>
  <c r="W149" i="21" s="1"/>
  <c r="W155" i="21" s="1"/>
  <c r="T133" i="21"/>
  <c r="U131" i="21"/>
  <c r="W131" i="21" s="1"/>
  <c r="U130" i="21"/>
  <c r="X130" i="21" s="1"/>
  <c r="Z130" i="21" s="1"/>
  <c r="U123" i="21"/>
  <c r="W123" i="21" s="1"/>
  <c r="T124" i="21"/>
  <c r="X121" i="21"/>
  <c r="Z120" i="21"/>
  <c r="X99" i="21"/>
  <c r="X101" i="21"/>
  <c r="U98" i="21"/>
  <c r="T91" i="21"/>
  <c r="U89" i="21"/>
  <c r="U90" i="21"/>
  <c r="W90" i="21" s="1"/>
  <c r="U88" i="21"/>
  <c r="W88" i="21" s="1"/>
  <c r="U72" i="21"/>
  <c r="W72" i="21" s="1"/>
  <c r="U73" i="21"/>
  <c r="W73" i="21" s="1"/>
  <c r="U75" i="21"/>
  <c r="U76" i="21"/>
  <c r="U77" i="21"/>
  <c r="W77" i="21" s="1"/>
  <c r="U71" i="21"/>
  <c r="W71" i="21" s="1"/>
  <c r="X58" i="21"/>
  <c r="X60" i="21"/>
  <c r="X63" i="21"/>
  <c r="U37" i="21"/>
  <c r="U38" i="21"/>
  <c r="U39" i="21"/>
  <c r="W39" i="21" s="1"/>
  <c r="U40" i="21"/>
  <c r="U41" i="21"/>
  <c r="U42" i="21"/>
  <c r="W42" i="21" s="1"/>
  <c r="U36" i="21"/>
  <c r="P13" i="10"/>
  <c r="O14" i="10"/>
  <c r="P81" i="26" s="1"/>
  <c r="I11" i="21"/>
  <c r="H34" i="21"/>
  <c r="H11" i="21"/>
  <c r="F34" i="21"/>
  <c r="I34" i="21"/>
  <c r="U21" i="21"/>
  <c r="U28" i="21"/>
  <c r="U29" i="21"/>
  <c r="W29" i="21" s="1"/>
  <c r="U30" i="21"/>
  <c r="U31" i="21"/>
  <c r="U32" i="21"/>
  <c r="W32" i="21" s="1"/>
  <c r="U33" i="21"/>
  <c r="W33" i="21" s="1"/>
  <c r="U53" i="21"/>
  <c r="W53" i="21" s="1"/>
  <c r="U54" i="21"/>
  <c r="T96" i="21"/>
  <c r="U93" i="21"/>
  <c r="W93" i="21" s="1"/>
  <c r="U95" i="21"/>
  <c r="W95" i="21" s="1"/>
  <c r="U127" i="21"/>
  <c r="W127" i="21" s="1"/>
  <c r="F11" i="21"/>
  <c r="J81" i="1"/>
  <c r="I13" i="21"/>
  <c r="X29" i="21"/>
  <c r="Z29" i="21" s="1"/>
  <c r="H55" i="21"/>
  <c r="I45" i="21"/>
  <c r="T46" i="21"/>
  <c r="U47" i="21"/>
  <c r="U48" i="21"/>
  <c r="U49" i="21"/>
  <c r="U50" i="21"/>
  <c r="U51" i="21"/>
  <c r="T52" i="21"/>
  <c r="X59" i="21"/>
  <c r="X61" i="21"/>
  <c r="X64" i="21"/>
  <c r="U8" i="21"/>
  <c r="X57" i="21"/>
  <c r="Z57" i="21" s="1"/>
  <c r="T62" i="21"/>
  <c r="U65" i="21"/>
  <c r="U66" i="21"/>
  <c r="U67" i="21"/>
  <c r="U68" i="21"/>
  <c r="T86" i="21"/>
  <c r="U80" i="21"/>
  <c r="W80" i="21" s="1"/>
  <c r="U81" i="21"/>
  <c r="U82" i="21"/>
  <c r="U83" i="21"/>
  <c r="U84" i="21"/>
  <c r="U85" i="21"/>
  <c r="U94" i="21"/>
  <c r="W94" i="21" s="1"/>
  <c r="W104" i="21"/>
  <c r="T128" i="21"/>
  <c r="U126" i="21"/>
  <c r="T74" i="21"/>
  <c r="X100" i="21"/>
  <c r="X132" i="21"/>
  <c r="U135" i="21"/>
  <c r="W135" i="21" s="1"/>
  <c r="U136" i="21"/>
  <c r="U137" i="21"/>
  <c r="U138" i="21"/>
  <c r="U139" i="21"/>
  <c r="U140" i="21"/>
  <c r="U141" i="21"/>
  <c r="U142" i="21"/>
  <c r="U143" i="21"/>
  <c r="U144" i="21"/>
  <c r="U145" i="21"/>
  <c r="X150" i="21"/>
  <c r="X152" i="21"/>
  <c r="X154" i="21"/>
  <c r="J82" i="32" l="1"/>
  <c r="G109" i="1"/>
  <c r="H109" i="1" s="1"/>
  <c r="G108" i="1"/>
  <c r="H108" i="1" s="1"/>
  <c r="K85" i="1"/>
  <c r="K82" i="1"/>
  <c r="G110" i="1"/>
  <c r="H110" i="1" s="1"/>
  <c r="G107" i="1"/>
  <c r="H107" i="1" s="1"/>
  <c r="I110" i="1"/>
  <c r="J89" i="1"/>
  <c r="I89" i="32"/>
  <c r="J80" i="1"/>
  <c r="I80" i="32"/>
  <c r="I112" i="32" s="1"/>
  <c r="I122" i="32" s="1"/>
  <c r="I124" i="32" s="1"/>
  <c r="K80" i="1"/>
  <c r="J80" i="32"/>
  <c r="L84" i="1"/>
  <c r="K84" i="32"/>
  <c r="M87" i="1"/>
  <c r="L87" i="32"/>
  <c r="I108" i="1"/>
  <c r="G111" i="1"/>
  <c r="G90" i="1"/>
  <c r="G88" i="1"/>
  <c r="L86" i="1"/>
  <c r="L85" i="1" s="1"/>
  <c r="K86" i="32"/>
  <c r="K85" i="32" s="1"/>
  <c r="L83" i="1"/>
  <c r="K83" i="32"/>
  <c r="J85" i="32"/>
  <c r="I14" i="21"/>
  <c r="J13" i="21"/>
  <c r="J14" i="21" s="1"/>
  <c r="K81" i="32" s="1"/>
  <c r="M13" i="21"/>
  <c r="M14" i="21" s="1"/>
  <c r="N81" i="32" s="1"/>
  <c r="L14" i="21"/>
  <c r="M81" i="32" s="1"/>
  <c r="AA154" i="21"/>
  <c r="Z154" i="21"/>
  <c r="AA150" i="21"/>
  <c r="Z150" i="21"/>
  <c r="AA61" i="21"/>
  <c r="Z61" i="21"/>
  <c r="AA60" i="21"/>
  <c r="Z60" i="21"/>
  <c r="AA101" i="21"/>
  <c r="Z101" i="21"/>
  <c r="AA151" i="21"/>
  <c r="Z151" i="21"/>
  <c r="AA152" i="21"/>
  <c r="Z152" i="21"/>
  <c r="AA132" i="21"/>
  <c r="Z132" i="21"/>
  <c r="AA100" i="21"/>
  <c r="Z100" i="21"/>
  <c r="W8" i="21"/>
  <c r="X8" i="21"/>
  <c r="Z8" i="21" s="1"/>
  <c r="AA64" i="21"/>
  <c r="Z64" i="21"/>
  <c r="AA59" i="21"/>
  <c r="Z59" i="21"/>
  <c r="X19" i="21"/>
  <c r="Z19" i="21" s="1"/>
  <c r="AA63" i="21"/>
  <c r="Z63" i="21"/>
  <c r="AA58" i="21"/>
  <c r="Z58" i="21"/>
  <c r="AA99" i="21"/>
  <c r="Z99" i="21"/>
  <c r="AA121" i="21"/>
  <c r="Z121" i="21"/>
  <c r="AA153" i="21"/>
  <c r="Z153" i="21"/>
  <c r="N81" i="1"/>
  <c r="K16" i="21"/>
  <c r="W96" i="21"/>
  <c r="X144" i="21"/>
  <c r="W144" i="21"/>
  <c r="X142" i="21"/>
  <c r="W142" i="21"/>
  <c r="X140" i="21"/>
  <c r="W140" i="21"/>
  <c r="X138" i="21"/>
  <c r="W138" i="21"/>
  <c r="X136" i="21"/>
  <c r="W136" i="21"/>
  <c r="X85" i="21"/>
  <c r="W85" i="21"/>
  <c r="X83" i="21"/>
  <c r="Z83" i="21" s="1"/>
  <c r="W83" i="21"/>
  <c r="X81" i="21"/>
  <c r="W81" i="21"/>
  <c r="X67" i="21"/>
  <c r="W67" i="21"/>
  <c r="X65" i="21"/>
  <c r="W65" i="21"/>
  <c r="X50" i="21"/>
  <c r="W50" i="21"/>
  <c r="X48" i="21"/>
  <c r="W48" i="21"/>
  <c r="X54" i="21"/>
  <c r="W54" i="21"/>
  <c r="X31" i="21"/>
  <c r="W31" i="21"/>
  <c r="X40" i="21"/>
  <c r="W40" i="21"/>
  <c r="X38" i="21"/>
  <c r="W38" i="21"/>
  <c r="X75" i="21"/>
  <c r="W75" i="21"/>
  <c r="U102" i="21"/>
  <c r="W98" i="21"/>
  <c r="W102" i="21" s="1"/>
  <c r="X22" i="21"/>
  <c r="W22" i="21"/>
  <c r="X145" i="21"/>
  <c r="W145" i="21"/>
  <c r="X143" i="21"/>
  <c r="W143" i="21"/>
  <c r="X141" i="21"/>
  <c r="Z141" i="21" s="1"/>
  <c r="W141" i="21"/>
  <c r="X139" i="21"/>
  <c r="W139" i="21"/>
  <c r="X137" i="21"/>
  <c r="W137" i="21"/>
  <c r="X122" i="21"/>
  <c r="U128" i="21"/>
  <c r="W126" i="21"/>
  <c r="W128" i="21" s="1"/>
  <c r="X84" i="21"/>
  <c r="W84" i="21"/>
  <c r="X82" i="21"/>
  <c r="W82" i="21"/>
  <c r="X68" i="21"/>
  <c r="W68" i="21"/>
  <c r="X66" i="21"/>
  <c r="Z66" i="21" s="1"/>
  <c r="W66" i="21"/>
  <c r="X51" i="21"/>
  <c r="W51" i="21"/>
  <c r="X49" i="21"/>
  <c r="W49" i="21"/>
  <c r="X47" i="21"/>
  <c r="W47" i="21"/>
  <c r="X33" i="21"/>
  <c r="X30" i="21"/>
  <c r="W30" i="21"/>
  <c r="X28" i="21"/>
  <c r="W28" i="21"/>
  <c r="X21" i="21"/>
  <c r="Z21" i="21" s="1"/>
  <c r="W21" i="21"/>
  <c r="U43" i="21"/>
  <c r="W36" i="21"/>
  <c r="X41" i="21"/>
  <c r="W41" i="21"/>
  <c r="X37" i="21"/>
  <c r="W37" i="21"/>
  <c r="X76" i="21"/>
  <c r="W76" i="21"/>
  <c r="X89" i="21"/>
  <c r="Z89" i="21" s="1"/>
  <c r="W89" i="21"/>
  <c r="W91" i="21" s="1"/>
  <c r="U124" i="21"/>
  <c r="W120" i="21"/>
  <c r="W124" i="21" s="1"/>
  <c r="U133" i="21"/>
  <c r="W130" i="21"/>
  <c r="W133" i="21" s="1"/>
  <c r="X18" i="21"/>
  <c r="W18" i="21"/>
  <c r="T10" i="21"/>
  <c r="U10" i="21" s="1"/>
  <c r="AA57" i="21"/>
  <c r="U96" i="21"/>
  <c r="X71" i="21"/>
  <c r="X88" i="21"/>
  <c r="Z88" i="21" s="1"/>
  <c r="U91" i="21"/>
  <c r="U147" i="21"/>
  <c r="U86" i="21"/>
  <c r="X149" i="21"/>
  <c r="Z149" i="21" s="1"/>
  <c r="U155" i="21"/>
  <c r="J34" i="21"/>
  <c r="F159" i="21"/>
  <c r="AA29" i="21"/>
  <c r="J85" i="1"/>
  <c r="X98" i="21"/>
  <c r="X32" i="21"/>
  <c r="L26" i="21"/>
  <c r="K25" i="21"/>
  <c r="X20" i="21"/>
  <c r="Z20" i="21" s="1"/>
  <c r="K17" i="21"/>
  <c r="J23" i="21"/>
  <c r="X131" i="21"/>
  <c r="AA130" i="21"/>
  <c r="AC130" i="21" s="1"/>
  <c r="X123" i="21"/>
  <c r="AC120" i="21"/>
  <c r="X95" i="21"/>
  <c r="X90" i="21"/>
  <c r="X73" i="21"/>
  <c r="X77" i="21"/>
  <c r="Z77" i="21" s="1"/>
  <c r="X72" i="21"/>
  <c r="U52" i="21"/>
  <c r="W52" i="21" s="1"/>
  <c r="X53" i="21"/>
  <c r="X42" i="21"/>
  <c r="X39" i="21"/>
  <c r="X36" i="21"/>
  <c r="Z36" i="21" s="1"/>
  <c r="H159" i="21"/>
  <c r="Q13" i="10"/>
  <c r="P14" i="10"/>
  <c r="Q81" i="26" s="1"/>
  <c r="J11" i="21"/>
  <c r="K11" i="21"/>
  <c r="X135" i="21"/>
  <c r="X80" i="21"/>
  <c r="Z80" i="21" s="1"/>
  <c r="R158" i="21"/>
  <c r="T157" i="21"/>
  <c r="T78" i="21"/>
  <c r="U74" i="21"/>
  <c r="X126" i="21"/>
  <c r="Z126" i="21" s="1"/>
  <c r="X94" i="21"/>
  <c r="U62" i="21"/>
  <c r="T69" i="21"/>
  <c r="Z105" i="21"/>
  <c r="U46" i="21"/>
  <c r="W46" i="21" s="1"/>
  <c r="I55" i="21"/>
  <c r="J45" i="21"/>
  <c r="T27" i="21"/>
  <c r="X127" i="21"/>
  <c r="X93" i="21"/>
  <c r="Z93" i="21" s="1"/>
  <c r="O81" i="1"/>
  <c r="Z104" i="21" l="1"/>
  <c r="Z118" i="21" s="1"/>
  <c r="K81" i="1"/>
  <c r="J81" i="32"/>
  <c r="AA19" i="21"/>
  <c r="AC19" i="21" s="1"/>
  <c r="L82" i="1"/>
  <c r="W147" i="21"/>
  <c r="Z135" i="21"/>
  <c r="X147" i="21"/>
  <c r="K89" i="1"/>
  <c r="J89" i="32"/>
  <c r="J112" i="32" s="1"/>
  <c r="J122" i="32" s="1"/>
  <c r="J124" i="32" s="1"/>
  <c r="L80" i="1"/>
  <c r="K80" i="32"/>
  <c r="N87" i="1"/>
  <c r="M87" i="32"/>
  <c r="H90" i="1"/>
  <c r="I90" i="1"/>
  <c r="H111" i="1"/>
  <c r="I111" i="1"/>
  <c r="M80" i="1"/>
  <c r="L80" i="32"/>
  <c r="M84" i="1"/>
  <c r="L84" i="32"/>
  <c r="M86" i="1"/>
  <c r="M85" i="1" s="1"/>
  <c r="L86" i="32"/>
  <c r="L85" i="32" s="1"/>
  <c r="M83" i="1"/>
  <c r="M82" i="1" s="1"/>
  <c r="L83" i="32"/>
  <c r="L82" i="32" s="1"/>
  <c r="J112" i="1"/>
  <c r="H88" i="1"/>
  <c r="I88" i="1"/>
  <c r="I106" i="1"/>
  <c r="H106" i="1"/>
  <c r="K82" i="32"/>
  <c r="AA141" i="21"/>
  <c r="AC141" i="21" s="1"/>
  <c r="N13" i="21"/>
  <c r="N14" i="21" s="1"/>
  <c r="AA89" i="21"/>
  <c r="AD89" i="21" s="1"/>
  <c r="AF89" i="21" s="1"/>
  <c r="AA21" i="21"/>
  <c r="AD21" i="21" s="1"/>
  <c r="AF21" i="21" s="1"/>
  <c r="AA42" i="21"/>
  <c r="Z42" i="21"/>
  <c r="AA72" i="21"/>
  <c r="AC72" i="21" s="1"/>
  <c r="Z72" i="21"/>
  <c r="AA73" i="21"/>
  <c r="AC73" i="21" s="1"/>
  <c r="Z73" i="21"/>
  <c r="AA90" i="21"/>
  <c r="AC90" i="21" s="1"/>
  <c r="Z90" i="21"/>
  <c r="Z91" i="21" s="1"/>
  <c r="AA95" i="21"/>
  <c r="Z95" i="21"/>
  <c r="AD141" i="21"/>
  <c r="AF141" i="21" s="1"/>
  <c r="X102" i="21"/>
  <c r="Z98" i="21"/>
  <c r="Z102" i="21" s="1"/>
  <c r="AD29" i="21"/>
  <c r="AF29" i="21" s="1"/>
  <c r="AC29" i="21"/>
  <c r="AA71" i="21"/>
  <c r="AC71" i="21" s="1"/>
  <c r="Z71" i="21"/>
  <c r="AD57" i="21"/>
  <c r="AF57" i="21" s="1"/>
  <c r="AC57" i="21"/>
  <c r="AA33" i="21"/>
  <c r="AC33" i="21" s="1"/>
  <c r="Z33" i="21"/>
  <c r="AA47" i="21"/>
  <c r="Z47" i="21"/>
  <c r="AA49" i="21"/>
  <c r="Z49" i="21"/>
  <c r="AA51" i="21"/>
  <c r="Z51" i="21"/>
  <c r="AA68" i="21"/>
  <c r="Z68" i="21"/>
  <c r="AA82" i="21"/>
  <c r="Z82" i="21"/>
  <c r="AA84" i="21"/>
  <c r="Z84" i="21"/>
  <c r="AA122" i="21"/>
  <c r="Z122" i="21"/>
  <c r="AA137" i="21"/>
  <c r="Z137" i="21"/>
  <c r="AA139" i="21"/>
  <c r="Z139" i="21"/>
  <c r="AA143" i="21"/>
  <c r="Z143" i="21"/>
  <c r="AA145" i="21"/>
  <c r="Z145" i="21"/>
  <c r="AA22" i="21"/>
  <c r="Z22" i="21"/>
  <c r="AA75" i="21"/>
  <c r="Z75" i="21"/>
  <c r="AA38" i="21"/>
  <c r="Z38" i="21"/>
  <c r="AA40" i="21"/>
  <c r="Z40" i="21"/>
  <c r="AA31" i="21"/>
  <c r="Z31" i="21"/>
  <c r="AA54" i="21"/>
  <c r="AC54" i="21" s="1"/>
  <c r="Z54" i="21"/>
  <c r="AA48" i="21"/>
  <c r="Z48" i="21"/>
  <c r="AA50" i="21"/>
  <c r="Z50" i="21"/>
  <c r="AA65" i="21"/>
  <c r="Z65" i="21"/>
  <c r="AA67" i="21"/>
  <c r="Z67" i="21"/>
  <c r="AA81" i="21"/>
  <c r="Z81" i="21"/>
  <c r="AA85" i="21"/>
  <c r="Z85" i="21"/>
  <c r="AA136" i="21"/>
  <c r="Z136" i="21"/>
  <c r="AA138" i="21"/>
  <c r="Z138" i="21"/>
  <c r="AA140" i="21"/>
  <c r="Z140" i="21"/>
  <c r="AA142" i="21"/>
  <c r="Z142" i="21"/>
  <c r="AA144" i="21"/>
  <c r="Z144" i="21"/>
  <c r="AD153" i="21"/>
  <c r="AF153" i="21" s="1"/>
  <c r="AC153" i="21"/>
  <c r="AD121" i="21"/>
  <c r="AF121" i="21" s="1"/>
  <c r="AC121" i="21"/>
  <c r="AD99" i="21"/>
  <c r="AF99" i="21" s="1"/>
  <c r="AC99" i="21"/>
  <c r="AD58" i="21"/>
  <c r="AF58" i="21" s="1"/>
  <c r="AC58" i="21"/>
  <c r="AD63" i="21"/>
  <c r="AF63" i="21" s="1"/>
  <c r="AC63" i="21"/>
  <c r="AA127" i="21"/>
  <c r="AC127" i="21" s="1"/>
  <c r="Z127" i="21"/>
  <c r="Z128" i="21" s="1"/>
  <c r="AA94" i="21"/>
  <c r="Z94" i="21"/>
  <c r="AA39" i="21"/>
  <c r="Z39" i="21"/>
  <c r="AA53" i="21"/>
  <c r="Z53" i="21"/>
  <c r="AA66" i="21"/>
  <c r="AA83" i="21"/>
  <c r="AC89" i="21"/>
  <c r="AA98" i="21"/>
  <c r="AC98" i="21" s="1"/>
  <c r="X124" i="21"/>
  <c r="Z123" i="21"/>
  <c r="X133" i="21"/>
  <c r="Z131" i="21"/>
  <c r="Z133" i="21" s="1"/>
  <c r="AA32" i="21"/>
  <c r="Z32" i="21"/>
  <c r="Z155" i="21"/>
  <c r="AA18" i="21"/>
  <c r="Z18" i="21"/>
  <c r="AA76" i="21"/>
  <c r="Z76" i="21"/>
  <c r="AA37" i="21"/>
  <c r="Z37" i="21"/>
  <c r="AA41" i="21"/>
  <c r="Z41" i="21"/>
  <c r="AA28" i="21"/>
  <c r="Z28" i="21"/>
  <c r="AA30" i="21"/>
  <c r="Z30" i="21"/>
  <c r="AD59" i="21"/>
  <c r="AF59" i="21" s="1"/>
  <c r="AC59" i="21"/>
  <c r="AD64" i="21"/>
  <c r="AF64" i="21" s="1"/>
  <c r="AC64" i="21"/>
  <c r="AD100" i="21"/>
  <c r="AF100" i="21" s="1"/>
  <c r="AC100" i="21"/>
  <c r="AD132" i="21"/>
  <c r="AF132" i="21" s="1"/>
  <c r="AC132" i="21"/>
  <c r="AD152" i="21"/>
  <c r="AF152" i="21" s="1"/>
  <c r="AC152" i="21"/>
  <c r="AD151" i="21"/>
  <c r="AF151" i="21" s="1"/>
  <c r="AC151" i="21"/>
  <c r="AD101" i="21"/>
  <c r="AF101" i="21" s="1"/>
  <c r="AC101" i="21"/>
  <c r="AD60" i="21"/>
  <c r="AF60" i="21" s="1"/>
  <c r="AC60" i="21"/>
  <c r="AD61" i="21"/>
  <c r="AF61" i="21" s="1"/>
  <c r="AC61" i="21"/>
  <c r="AD150" i="21"/>
  <c r="AF150" i="21" s="1"/>
  <c r="AC150" i="21"/>
  <c r="AD154" i="21"/>
  <c r="AF154" i="21" s="1"/>
  <c r="AC154" i="21"/>
  <c r="L16" i="21"/>
  <c r="X96" i="21"/>
  <c r="W86" i="21"/>
  <c r="U69" i="21"/>
  <c r="W62" i="21"/>
  <c r="W69" i="21" s="1"/>
  <c r="AA36" i="21"/>
  <c r="AD36" i="21" s="1"/>
  <c r="X43" i="21"/>
  <c r="W43" i="21"/>
  <c r="X52" i="21"/>
  <c r="U78" i="21"/>
  <c r="W74" i="21"/>
  <c r="W78" i="21" s="1"/>
  <c r="X86" i="21"/>
  <c r="AD130" i="21"/>
  <c r="AF130" i="21" s="1"/>
  <c r="AA149" i="21"/>
  <c r="AC149" i="21" s="1"/>
  <c r="X155" i="21"/>
  <c r="X128" i="21"/>
  <c r="AA88" i="21"/>
  <c r="AC88" i="21" s="1"/>
  <c r="X91" i="21"/>
  <c r="AA123" i="21"/>
  <c r="K23" i="21"/>
  <c r="I159" i="21"/>
  <c r="M26" i="21"/>
  <c r="L25" i="21"/>
  <c r="K34" i="21"/>
  <c r="AA20" i="21"/>
  <c r="L17" i="21"/>
  <c r="AA8" i="21"/>
  <c r="AC8" i="21" s="1"/>
  <c r="AA77" i="21"/>
  <c r="AA135" i="21"/>
  <c r="AA131" i="21"/>
  <c r="AA126" i="21"/>
  <c r="AD120" i="21"/>
  <c r="AF120" i="21" s="1"/>
  <c r="AA93" i="21"/>
  <c r="AA80" i="21"/>
  <c r="R13" i="10"/>
  <c r="Q14" i="10"/>
  <c r="R81" i="26" s="1"/>
  <c r="U9" i="21"/>
  <c r="L11" i="21"/>
  <c r="L81" i="1"/>
  <c r="U27" i="21"/>
  <c r="W27" i="21" s="1"/>
  <c r="X62" i="21"/>
  <c r="J55" i="21"/>
  <c r="K45" i="21"/>
  <c r="X46" i="21"/>
  <c r="Z46" i="21" s="1"/>
  <c r="X74" i="21"/>
  <c r="T158" i="21"/>
  <c r="U157" i="21"/>
  <c r="I45" i="10"/>
  <c r="J45" i="10" s="1"/>
  <c r="K45" i="10" s="1"/>
  <c r="L45" i="10" s="1"/>
  <c r="M45" i="10" s="1"/>
  <c r="N45" i="10" s="1"/>
  <c r="O45" i="10" s="1"/>
  <c r="P45" i="10" s="1"/>
  <c r="Q45" i="10" s="1"/>
  <c r="R45" i="10" s="1"/>
  <c r="S45" i="10" s="1"/>
  <c r="N93" i="26"/>
  <c r="R62" i="10"/>
  <c r="J46" i="10"/>
  <c r="M46" i="10" s="1"/>
  <c r="P46" i="10" s="1"/>
  <c r="S46" i="10" s="1"/>
  <c r="D51" i="3"/>
  <c r="T61" i="10"/>
  <c r="D75" i="3"/>
  <c r="D48" i="3"/>
  <c r="D41" i="3" s="1"/>
  <c r="D39" i="3" s="1"/>
  <c r="AC104" i="21" l="1"/>
  <c r="K112" i="1"/>
  <c r="AD19" i="21"/>
  <c r="AF19" i="21" s="1"/>
  <c r="P81" i="1"/>
  <c r="O81" i="32"/>
  <c r="AA147" i="21"/>
  <c r="Z147" i="21"/>
  <c r="N84" i="1"/>
  <c r="M84" i="32"/>
  <c r="O87" i="1"/>
  <c r="N87" i="32"/>
  <c r="L89" i="1"/>
  <c r="K89" i="32"/>
  <c r="K112" i="32" s="1"/>
  <c r="K122" i="32" s="1"/>
  <c r="K124" i="32" s="1"/>
  <c r="N80" i="1"/>
  <c r="M80" i="32"/>
  <c r="AD73" i="21"/>
  <c r="AF73" i="21" s="1"/>
  <c r="N86" i="1"/>
  <c r="M86" i="32"/>
  <c r="M85" i="32" s="1"/>
  <c r="AD54" i="21"/>
  <c r="AF54" i="21" s="1"/>
  <c r="N83" i="1"/>
  <c r="N82" i="1" s="1"/>
  <c r="M83" i="32"/>
  <c r="N91" i="26"/>
  <c r="AC155" i="21"/>
  <c r="AC21" i="21"/>
  <c r="O13" i="21"/>
  <c r="O14" i="21" s="1"/>
  <c r="P81" i="32" s="1"/>
  <c r="Z86" i="21"/>
  <c r="Z124" i="21"/>
  <c r="AD72" i="21"/>
  <c r="AF72" i="21" s="1"/>
  <c r="AD90" i="21"/>
  <c r="AF90" i="21" s="1"/>
  <c r="M16" i="21"/>
  <c r="AC91" i="21"/>
  <c r="AD98" i="21"/>
  <c r="AD102" i="21" s="1"/>
  <c r="Z43" i="21"/>
  <c r="AF36" i="21"/>
  <c r="AA128" i="21"/>
  <c r="AC126" i="21"/>
  <c r="AC128" i="21" s="1"/>
  <c r="AD131" i="21"/>
  <c r="AF131" i="21" s="1"/>
  <c r="AF133" i="21" s="1"/>
  <c r="AC131" i="21"/>
  <c r="AC133" i="21" s="1"/>
  <c r="AD20" i="21"/>
  <c r="AF20" i="21" s="1"/>
  <c r="AC20" i="21"/>
  <c r="AD123" i="21"/>
  <c r="AF123" i="21" s="1"/>
  <c r="AC123" i="21"/>
  <c r="AA52" i="21"/>
  <c r="Z52" i="21"/>
  <c r="AD30" i="21"/>
  <c r="AF30" i="21" s="1"/>
  <c r="AC30" i="21"/>
  <c r="AD28" i="21"/>
  <c r="AF28" i="21" s="1"/>
  <c r="AC28" i="21"/>
  <c r="AD41" i="21"/>
  <c r="AF41" i="21" s="1"/>
  <c r="AC41" i="21"/>
  <c r="AD37" i="21"/>
  <c r="AF37" i="21" s="1"/>
  <c r="AC37" i="21"/>
  <c r="AD76" i="21"/>
  <c r="AF76" i="21" s="1"/>
  <c r="AC76" i="21"/>
  <c r="AD32" i="21"/>
  <c r="AF32" i="21" s="1"/>
  <c r="AC32" i="21"/>
  <c r="AD83" i="21"/>
  <c r="AF83" i="21" s="1"/>
  <c r="AC83" i="21"/>
  <c r="AD94" i="21"/>
  <c r="AF94" i="21" s="1"/>
  <c r="AC94" i="21"/>
  <c r="AD144" i="21"/>
  <c r="AF144" i="21" s="1"/>
  <c r="AC144" i="21"/>
  <c r="AD142" i="21"/>
  <c r="AF142" i="21" s="1"/>
  <c r="AC142" i="21"/>
  <c r="AD140" i="21"/>
  <c r="AF140" i="21" s="1"/>
  <c r="AC140" i="21"/>
  <c r="AD138" i="21"/>
  <c r="AF138" i="21" s="1"/>
  <c r="AC138" i="21"/>
  <c r="AD136" i="21"/>
  <c r="AF136" i="21" s="1"/>
  <c r="AC136" i="21"/>
  <c r="AD85" i="21"/>
  <c r="AF85" i="21" s="1"/>
  <c r="AC85" i="21"/>
  <c r="AD81" i="21"/>
  <c r="AF81" i="21" s="1"/>
  <c r="AC81" i="21"/>
  <c r="AD67" i="21"/>
  <c r="AF67" i="21" s="1"/>
  <c r="AC67" i="21"/>
  <c r="AD65" i="21"/>
  <c r="AF65" i="21" s="1"/>
  <c r="AC65" i="21"/>
  <c r="AD50" i="21"/>
  <c r="AF50" i="21" s="1"/>
  <c r="AC50" i="21"/>
  <c r="AD48" i="21"/>
  <c r="AF48" i="21" s="1"/>
  <c r="AC48" i="21"/>
  <c r="AD31" i="21"/>
  <c r="AF31" i="21" s="1"/>
  <c r="AC31" i="21"/>
  <c r="AD40" i="21"/>
  <c r="AF40" i="21" s="1"/>
  <c r="AC40" i="21"/>
  <c r="AD38" i="21"/>
  <c r="AF38" i="21" s="1"/>
  <c r="AC38" i="21"/>
  <c r="AD75" i="21"/>
  <c r="AF75" i="21" s="1"/>
  <c r="AC75" i="21"/>
  <c r="AD22" i="21"/>
  <c r="AF22" i="21" s="1"/>
  <c r="AC22" i="21"/>
  <c r="AD145" i="21"/>
  <c r="AF145" i="21" s="1"/>
  <c r="AC145" i="21"/>
  <c r="AD143" i="21"/>
  <c r="AF143" i="21" s="1"/>
  <c r="AC143" i="21"/>
  <c r="AD139" i="21"/>
  <c r="AF139" i="21" s="1"/>
  <c r="AC139" i="21"/>
  <c r="AD137" i="21"/>
  <c r="AF137" i="21" s="1"/>
  <c r="AC137" i="21"/>
  <c r="AD122" i="21"/>
  <c r="AF122" i="21" s="1"/>
  <c r="AC122" i="21"/>
  <c r="AD84" i="21"/>
  <c r="AF84" i="21" s="1"/>
  <c r="AC84" i="21"/>
  <c r="AD82" i="21"/>
  <c r="AF82" i="21" s="1"/>
  <c r="AC82" i="21"/>
  <c r="AD68" i="21"/>
  <c r="AF68" i="21" s="1"/>
  <c r="AC68" i="21"/>
  <c r="AD51" i="21"/>
  <c r="AF51" i="21" s="1"/>
  <c r="AC51" i="21"/>
  <c r="AD49" i="21"/>
  <c r="AF49" i="21" s="1"/>
  <c r="AC49" i="21"/>
  <c r="AD47" i="21"/>
  <c r="AF47" i="21" s="1"/>
  <c r="AC47" i="21"/>
  <c r="AA74" i="21"/>
  <c r="AD74" i="21" s="1"/>
  <c r="Z74" i="21"/>
  <c r="Z78" i="21" s="1"/>
  <c r="X69" i="21"/>
  <c r="Z62" i="21"/>
  <c r="Z69" i="21" s="1"/>
  <c r="AD71" i="21"/>
  <c r="AF71" i="21" s="1"/>
  <c r="AA86" i="21"/>
  <c r="AC80" i="21"/>
  <c r="AA96" i="21"/>
  <c r="AC93" i="21"/>
  <c r="AD127" i="21"/>
  <c r="AF127" i="21" s="1"/>
  <c r="AC135" i="21"/>
  <c r="AD77" i="21"/>
  <c r="AF77" i="21" s="1"/>
  <c r="AC77" i="21"/>
  <c r="L23" i="21"/>
  <c r="AD33" i="21"/>
  <c r="AF33" i="21" s="1"/>
  <c r="AA43" i="21"/>
  <c r="AC36" i="21"/>
  <c r="AD18" i="21"/>
  <c r="AF18" i="21" s="1"/>
  <c r="AC18" i="21"/>
  <c r="AC102" i="21"/>
  <c r="AD66" i="21"/>
  <c r="AF66" i="21" s="1"/>
  <c r="AC66" i="21"/>
  <c r="AD53" i="21"/>
  <c r="AF53" i="21" s="1"/>
  <c r="AC53" i="21"/>
  <c r="AD39" i="21"/>
  <c r="AF39" i="21" s="1"/>
  <c r="AC39" i="21"/>
  <c r="Z96" i="21"/>
  <c r="AD95" i="21"/>
  <c r="AF95" i="21" s="1"/>
  <c r="AC95" i="21"/>
  <c r="AD42" i="21"/>
  <c r="AF42" i="21" s="1"/>
  <c r="AC42" i="21"/>
  <c r="U158" i="21"/>
  <c r="W157" i="21"/>
  <c r="W158" i="21" s="1"/>
  <c r="W9" i="21"/>
  <c r="AD8" i="21"/>
  <c r="AF8" i="21" s="1"/>
  <c r="X78" i="21"/>
  <c r="AA91" i="21"/>
  <c r="AD88" i="21"/>
  <c r="AA133" i="21"/>
  <c r="AA124" i="21"/>
  <c r="AA155" i="21"/>
  <c r="AD149" i="21"/>
  <c r="N26" i="21"/>
  <c r="M25" i="21"/>
  <c r="L34" i="21"/>
  <c r="M17" i="21"/>
  <c r="X157" i="21"/>
  <c r="AD135" i="21"/>
  <c r="AD126" i="21"/>
  <c r="AD93" i="21"/>
  <c r="AD80" i="21"/>
  <c r="AA62" i="21"/>
  <c r="AA46" i="21"/>
  <c r="T93" i="26"/>
  <c r="T91" i="26" s="1"/>
  <c r="H55" i="10"/>
  <c r="I89" i="26" s="1"/>
  <c r="P52" i="10"/>
  <c r="T52" i="10" s="1"/>
  <c r="S13" i="10"/>
  <c r="R14" i="10"/>
  <c r="S81" i="26" s="1"/>
  <c r="J159" i="21"/>
  <c r="X9" i="21"/>
  <c r="Z9" i="21" s="1"/>
  <c r="X27" i="21"/>
  <c r="M11" i="21"/>
  <c r="L45" i="21"/>
  <c r="K55" i="21"/>
  <c r="Q81" i="1"/>
  <c r="R87" i="26"/>
  <c r="D24" i="3"/>
  <c r="D22" i="3"/>
  <c r="D133" i="3"/>
  <c r="AD147" i="21" l="1"/>
  <c r="AC147" i="21"/>
  <c r="O84" i="1"/>
  <c r="N84" i="32"/>
  <c r="O86" i="1"/>
  <c r="O85" i="1" s="1"/>
  <c r="N86" i="32"/>
  <c r="N85" i="32" s="1"/>
  <c r="O83" i="1"/>
  <c r="N83" i="32"/>
  <c r="N82" i="32" s="1"/>
  <c r="N85" i="1"/>
  <c r="M82" i="32"/>
  <c r="M89" i="1"/>
  <c r="M112" i="1" s="1"/>
  <c r="L89" i="32"/>
  <c r="L112" i="32" s="1"/>
  <c r="L122" i="32" s="1"/>
  <c r="L124" i="32" s="1"/>
  <c r="O80" i="1"/>
  <c r="N80" i="32"/>
  <c r="P87" i="1"/>
  <c r="O87" i="32"/>
  <c r="L112" i="1"/>
  <c r="R85" i="26"/>
  <c r="G87" i="26"/>
  <c r="G93" i="26"/>
  <c r="O82" i="1"/>
  <c r="AD133" i="21"/>
  <c r="AC86" i="21"/>
  <c r="AF124" i="21"/>
  <c r="P13" i="21"/>
  <c r="P14" i="21" s="1"/>
  <c r="AF98" i="21"/>
  <c r="AF102" i="21" s="1"/>
  <c r="N16" i="21"/>
  <c r="AD124" i="21"/>
  <c r="AC124" i="21"/>
  <c r="AA27" i="21"/>
  <c r="Z27" i="21"/>
  <c r="AA69" i="21"/>
  <c r="AC62" i="21"/>
  <c r="AC69" i="21" s="1"/>
  <c r="AD86" i="21"/>
  <c r="AF80" i="21"/>
  <c r="AF86" i="21" s="1"/>
  <c r="AF135" i="21"/>
  <c r="AF147" i="21" s="1"/>
  <c r="AD52" i="21"/>
  <c r="AF52" i="21" s="1"/>
  <c r="AC52" i="21"/>
  <c r="AD43" i="21"/>
  <c r="AD46" i="21"/>
  <c r="AF46" i="21" s="1"/>
  <c r="AC46" i="21"/>
  <c r="AD78" i="21"/>
  <c r="AF74" i="21"/>
  <c r="AF78" i="21" s="1"/>
  <c r="AD96" i="21"/>
  <c r="AF93" i="21"/>
  <c r="AF96" i="21" s="1"/>
  <c r="AD128" i="21"/>
  <c r="AF126" i="21"/>
  <c r="AF128" i="21" s="1"/>
  <c r="X158" i="21"/>
  <c r="Z157" i="21"/>
  <c r="Z158" i="21" s="1"/>
  <c r="AD155" i="21"/>
  <c r="AF149" i="21"/>
  <c r="AF155" i="21" s="1"/>
  <c r="AD91" i="21"/>
  <c r="AF88" i="21"/>
  <c r="AF91" i="21" s="1"/>
  <c r="AC96" i="21"/>
  <c r="AA78" i="21"/>
  <c r="AC74" i="21"/>
  <c r="AC78" i="21" s="1"/>
  <c r="AC43" i="21"/>
  <c r="AF43" i="21"/>
  <c r="M23" i="21"/>
  <c r="K159" i="21"/>
  <c r="O26" i="21"/>
  <c r="N25" i="21"/>
  <c r="M34" i="21"/>
  <c r="N17" i="21"/>
  <c r="AA157" i="21"/>
  <c r="AD62" i="21"/>
  <c r="AA9" i="21"/>
  <c r="AC9" i="21" s="1"/>
  <c r="S14" i="10"/>
  <c r="T81" i="26" s="1"/>
  <c r="T13" i="10"/>
  <c r="N11" i="21"/>
  <c r="L55" i="21"/>
  <c r="M45" i="21"/>
  <c r="R81" i="1" l="1"/>
  <c r="Q81" i="32"/>
  <c r="N89" i="1"/>
  <c r="M89" i="32"/>
  <c r="M112" i="32" s="1"/>
  <c r="M122" i="32" s="1"/>
  <c r="M124" i="32" s="1"/>
  <c r="Q87" i="1"/>
  <c r="P87" i="32"/>
  <c r="P80" i="1"/>
  <c r="O80" i="32"/>
  <c r="P84" i="1"/>
  <c r="O84" i="32"/>
  <c r="P86" i="1"/>
  <c r="P85" i="1" s="1"/>
  <c r="O86" i="32"/>
  <c r="O85" i="32" s="1"/>
  <c r="P83" i="1"/>
  <c r="O83" i="32"/>
  <c r="H93" i="26"/>
  <c r="G91" i="26"/>
  <c r="H91" i="26" s="1"/>
  <c r="H87" i="26"/>
  <c r="G85" i="26"/>
  <c r="H85" i="26" s="1"/>
  <c r="G81" i="26"/>
  <c r="Q13" i="21"/>
  <c r="Q14" i="21" s="1"/>
  <c r="O16" i="21"/>
  <c r="AD69" i="21"/>
  <c r="AF62" i="21"/>
  <c r="AF69" i="21" s="1"/>
  <c r="AA158" i="21"/>
  <c r="AC157" i="21"/>
  <c r="AC158" i="21" s="1"/>
  <c r="AD27" i="21"/>
  <c r="AF27" i="21" s="1"/>
  <c r="AC27" i="21"/>
  <c r="AD9" i="21"/>
  <c r="AF9" i="21" s="1"/>
  <c r="L159" i="21"/>
  <c r="N23" i="21"/>
  <c r="P26" i="21"/>
  <c r="O25" i="21"/>
  <c r="N34" i="21"/>
  <c r="O17" i="21"/>
  <c r="AD157" i="21"/>
  <c r="T14" i="10"/>
  <c r="O11" i="21"/>
  <c r="M55" i="21"/>
  <c r="N45" i="21"/>
  <c r="H19" i="20"/>
  <c r="E12" i="18"/>
  <c r="S81" i="1" l="1"/>
  <c r="R81" i="32"/>
  <c r="Q80" i="1"/>
  <c r="P80" i="32"/>
  <c r="R87" i="1"/>
  <c r="Q87" i="32"/>
  <c r="Q83" i="1"/>
  <c r="P83" i="32"/>
  <c r="P82" i="1"/>
  <c r="O89" i="1"/>
  <c r="O112" i="1" s="1"/>
  <c r="N89" i="32"/>
  <c r="N112" i="32" s="1"/>
  <c r="N122" i="32" s="1"/>
  <c r="N124" i="32" s="1"/>
  <c r="Q84" i="1"/>
  <c r="P84" i="32"/>
  <c r="Q86" i="1"/>
  <c r="Q85" i="1" s="1"/>
  <c r="P86" i="32"/>
  <c r="P85" i="32" s="1"/>
  <c r="O82" i="32"/>
  <c r="N112" i="1"/>
  <c r="F12" i="18"/>
  <c r="D12" i="18"/>
  <c r="H81" i="26"/>
  <c r="P16" i="21"/>
  <c r="R13" i="21"/>
  <c r="R14" i="21" s="1"/>
  <c r="AD158" i="21"/>
  <c r="AF157" i="21"/>
  <c r="AF158" i="21" s="1"/>
  <c r="M159" i="21"/>
  <c r="O23" i="21"/>
  <c r="Q26" i="21"/>
  <c r="P25" i="21"/>
  <c r="O34" i="21"/>
  <c r="P17" i="21"/>
  <c r="P11" i="21"/>
  <c r="N55" i="21"/>
  <c r="O45" i="21"/>
  <c r="F16" i="20"/>
  <c r="F17" i="20"/>
  <c r="F18" i="20"/>
  <c r="E45" i="18"/>
  <c r="D45" i="18"/>
  <c r="T81" i="1" l="1"/>
  <c r="S81" i="32"/>
  <c r="Q82" i="1"/>
  <c r="R80" i="1"/>
  <c r="Q80" i="32"/>
  <c r="S87" i="1"/>
  <c r="R87" i="32"/>
  <c r="R83" i="1"/>
  <c r="Q83" i="32"/>
  <c r="P89" i="1"/>
  <c r="P112" i="1" s="1"/>
  <c r="O89" i="32"/>
  <c r="O112" i="32" s="1"/>
  <c r="O122" i="32" s="1"/>
  <c r="O124" i="32" s="1"/>
  <c r="R84" i="1"/>
  <c r="Q84" i="32"/>
  <c r="Q82" i="32" s="1"/>
  <c r="R86" i="1"/>
  <c r="R85" i="1" s="1"/>
  <c r="Q86" i="32"/>
  <c r="Q85" i="32" s="1"/>
  <c r="P82" i="32"/>
  <c r="Q16" i="21"/>
  <c r="S13" i="21"/>
  <c r="S14" i="21" s="1"/>
  <c r="T13" i="21"/>
  <c r="T14" i="21" s="1"/>
  <c r="F19" i="20"/>
  <c r="N159" i="21"/>
  <c r="P23" i="21"/>
  <c r="R26" i="21"/>
  <c r="Q25" i="21"/>
  <c r="P34" i="21"/>
  <c r="Q17" i="21"/>
  <c r="R16" i="21"/>
  <c r="Q11" i="21"/>
  <c r="R11" i="21"/>
  <c r="P45" i="21"/>
  <c r="O55" i="21"/>
  <c r="F23" i="18"/>
  <c r="F21" i="18" s="1"/>
  <c r="U13" i="21" l="1"/>
  <c r="W13" i="21" s="1"/>
  <c r="W14" i="21" s="1"/>
  <c r="U81" i="1"/>
  <c r="G81" i="1" s="1"/>
  <c r="T81" i="32"/>
  <c r="R82" i="1"/>
  <c r="S80" i="1"/>
  <c r="R80" i="32"/>
  <c r="S84" i="1"/>
  <c r="R84" i="32"/>
  <c r="S86" i="1"/>
  <c r="S85" i="1" s="1"/>
  <c r="R86" i="32"/>
  <c r="R85" i="32" s="1"/>
  <c r="I81" i="1"/>
  <c r="H81" i="1"/>
  <c r="Q89" i="1"/>
  <c r="Q112" i="1" s="1"/>
  <c r="P89" i="32"/>
  <c r="P112" i="32" s="1"/>
  <c r="P122" i="32" s="1"/>
  <c r="P124" i="32" s="1"/>
  <c r="T80" i="1"/>
  <c r="S80" i="32"/>
  <c r="T83" i="1"/>
  <c r="S83" i="32"/>
  <c r="T87" i="1"/>
  <c r="S87" i="32"/>
  <c r="S83" i="1"/>
  <c r="R83" i="32"/>
  <c r="R82" i="32" s="1"/>
  <c r="S82" i="1"/>
  <c r="Q23" i="21"/>
  <c r="O159" i="21"/>
  <c r="S26" i="21"/>
  <c r="R25" i="21"/>
  <c r="Q34" i="21"/>
  <c r="R17" i="21"/>
  <c r="S16" i="21"/>
  <c r="P55" i="21"/>
  <c r="Q45" i="21"/>
  <c r="F26" i="18"/>
  <c r="D18" i="20"/>
  <c r="E18" i="20" s="1"/>
  <c r="J17" i="20"/>
  <c r="X13" i="21" l="1"/>
  <c r="Z13" i="21" s="1"/>
  <c r="Z14" i="21" s="1"/>
  <c r="U14" i="21"/>
  <c r="R89" i="1"/>
  <c r="R112" i="1" s="1"/>
  <c r="Q89" i="32"/>
  <c r="Q112" i="32" s="1"/>
  <c r="Q122" i="32" s="1"/>
  <c r="Q124" i="32" s="1"/>
  <c r="U83" i="1"/>
  <c r="G83" i="1" s="1"/>
  <c r="T83" i="32"/>
  <c r="U87" i="1"/>
  <c r="G87" i="1" s="1"/>
  <c r="T87" i="32"/>
  <c r="T84" i="1"/>
  <c r="T82" i="1" s="1"/>
  <c r="S84" i="32"/>
  <c r="S82" i="32" s="1"/>
  <c r="T86" i="1"/>
  <c r="T85" i="1" s="1"/>
  <c r="S86" i="32"/>
  <c r="S85" i="32" s="1"/>
  <c r="J19" i="20"/>
  <c r="F45" i="18"/>
  <c r="AA13" i="21"/>
  <c r="AC13" i="21" s="1"/>
  <c r="AC14" i="21" s="1"/>
  <c r="T16" i="21"/>
  <c r="U16" i="21" s="1"/>
  <c r="W16" i="21" s="1"/>
  <c r="P159" i="21"/>
  <c r="R23" i="21"/>
  <c r="T26" i="21"/>
  <c r="S25" i="21"/>
  <c r="R34" i="21"/>
  <c r="S17" i="21"/>
  <c r="S11" i="21"/>
  <c r="Q55" i="21"/>
  <c r="R45" i="21"/>
  <c r="E17" i="18"/>
  <c r="F17" i="18" s="1"/>
  <c r="D70" i="18"/>
  <c r="E69" i="18"/>
  <c r="E68" i="18"/>
  <c r="E66" i="18"/>
  <c r="E65" i="18"/>
  <c r="E64" i="18"/>
  <c r="E63" i="18"/>
  <c r="E62" i="18"/>
  <c r="E61" i="18"/>
  <c r="E60" i="18"/>
  <c r="E59" i="18"/>
  <c r="E58" i="18"/>
  <c r="E57" i="18"/>
  <c r="E56" i="18"/>
  <c r="E55" i="18"/>
  <c r="E54" i="18"/>
  <c r="E53" i="18"/>
  <c r="E52" i="18"/>
  <c r="E51" i="18"/>
  <c r="E50" i="18"/>
  <c r="E49" i="18"/>
  <c r="E48" i="18"/>
  <c r="E47" i="18"/>
  <c r="E46" i="18"/>
  <c r="E44" i="18"/>
  <c r="E43" i="18"/>
  <c r="E42" i="18"/>
  <c r="E41" i="18"/>
  <c r="E40" i="18"/>
  <c r="E39" i="18"/>
  <c r="E38" i="18"/>
  <c r="E37" i="18"/>
  <c r="E36" i="18"/>
  <c r="E35" i="18"/>
  <c r="E34" i="18"/>
  <c r="E33" i="18"/>
  <c r="E32" i="18"/>
  <c r="E31" i="18"/>
  <c r="E30" i="18"/>
  <c r="E29" i="18"/>
  <c r="E28" i="18"/>
  <c r="E27" i="18"/>
  <c r="E26" i="18"/>
  <c r="E25" i="18"/>
  <c r="F25" i="18" s="1"/>
  <c r="E24" i="18"/>
  <c r="F24" i="18" s="1"/>
  <c r="E22" i="18"/>
  <c r="E21" i="18"/>
  <c r="E20" i="18"/>
  <c r="E19" i="18"/>
  <c r="E18" i="18"/>
  <c r="E16" i="18"/>
  <c r="E11" i="18"/>
  <c r="S12" i="18"/>
  <c r="P12" i="18"/>
  <c r="M12" i="18"/>
  <c r="N12" i="18" s="1"/>
  <c r="J12" i="18"/>
  <c r="K12" i="18" s="1"/>
  <c r="L12" i="18" s="1"/>
  <c r="I183" i="19"/>
  <c r="A182" i="19"/>
  <c r="A181" i="19"/>
  <c r="A180" i="19"/>
  <c r="A179" i="19"/>
  <c r="A178" i="19"/>
  <c r="A177"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I84" i="19"/>
  <c r="L82" i="19"/>
  <c r="A82" i="19"/>
  <c r="A81" i="19"/>
  <c r="A80" i="19"/>
  <c r="A79" i="19"/>
  <c r="M78" i="19"/>
  <c r="A78" i="19"/>
  <c r="A77" i="19"/>
  <c r="A76" i="19"/>
  <c r="A75" i="19"/>
  <c r="A74" i="19"/>
  <c r="A73" i="19"/>
  <c r="A72" i="19"/>
  <c r="A71" i="19"/>
  <c r="H70" i="19"/>
  <c r="M70" i="19" s="1"/>
  <c r="A70" i="19"/>
  <c r="A69" i="19"/>
  <c r="A68" i="19"/>
  <c r="A67" i="19"/>
  <c r="A66" i="19"/>
  <c r="A65" i="19"/>
  <c r="A64" i="19"/>
  <c r="A63" i="19"/>
  <c r="A62" i="19"/>
  <c r="A61" i="19"/>
  <c r="M60" i="19"/>
  <c r="A60" i="19"/>
  <c r="A59" i="19"/>
  <c r="A58" i="19"/>
  <c r="A57" i="19"/>
  <c r="A56" i="19"/>
  <c r="A55" i="19"/>
  <c r="A54" i="19"/>
  <c r="A53" i="19"/>
  <c r="A52" i="19"/>
  <c r="A51" i="19"/>
  <c r="M50" i="19"/>
  <c r="A50" i="19"/>
  <c r="A49" i="19"/>
  <c r="A48" i="19"/>
  <c r="A47" i="19"/>
  <c r="A46" i="19"/>
  <c r="A45" i="19"/>
  <c r="A44" i="19"/>
  <c r="A43" i="19"/>
  <c r="M42" i="19"/>
  <c r="A42" i="19"/>
  <c r="M41" i="19"/>
  <c r="A41" i="19"/>
  <c r="M40" i="19"/>
  <c r="A40" i="19"/>
  <c r="M39" i="19"/>
  <c r="A39" i="19"/>
  <c r="A38" i="19"/>
  <c r="M37" i="19"/>
  <c r="A37" i="19"/>
  <c r="A36" i="19"/>
  <c r="A35" i="19"/>
  <c r="A34" i="19"/>
  <c r="A33" i="19"/>
  <c r="I31" i="19"/>
  <c r="A29" i="19"/>
  <c r="A28" i="19"/>
  <c r="A27" i="19"/>
  <c r="H26" i="19"/>
  <c r="A26" i="19"/>
  <c r="A25" i="19"/>
  <c r="A24" i="19"/>
  <c r="A23" i="19"/>
  <c r="A22" i="19"/>
  <c r="A21" i="19"/>
  <c r="A20" i="19"/>
  <c r="A19" i="19"/>
  <c r="A18" i="19"/>
  <c r="A17" i="19"/>
  <c r="A16" i="19"/>
  <c r="A15" i="19"/>
  <c r="A14" i="19"/>
  <c r="A13" i="19"/>
  <c r="A12" i="19"/>
  <c r="A11" i="19"/>
  <c r="A10" i="19"/>
  <c r="A9" i="19"/>
  <c r="L8" i="19"/>
  <c r="A8" i="19"/>
  <c r="A7" i="19"/>
  <c r="J6" i="19"/>
  <c r="J7" i="19" s="1"/>
  <c r="J8" i="19" s="1"/>
  <c r="J9" i="19" s="1"/>
  <c r="J10" i="19" s="1"/>
  <c r="J11" i="19" s="1"/>
  <c r="J12" i="19" s="1"/>
  <c r="J13" i="19" s="1"/>
  <c r="J14" i="19" s="1"/>
  <c r="J15" i="19" s="1"/>
  <c r="J16" i="19" s="1"/>
  <c r="J17" i="19" s="1"/>
  <c r="J18" i="19" s="1"/>
  <c r="J19" i="19" s="1"/>
  <c r="J20" i="19" s="1"/>
  <c r="J21" i="19" s="1"/>
  <c r="J22" i="19" s="1"/>
  <c r="J23" i="19" s="1"/>
  <c r="J24" i="19" s="1"/>
  <c r="J25" i="19" s="1"/>
  <c r="J26" i="19" s="1"/>
  <c r="J27" i="19" s="1"/>
  <c r="J28" i="19" s="1"/>
  <c r="J29" i="19" s="1"/>
  <c r="H6" i="19"/>
  <c r="A6" i="19"/>
  <c r="X14" i="21" l="1"/>
  <c r="AD13" i="21"/>
  <c r="AF13" i="21" s="1"/>
  <c r="AF14" i="21" s="1"/>
  <c r="H83" i="1"/>
  <c r="I83" i="1"/>
  <c r="S89" i="1"/>
  <c r="S112" i="1" s="1"/>
  <c r="R89" i="32"/>
  <c r="R112" i="32" s="1"/>
  <c r="R122" i="32" s="1"/>
  <c r="R124" i="32" s="1"/>
  <c r="H87" i="1"/>
  <c r="I87" i="1"/>
  <c r="U80" i="1"/>
  <c r="G80" i="1" s="1"/>
  <c r="T80" i="32"/>
  <c r="U84" i="1"/>
  <c r="G84" i="1" s="1"/>
  <c r="G82" i="1" s="1"/>
  <c r="T84" i="32"/>
  <c r="T82" i="32" s="1"/>
  <c r="U86" i="1"/>
  <c r="G86" i="1" s="1"/>
  <c r="T86" i="32"/>
  <c r="T85" i="32" s="1"/>
  <c r="AA14" i="21"/>
  <c r="H31" i="19"/>
  <c r="H84" i="19"/>
  <c r="Q159" i="21"/>
  <c r="T17" i="21"/>
  <c r="T23" i="21" s="1"/>
  <c r="S23" i="21"/>
  <c r="T25" i="21"/>
  <c r="T34" i="21" s="1"/>
  <c r="U26" i="21"/>
  <c r="S34" i="21"/>
  <c r="X16" i="21"/>
  <c r="Z16" i="21" s="1"/>
  <c r="T11" i="21"/>
  <c r="R55" i="21"/>
  <c r="S45" i="21"/>
  <c r="R159" i="21"/>
  <c r="E70" i="18"/>
  <c r="T13" i="12"/>
  <c r="F13" i="18"/>
  <c r="F70" i="18"/>
  <c r="O12" i="18"/>
  <c r="J31" i="19"/>
  <c r="H32" i="19" s="1"/>
  <c r="L7" i="19"/>
  <c r="L9" i="19" s="1"/>
  <c r="J17" i="18"/>
  <c r="O13" i="18"/>
  <c r="N13" i="18"/>
  <c r="M13" i="18"/>
  <c r="L13" i="18"/>
  <c r="K13" i="18"/>
  <c r="J13" i="18"/>
  <c r="E13" i="18"/>
  <c r="D13" i="18"/>
  <c r="D72" i="18" s="1"/>
  <c r="G11" i="18"/>
  <c r="H44" i="18"/>
  <c r="H42" i="18"/>
  <c r="H41" i="18"/>
  <c r="H40" i="18"/>
  <c r="H39" i="18"/>
  <c r="H38" i="18"/>
  <c r="H31" i="18"/>
  <c r="H28" i="18"/>
  <c r="G25" i="18"/>
  <c r="I25" i="18" s="1"/>
  <c r="T21" i="18"/>
  <c r="P21" i="18"/>
  <c r="L21" i="18"/>
  <c r="G23" i="18"/>
  <c r="I23" i="18" s="1"/>
  <c r="U21" i="18"/>
  <c r="S21" i="18"/>
  <c r="Q21" i="18"/>
  <c r="O21" i="18"/>
  <c r="M21" i="18"/>
  <c r="N18" i="18"/>
  <c r="F14" i="18"/>
  <c r="H11" i="18"/>
  <c r="U85" i="1" l="1"/>
  <c r="U17" i="21"/>
  <c r="U23" i="21" s="1"/>
  <c r="U25" i="21"/>
  <c r="W25" i="21" s="1"/>
  <c r="AD14" i="21"/>
  <c r="U82" i="1"/>
  <c r="T89" i="1"/>
  <c r="T112" i="1" s="1"/>
  <c r="S89" i="32"/>
  <c r="S112" i="32" s="1"/>
  <c r="S122" i="32" s="1"/>
  <c r="S124" i="32" s="1"/>
  <c r="H82" i="1"/>
  <c r="I82" i="1"/>
  <c r="G85" i="1"/>
  <c r="H86" i="1"/>
  <c r="I86" i="1"/>
  <c r="H84" i="1"/>
  <c r="I84" i="1"/>
  <c r="H80" i="1"/>
  <c r="I80" i="1"/>
  <c r="X26" i="21"/>
  <c r="Z26" i="21" s="1"/>
  <c r="W26" i="21"/>
  <c r="X10" i="21"/>
  <c r="Z10" i="21" s="1"/>
  <c r="W10" i="21"/>
  <c r="U34" i="21"/>
  <c r="U11" i="21"/>
  <c r="AA10" i="21"/>
  <c r="AC10" i="21" s="1"/>
  <c r="E72" i="18"/>
  <c r="U13" i="12"/>
  <c r="V13" i="12" s="1"/>
  <c r="AA16" i="21"/>
  <c r="AC16" i="21" s="1"/>
  <c r="S55" i="21"/>
  <c r="T45" i="21"/>
  <c r="F72" i="18"/>
  <c r="Q12" i="18"/>
  <c r="R12" i="18" s="1"/>
  <c r="P13" i="18"/>
  <c r="J84" i="19"/>
  <c r="J33" i="19"/>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P36" i="18"/>
  <c r="L30" i="18"/>
  <c r="M33" i="18"/>
  <c r="U33" i="18"/>
  <c r="J21" i="18"/>
  <c r="N21" i="18"/>
  <c r="R21" i="18"/>
  <c r="S39" i="18"/>
  <c r="K18" i="18"/>
  <c r="M18" i="18"/>
  <c r="O18" i="18"/>
  <c r="Q18" i="18"/>
  <c r="S18" i="18"/>
  <c r="U18" i="18"/>
  <c r="G20" i="18"/>
  <c r="I20" i="18" s="1"/>
  <c r="L18" i="18"/>
  <c r="P18" i="18"/>
  <c r="R18" i="18"/>
  <c r="T18" i="18"/>
  <c r="G26" i="18"/>
  <c r="I26" i="18" s="1"/>
  <c r="T30" i="18"/>
  <c r="O39" i="18"/>
  <c r="G31" i="18"/>
  <c r="I31" i="18" s="1"/>
  <c r="G34" i="18"/>
  <c r="H34" i="18" s="1"/>
  <c r="L33" i="18"/>
  <c r="N33" i="18"/>
  <c r="P33" i="18"/>
  <c r="R33" i="18"/>
  <c r="T33" i="18"/>
  <c r="K39" i="18"/>
  <c r="M39" i="18"/>
  <c r="Q39" i="18"/>
  <c r="U39" i="18"/>
  <c r="J18" i="18"/>
  <c r="P30" i="18"/>
  <c r="K33" i="18"/>
  <c r="O33" i="18"/>
  <c r="Q33" i="18"/>
  <c r="S33" i="18"/>
  <c r="L36" i="18"/>
  <c r="T36" i="18"/>
  <c r="G28" i="18"/>
  <c r="I28" i="18" s="1"/>
  <c r="J30" i="18"/>
  <c r="N30" i="18"/>
  <c r="R30" i="18"/>
  <c r="M30" i="18"/>
  <c r="O30" i="18"/>
  <c r="Q30" i="18"/>
  <c r="S30" i="18"/>
  <c r="U30" i="18"/>
  <c r="J36" i="18"/>
  <c r="N36" i="18"/>
  <c r="R36" i="18"/>
  <c r="G38" i="18"/>
  <c r="I38" i="18" s="1"/>
  <c r="G40" i="18"/>
  <c r="I40" i="18" s="1"/>
  <c r="L39" i="18"/>
  <c r="N39" i="18"/>
  <c r="P39" i="18"/>
  <c r="R39" i="18"/>
  <c r="T39" i="18"/>
  <c r="G42" i="18"/>
  <c r="I42" i="18" s="1"/>
  <c r="G44" i="18"/>
  <c r="I44" i="18" s="1"/>
  <c r="G68" i="18"/>
  <c r="I68" i="18" s="1"/>
  <c r="G19" i="18"/>
  <c r="H19" i="18" s="1"/>
  <c r="G35" i="18"/>
  <c r="I35" i="18" s="1"/>
  <c r="M36" i="18"/>
  <c r="O36" i="18"/>
  <c r="Q36" i="18"/>
  <c r="S36" i="18"/>
  <c r="U36" i="18"/>
  <c r="J39" i="18"/>
  <c r="G41" i="18"/>
  <c r="I41" i="18" s="1"/>
  <c r="G43" i="18"/>
  <c r="I43" i="18" s="1"/>
  <c r="H68" i="18"/>
  <c r="G69" i="18"/>
  <c r="I69" i="18" s="1"/>
  <c r="I11" i="18"/>
  <c r="G16" i="18"/>
  <c r="H16" i="18" s="1"/>
  <c r="G22" i="18"/>
  <c r="H22" i="18" s="1"/>
  <c r="K21" i="18"/>
  <c r="G32" i="18"/>
  <c r="K30" i="18"/>
  <c r="H20" i="18"/>
  <c r="J33" i="18"/>
  <c r="G37" i="18"/>
  <c r="K36" i="18"/>
  <c r="H69" i="18"/>
  <c r="H23" i="18"/>
  <c r="H25" i="18"/>
  <c r="X25" i="21" l="1"/>
  <c r="Z25" i="21" s="1"/>
  <c r="Z34" i="21" s="1"/>
  <c r="W34" i="21"/>
  <c r="W17" i="21"/>
  <c r="W23" i="21" s="1"/>
  <c r="X17" i="21"/>
  <c r="Z17" i="21" s="1"/>
  <c r="Z23" i="21" s="1"/>
  <c r="U89" i="1"/>
  <c r="T89" i="32"/>
  <c r="T112" i="32" s="1"/>
  <c r="T122" i="32" s="1"/>
  <c r="T124" i="32" s="1"/>
  <c r="H85" i="1"/>
  <c r="I85" i="1"/>
  <c r="AC11" i="21"/>
  <c r="Z11" i="21"/>
  <c r="AA26" i="21"/>
  <c r="X23" i="21"/>
  <c r="W11" i="21"/>
  <c r="X11" i="21"/>
  <c r="AD10" i="21"/>
  <c r="AF10" i="21" s="1"/>
  <c r="AA11" i="21"/>
  <c r="W13" i="12"/>
  <c r="X13" i="12" s="1"/>
  <c r="S159" i="21"/>
  <c r="AD16" i="21"/>
  <c r="T55" i="21"/>
  <c r="T159" i="21" s="1"/>
  <c r="U45" i="21"/>
  <c r="Q13" i="18"/>
  <c r="H85" i="19"/>
  <c r="L84" i="19"/>
  <c r="I34" i="18"/>
  <c r="I33" i="18" s="1"/>
  <c r="I39" i="18"/>
  <c r="H26" i="18"/>
  <c r="G18" i="18"/>
  <c r="H18" i="18" s="1"/>
  <c r="H43" i="18"/>
  <c r="I19" i="18"/>
  <c r="I18" i="18" s="1"/>
  <c r="G33" i="18"/>
  <c r="H33" i="18" s="1"/>
  <c r="H35" i="18"/>
  <c r="G39" i="18"/>
  <c r="H29" i="18"/>
  <c r="H37" i="18"/>
  <c r="I37" i="18"/>
  <c r="I36" i="18" s="1"/>
  <c r="G36" i="18"/>
  <c r="H36" i="18" s="1"/>
  <c r="H32" i="18"/>
  <c r="G30" i="18"/>
  <c r="H30" i="18" s="1"/>
  <c r="I32" i="18"/>
  <c r="I30" i="18" s="1"/>
  <c r="I22" i="18"/>
  <c r="I21" i="18" s="1"/>
  <c r="G21" i="18"/>
  <c r="H21" i="18" s="1"/>
  <c r="I16" i="18"/>
  <c r="X34" i="21" l="1"/>
  <c r="AA25" i="21"/>
  <c r="AC25" i="21" s="1"/>
  <c r="AA17" i="21"/>
  <c r="AC17" i="21" s="1"/>
  <c r="G89" i="1"/>
  <c r="U112" i="1"/>
  <c r="AA34" i="21"/>
  <c r="AF16" i="21"/>
  <c r="AF11" i="21"/>
  <c r="AD26" i="21"/>
  <c r="AF26" i="21" s="1"/>
  <c r="AC26" i="21"/>
  <c r="U55" i="21"/>
  <c r="U159" i="21" s="1"/>
  <c r="W45" i="21"/>
  <c r="W55" i="21" s="1"/>
  <c r="W159" i="21" s="1"/>
  <c r="AD11" i="21"/>
  <c r="AD25" i="21"/>
  <c r="X45" i="21"/>
  <c r="Z45" i="21" s="1"/>
  <c r="R13" i="18"/>
  <c r="J85" i="19"/>
  <c r="J86" i="19" s="1"/>
  <c r="J87" i="19" s="1"/>
  <c r="J88" i="19" s="1"/>
  <c r="J89" i="19" s="1"/>
  <c r="J90" i="19" s="1"/>
  <c r="J91" i="19" s="1"/>
  <c r="J92" i="19" s="1"/>
  <c r="J93" i="19" s="1"/>
  <c r="J94" i="19" s="1"/>
  <c r="J95" i="19" s="1"/>
  <c r="J96" i="19" s="1"/>
  <c r="J97" i="19" s="1"/>
  <c r="J98" i="19" s="1"/>
  <c r="J99" i="19" s="1"/>
  <c r="J100" i="19" s="1"/>
  <c r="J101" i="19" s="1"/>
  <c r="J102" i="19" s="1"/>
  <c r="J103" i="19" s="1"/>
  <c r="J104" i="19" s="1"/>
  <c r="J105" i="19" s="1"/>
  <c r="J106" i="19" s="1"/>
  <c r="J107" i="19" s="1"/>
  <c r="J108" i="19" s="1"/>
  <c r="J109" i="19" s="1"/>
  <c r="J110" i="19" s="1"/>
  <c r="J111" i="19" s="1"/>
  <c r="J112" i="19" s="1"/>
  <c r="J113" i="19" s="1"/>
  <c r="J114" i="19" s="1"/>
  <c r="J115" i="19" s="1"/>
  <c r="J116" i="19" s="1"/>
  <c r="J117" i="19" s="1"/>
  <c r="J118" i="19" s="1"/>
  <c r="J119" i="19" s="1"/>
  <c r="J120" i="19" s="1"/>
  <c r="J121" i="19" s="1"/>
  <c r="J122" i="19" s="1"/>
  <c r="J123" i="19" s="1"/>
  <c r="J124" i="19" s="1"/>
  <c r="J125" i="19" s="1"/>
  <c r="J126" i="19" s="1"/>
  <c r="J127" i="19" s="1"/>
  <c r="J128" i="19" s="1"/>
  <c r="J129" i="19" s="1"/>
  <c r="J130" i="19" s="1"/>
  <c r="J131" i="19" s="1"/>
  <c r="J132" i="19" s="1"/>
  <c r="J133" i="19" s="1"/>
  <c r="J134" i="19" s="1"/>
  <c r="J135" i="19" s="1"/>
  <c r="J136" i="19" s="1"/>
  <c r="J137" i="19" s="1"/>
  <c r="J138" i="19" s="1"/>
  <c r="J139" i="19" s="1"/>
  <c r="J140" i="19" s="1"/>
  <c r="J141" i="19" s="1"/>
  <c r="J142" i="19" s="1"/>
  <c r="J143" i="19" s="1"/>
  <c r="J144" i="19" s="1"/>
  <c r="J145" i="19" s="1"/>
  <c r="J146" i="19" s="1"/>
  <c r="J147" i="19" s="1"/>
  <c r="J148" i="19" s="1"/>
  <c r="J149" i="19" s="1"/>
  <c r="J150" i="19" s="1"/>
  <c r="J151" i="19" s="1"/>
  <c r="J152" i="19" s="1"/>
  <c r="J153" i="19" s="1"/>
  <c r="J154" i="19" s="1"/>
  <c r="J155" i="19" s="1"/>
  <c r="J156" i="19" s="1"/>
  <c r="J157" i="19" s="1"/>
  <c r="J158" i="19" s="1"/>
  <c r="J159" i="19" s="1"/>
  <c r="J160" i="19" s="1"/>
  <c r="J161" i="19" s="1"/>
  <c r="J162" i="19" s="1"/>
  <c r="J163" i="19" s="1"/>
  <c r="J164" i="19" s="1"/>
  <c r="J165" i="19" s="1"/>
  <c r="J166" i="19" s="1"/>
  <c r="J167" i="19" s="1"/>
  <c r="J168" i="19" s="1"/>
  <c r="J169" i="19" s="1"/>
  <c r="J170" i="19" s="1"/>
  <c r="J171" i="19" s="1"/>
  <c r="J172" i="19" s="1"/>
  <c r="J173" i="19" s="1"/>
  <c r="J174" i="19" s="1"/>
  <c r="J175" i="19" s="1"/>
  <c r="J176" i="19" s="1"/>
  <c r="J177" i="19" s="1"/>
  <c r="J178" i="19" s="1"/>
  <c r="J179" i="19" s="1"/>
  <c r="J180" i="19" s="1"/>
  <c r="J181" i="19" s="1"/>
  <c r="J182" i="19" s="1"/>
  <c r="H183" i="19"/>
  <c r="J183" i="19" s="1"/>
  <c r="J184" i="19" s="1"/>
  <c r="AD17" i="21" l="1"/>
  <c r="AF17" i="21" s="1"/>
  <c r="AF23" i="21" s="1"/>
  <c r="AA23" i="21"/>
  <c r="AC34" i="21"/>
  <c r="I89" i="1"/>
  <c r="H89" i="1"/>
  <c r="H112" i="1" s="1"/>
  <c r="Z55" i="21"/>
  <c r="Z159" i="21" s="1"/>
  <c r="AC23" i="21"/>
  <c r="AD34" i="21"/>
  <c r="AF25" i="21"/>
  <c r="AA45" i="21"/>
  <c r="X55" i="21"/>
  <c r="X159" i="21" s="1"/>
  <c r="T12" i="18"/>
  <c r="U12" i="18" s="1"/>
  <c r="S13" i="18"/>
  <c r="AD23" i="21" l="1"/>
  <c r="I112" i="1"/>
  <c r="D23" i="31"/>
  <c r="E23" i="31" s="1"/>
  <c r="AA55" i="21"/>
  <c r="AA159" i="21" s="1"/>
  <c r="AC45" i="21"/>
  <c r="AC55" i="21" s="1"/>
  <c r="AC159" i="21" s="1"/>
  <c r="AF34" i="21"/>
  <c r="AD45" i="21"/>
  <c r="U13" i="18"/>
  <c r="T13" i="18"/>
  <c r="G12" i="18"/>
  <c r="H12" i="18" s="1"/>
  <c r="AD55" i="21" l="1"/>
  <c r="AD159" i="21" s="1"/>
  <c r="AF45" i="21"/>
  <c r="G13" i="18"/>
  <c r="H13" i="18" s="1"/>
  <c r="I12" i="18"/>
  <c r="I13" i="18" s="1"/>
  <c r="AF55" i="21" l="1"/>
  <c r="AF159" i="21" s="1"/>
  <c r="E4" i="9"/>
  <c r="S23" i="10"/>
  <c r="H155" i="10" l="1"/>
  <c r="I111" i="26" s="1"/>
  <c r="D15" i="4" l="1"/>
  <c r="D88" i="3"/>
  <c r="H102" i="10" l="1"/>
  <c r="D92" i="3"/>
  <c r="D91" i="3" s="1"/>
  <c r="E8" i="8" l="1"/>
  <c r="U42" i="1" l="1"/>
  <c r="G42" i="1" s="1"/>
  <c r="F31" i="12"/>
  <c r="T126" i="10" l="1"/>
  <c r="T149" i="10"/>
  <c r="T135" i="10"/>
  <c r="T130" i="10"/>
  <c r="T120" i="10"/>
  <c r="T104" i="10"/>
  <c r="T57" i="10"/>
  <c r="T45" i="10"/>
  <c r="T36" i="10"/>
  <c r="T25" i="10"/>
  <c r="F23" i="12" l="1"/>
  <c r="F20" i="12"/>
  <c r="F32" i="12"/>
  <c r="G30" i="12"/>
  <c r="H30" i="12" s="1"/>
  <c r="I30" i="12" s="1"/>
  <c r="J30" i="12" s="1"/>
  <c r="K30" i="12" s="1"/>
  <c r="L30" i="12" s="1"/>
  <c r="M30" i="12" s="1"/>
  <c r="N30" i="12" s="1"/>
  <c r="O30" i="12" s="1"/>
  <c r="P30" i="12" s="1"/>
  <c r="Q30" i="12" s="1"/>
  <c r="R30" i="12" s="1"/>
  <c r="S30" i="12" s="1"/>
  <c r="G29" i="12"/>
  <c r="H29" i="12" s="1"/>
  <c r="I29" i="12" s="1"/>
  <c r="J29" i="12" s="1"/>
  <c r="K29" i="12" s="1"/>
  <c r="L29" i="12" s="1"/>
  <c r="M29" i="12" s="1"/>
  <c r="N29" i="12" s="1"/>
  <c r="O29" i="12" s="1"/>
  <c r="P29" i="12" s="1"/>
  <c r="Q29" i="12" s="1"/>
  <c r="R29" i="12" s="1"/>
  <c r="S29" i="12" s="1"/>
  <c r="G28" i="12"/>
  <c r="H28" i="12" s="1"/>
  <c r="I28" i="12" s="1"/>
  <c r="J28" i="12" s="1"/>
  <c r="K28" i="12" s="1"/>
  <c r="L28" i="12" s="1"/>
  <c r="M28" i="12" s="1"/>
  <c r="N28" i="12" s="1"/>
  <c r="O28" i="12" s="1"/>
  <c r="P28" i="12" s="1"/>
  <c r="Q28" i="12" s="1"/>
  <c r="R28" i="12" s="1"/>
  <c r="S28" i="12" s="1"/>
  <c r="G27" i="12"/>
  <c r="H27" i="12" s="1"/>
  <c r="I27" i="12" s="1"/>
  <c r="J27" i="12" s="1"/>
  <c r="K27" i="12" s="1"/>
  <c r="L27" i="12" s="1"/>
  <c r="M27" i="12" s="1"/>
  <c r="N27" i="12" s="1"/>
  <c r="O27" i="12" s="1"/>
  <c r="P27" i="12" s="1"/>
  <c r="Q27" i="12" s="1"/>
  <c r="R27" i="12" s="1"/>
  <c r="S27" i="12" s="1"/>
  <c r="G26" i="12"/>
  <c r="H26" i="12" s="1"/>
  <c r="I26" i="12" s="1"/>
  <c r="J26" i="12" s="1"/>
  <c r="K26" i="12" s="1"/>
  <c r="L26" i="12" s="1"/>
  <c r="M26" i="12" s="1"/>
  <c r="N26" i="12" s="1"/>
  <c r="O26" i="12" s="1"/>
  <c r="P26" i="12" s="1"/>
  <c r="Q26" i="12" s="1"/>
  <c r="R26" i="12" s="1"/>
  <c r="S26" i="12" s="1"/>
  <c r="G25" i="12"/>
  <c r="H25" i="12" s="1"/>
  <c r="G22" i="12"/>
  <c r="H22" i="12" s="1"/>
  <c r="G19" i="12"/>
  <c r="H19" i="12" s="1"/>
  <c r="I19" i="12" s="1"/>
  <c r="J19" i="12" s="1"/>
  <c r="K19" i="12" s="1"/>
  <c r="L19" i="12" s="1"/>
  <c r="M19" i="12" s="1"/>
  <c r="N19" i="12" s="1"/>
  <c r="O19" i="12" s="1"/>
  <c r="P19" i="12" s="1"/>
  <c r="Q19" i="12" s="1"/>
  <c r="R19" i="12" s="1"/>
  <c r="S19" i="12" s="1"/>
  <c r="G18" i="12"/>
  <c r="H18" i="12" s="1"/>
  <c r="I18" i="12" s="1"/>
  <c r="J18" i="12" s="1"/>
  <c r="K18" i="12" s="1"/>
  <c r="L18" i="12" s="1"/>
  <c r="M18" i="12" s="1"/>
  <c r="N18" i="12" s="1"/>
  <c r="O18" i="12" s="1"/>
  <c r="P18" i="12" s="1"/>
  <c r="Q18" i="12" s="1"/>
  <c r="R18" i="12" s="1"/>
  <c r="S18" i="12" s="1"/>
  <c r="G17" i="12"/>
  <c r="H17" i="12" s="1"/>
  <c r="I17" i="12" s="1"/>
  <c r="J17" i="12" s="1"/>
  <c r="K17" i="12" s="1"/>
  <c r="L17" i="12" s="1"/>
  <c r="M17" i="12" s="1"/>
  <c r="N17" i="12" s="1"/>
  <c r="O17" i="12" s="1"/>
  <c r="P17" i="12" s="1"/>
  <c r="Q17" i="12" s="1"/>
  <c r="R17" i="12" s="1"/>
  <c r="S17" i="12" s="1"/>
  <c r="G16" i="12"/>
  <c r="H16" i="12" s="1"/>
  <c r="I16" i="12" s="1"/>
  <c r="J16" i="12" s="1"/>
  <c r="K16" i="12" s="1"/>
  <c r="L16" i="12" s="1"/>
  <c r="M16" i="12" s="1"/>
  <c r="N16" i="12" s="1"/>
  <c r="O16" i="12" s="1"/>
  <c r="P16" i="12" s="1"/>
  <c r="Q16" i="12" s="1"/>
  <c r="R16" i="12" s="1"/>
  <c r="S16" i="12" s="1"/>
  <c r="B18" i="4"/>
  <c r="B19" i="4" s="1"/>
  <c r="B20" i="4" s="1"/>
  <c r="I11" i="12"/>
  <c r="J11" i="12" s="1"/>
  <c r="K11" i="12" s="1"/>
  <c r="L11" i="12" s="1"/>
  <c r="M11" i="12" s="1"/>
  <c r="N11" i="12" s="1"/>
  <c r="O11" i="12" s="1"/>
  <c r="P11" i="12" s="1"/>
  <c r="Q11" i="12" s="1"/>
  <c r="R11" i="12" s="1"/>
  <c r="S11" i="12" s="1"/>
  <c r="I25" i="12" l="1"/>
  <c r="J25" i="12" s="1"/>
  <c r="K25" i="12" s="1"/>
  <c r="L25" i="12" s="1"/>
  <c r="M25" i="12" s="1"/>
  <c r="N25" i="12" s="1"/>
  <c r="O25" i="12" s="1"/>
  <c r="P25" i="12" s="1"/>
  <c r="Q25" i="12" s="1"/>
  <c r="R25" i="12" s="1"/>
  <c r="S25" i="12" s="1"/>
  <c r="H31" i="12"/>
  <c r="J45" i="18" s="1"/>
  <c r="T18" i="12"/>
  <c r="U18" i="12" s="1"/>
  <c r="H23" i="12"/>
  <c r="J29" i="18" s="1"/>
  <c r="I22" i="12"/>
  <c r="J22" i="12" s="1"/>
  <c r="K22" i="12" s="1"/>
  <c r="L22" i="12" s="1"/>
  <c r="M22" i="12" s="1"/>
  <c r="N22" i="12" s="1"/>
  <c r="O22" i="12" s="1"/>
  <c r="P22" i="12" s="1"/>
  <c r="Q22" i="12" s="1"/>
  <c r="R22" i="12" s="1"/>
  <c r="S22" i="12" s="1"/>
  <c r="T26" i="12"/>
  <c r="U26" i="12" s="1"/>
  <c r="V26" i="12" s="1"/>
  <c r="W26" i="12" s="1"/>
  <c r="T29" i="12"/>
  <c r="U29" i="12" s="1"/>
  <c r="T30" i="12"/>
  <c r="U30" i="12" s="1"/>
  <c r="J23" i="12"/>
  <c r="L29" i="18" s="1"/>
  <c r="L27" i="18" s="1"/>
  <c r="H20" i="12"/>
  <c r="J24" i="18" s="1"/>
  <c r="H14" i="12"/>
  <c r="K17" i="18"/>
  <c r="I20" i="12"/>
  <c r="K24" i="18" s="1"/>
  <c r="I23" i="12" l="1"/>
  <c r="K29" i="18" s="1"/>
  <c r="K27" i="18" s="1"/>
  <c r="J27" i="18"/>
  <c r="H32" i="12"/>
  <c r="J70" i="18"/>
  <c r="J72" i="18" s="1"/>
  <c r="H96" i="10"/>
  <c r="I23" i="10"/>
  <c r="I78" i="10"/>
  <c r="I91" i="10"/>
  <c r="T19" i="12"/>
  <c r="V30" i="12"/>
  <c r="W30" i="12" s="1"/>
  <c r="X30" i="12" s="1"/>
  <c r="I31" i="12"/>
  <c r="K45" i="18" s="1"/>
  <c r="V29" i="12"/>
  <c r="W29" i="12" s="1"/>
  <c r="T28" i="12"/>
  <c r="T27" i="12"/>
  <c r="K23" i="12"/>
  <c r="M29" i="18" s="1"/>
  <c r="M27" i="18" s="1"/>
  <c r="X26" i="12"/>
  <c r="V18" i="12"/>
  <c r="W18" i="12" s="1"/>
  <c r="L17" i="18"/>
  <c r="I14" i="12"/>
  <c r="J20" i="12"/>
  <c r="L24" i="18" s="1"/>
  <c r="H124" i="10"/>
  <c r="I107" i="26" s="1"/>
  <c r="H69" i="10"/>
  <c r="I90" i="26" s="1"/>
  <c r="I106" i="26"/>
  <c r="H133" i="10"/>
  <c r="I109" i="26" s="1"/>
  <c r="T62" i="10"/>
  <c r="T46" i="10"/>
  <c r="T21" i="10"/>
  <c r="I86" i="10"/>
  <c r="I43" i="10"/>
  <c r="J88" i="26" s="1"/>
  <c r="K106" i="26"/>
  <c r="J106" i="26"/>
  <c r="J124" i="10"/>
  <c r="K107" i="26" s="1"/>
  <c r="I124" i="10"/>
  <c r="J107" i="26" s="1"/>
  <c r="H43" i="10"/>
  <c r="I88" i="26" s="1"/>
  <c r="H86" i="10"/>
  <c r="H91" i="10"/>
  <c r="T32" i="10"/>
  <c r="T39" i="10"/>
  <c r="I155" i="10"/>
  <c r="J111" i="26" s="1"/>
  <c r="I110" i="26"/>
  <c r="T139" i="10"/>
  <c r="T143" i="10"/>
  <c r="J133" i="10"/>
  <c r="K109" i="26" s="1"/>
  <c r="I133" i="10"/>
  <c r="J109" i="26" s="1"/>
  <c r="T131" i="10"/>
  <c r="I128" i="10"/>
  <c r="J108" i="26" s="1"/>
  <c r="H128" i="10"/>
  <c r="I108" i="26" s="1"/>
  <c r="T105" i="10"/>
  <c r="T83" i="10"/>
  <c r="T85" i="10"/>
  <c r="H78" i="10"/>
  <c r="T73" i="10"/>
  <c r="T75" i="10"/>
  <c r="T77" i="10"/>
  <c r="T50" i="10"/>
  <c r="T54" i="10"/>
  <c r="I55" i="10"/>
  <c r="J89" i="26" s="1"/>
  <c r="T53" i="10"/>
  <c r="T51" i="10"/>
  <c r="T38" i="10"/>
  <c r="T40" i="10"/>
  <c r="T30" i="10"/>
  <c r="H34" i="10"/>
  <c r="T29" i="10"/>
  <c r="T31" i="10"/>
  <c r="T33" i="10"/>
  <c r="H23" i="10"/>
  <c r="D73" i="3"/>
  <c r="D132" i="3"/>
  <c r="D97" i="3"/>
  <c r="D125" i="3"/>
  <c r="B114" i="3"/>
  <c r="B115" i="3" s="1"/>
  <c r="B116" i="3" s="1"/>
  <c r="B117" i="3" s="1"/>
  <c r="B118" i="3" s="1"/>
  <c r="B119" i="3" s="1"/>
  <c r="B120" i="3" s="1"/>
  <c r="B121" i="3" s="1"/>
  <c r="B122" i="3" s="1"/>
  <c r="B123" i="3" s="1"/>
  <c r="D105" i="3"/>
  <c r="D86" i="3"/>
  <c r="D83" i="3"/>
  <c r="D81" i="3" s="1"/>
  <c r="D20" i="3"/>
  <c r="D12" i="3"/>
  <c r="D19" i="3"/>
  <c r="D18" i="3"/>
  <c r="D17" i="3"/>
  <c r="D10" i="3"/>
  <c r="D9" i="3" s="1"/>
  <c r="D13" i="4"/>
  <c r="D8" i="4"/>
  <c r="D6" i="4"/>
  <c r="B11" i="4"/>
  <c r="B12" i="4" s="1"/>
  <c r="D123" i="3"/>
  <c r="D120" i="3"/>
  <c r="D117" i="3"/>
  <c r="D115" i="3"/>
  <c r="D103" i="3"/>
  <c r="D102" i="3"/>
  <c r="D101" i="3"/>
  <c r="I112" i="26" l="1"/>
  <c r="J119" i="1"/>
  <c r="X29" i="12"/>
  <c r="H159" i="10"/>
  <c r="R156" i="10"/>
  <c r="R158" i="10" s="1"/>
  <c r="D5" i="4"/>
  <c r="K70" i="18"/>
  <c r="K72" i="18" s="1"/>
  <c r="I96" i="10"/>
  <c r="I102" i="10"/>
  <c r="J78" i="10"/>
  <c r="J96" i="10"/>
  <c r="J23" i="10"/>
  <c r="D13" i="3"/>
  <c r="D11" i="3" s="1"/>
  <c r="I32" i="12"/>
  <c r="J31" i="12"/>
  <c r="L45" i="18" s="1"/>
  <c r="U19" i="12"/>
  <c r="V19" i="12" s="1"/>
  <c r="W19" i="12" s="1"/>
  <c r="X19" i="12" s="1"/>
  <c r="U27" i="12"/>
  <c r="V27" i="12" s="1"/>
  <c r="U28" i="12"/>
  <c r="V28" i="12" s="1"/>
  <c r="L23" i="12"/>
  <c r="N29" i="18" s="1"/>
  <c r="N27" i="18" s="1"/>
  <c r="X18" i="12"/>
  <c r="J14" i="12"/>
  <c r="M17" i="18"/>
  <c r="K20" i="12"/>
  <c r="M24" i="18" s="1"/>
  <c r="T59" i="10"/>
  <c r="T90" i="10"/>
  <c r="T154" i="10"/>
  <c r="T152" i="10"/>
  <c r="T150" i="10"/>
  <c r="T28" i="10"/>
  <c r="J43" i="10"/>
  <c r="K88" i="26" s="1"/>
  <c r="T123" i="10"/>
  <c r="T122" i="10"/>
  <c r="T121" i="10"/>
  <c r="T141" i="10"/>
  <c r="T137" i="10"/>
  <c r="T27" i="10"/>
  <c r="T65" i="10"/>
  <c r="T64" i="10"/>
  <c r="T63" i="10"/>
  <c r="T101" i="10"/>
  <c r="T100" i="10"/>
  <c r="T99" i="10"/>
  <c r="T95" i="10"/>
  <c r="T127" i="10"/>
  <c r="T132" i="10"/>
  <c r="T37" i="10"/>
  <c r="T153" i="10"/>
  <c r="T151" i="10"/>
  <c r="J155" i="10"/>
  <c r="K111" i="26" s="1"/>
  <c r="K110" i="26"/>
  <c r="T144" i="10"/>
  <c r="T142" i="10"/>
  <c r="T140" i="10"/>
  <c r="T138" i="10"/>
  <c r="T136" i="10"/>
  <c r="J110" i="26"/>
  <c r="K133" i="10"/>
  <c r="L109" i="26" s="1"/>
  <c r="J128" i="10"/>
  <c r="K108" i="26" s="1"/>
  <c r="K124" i="10"/>
  <c r="L107" i="26" s="1"/>
  <c r="L106" i="26"/>
  <c r="T84" i="10"/>
  <c r="T82" i="10"/>
  <c r="T76" i="10"/>
  <c r="I69" i="10"/>
  <c r="J90" i="26" s="1"/>
  <c r="T60" i="10"/>
  <c r="T58" i="10"/>
  <c r="T68" i="10"/>
  <c r="T67" i="10"/>
  <c r="T66" i="10"/>
  <c r="J55" i="10"/>
  <c r="K89" i="26" s="1"/>
  <c r="T49" i="10"/>
  <c r="T47" i="10"/>
  <c r="T48" i="10"/>
  <c r="T42" i="10"/>
  <c r="T41" i="10"/>
  <c r="K43" i="10"/>
  <c r="L88" i="26" s="1"/>
  <c r="I34" i="10"/>
  <c r="D100" i="3"/>
  <c r="D6" i="3"/>
  <c r="D5" i="3" s="1"/>
  <c r="J112" i="26" l="1"/>
  <c r="J122" i="26" s="1"/>
  <c r="J124" i="26" s="1"/>
  <c r="I122" i="26"/>
  <c r="I124" i="26" s="1"/>
  <c r="T43" i="10"/>
  <c r="O119" i="1"/>
  <c r="O120" i="1" s="1"/>
  <c r="S119" i="1"/>
  <c r="S120" i="1" s="1"/>
  <c r="K119" i="1"/>
  <c r="K120" i="1" s="1"/>
  <c r="J120" i="1"/>
  <c r="U119" i="1"/>
  <c r="U120" i="1" s="1"/>
  <c r="M119" i="1"/>
  <c r="M120" i="1" s="1"/>
  <c r="P119" i="1"/>
  <c r="P120" i="1" s="1"/>
  <c r="R119" i="1"/>
  <c r="R120" i="1" s="1"/>
  <c r="N119" i="1"/>
  <c r="N120" i="1" s="1"/>
  <c r="Q119" i="1"/>
  <c r="Q120" i="1" s="1"/>
  <c r="T119" i="1"/>
  <c r="T120" i="1" s="1"/>
  <c r="L119" i="1"/>
  <c r="L120" i="1" s="1"/>
  <c r="T124" i="10"/>
  <c r="L70" i="18"/>
  <c r="L72" i="18" s="1"/>
  <c r="J102" i="10"/>
  <c r="K23" i="10"/>
  <c r="K86" i="10"/>
  <c r="J86" i="10"/>
  <c r="K96" i="10"/>
  <c r="K78" i="10"/>
  <c r="J91" i="10"/>
  <c r="J32" i="12"/>
  <c r="K31" i="12"/>
  <c r="M45" i="18" s="1"/>
  <c r="M70" i="18" s="1"/>
  <c r="M72" i="18" s="1"/>
  <c r="W27" i="12"/>
  <c r="X27" i="12" s="1"/>
  <c r="W28" i="12"/>
  <c r="X28" i="12" s="1"/>
  <c r="M23" i="12"/>
  <c r="O29" i="18" s="1"/>
  <c r="O27" i="18" s="1"/>
  <c r="N17" i="18"/>
  <c r="K14" i="12"/>
  <c r="L20" i="12"/>
  <c r="N24" i="18" s="1"/>
  <c r="K155" i="10"/>
  <c r="L111" i="26" s="1"/>
  <c r="L110" i="26"/>
  <c r="L133" i="10"/>
  <c r="M109" i="26" s="1"/>
  <c r="K128" i="10"/>
  <c r="L108" i="26" s="1"/>
  <c r="L124" i="10"/>
  <c r="M107" i="26" s="1"/>
  <c r="M106" i="26"/>
  <c r="J69" i="10"/>
  <c r="K90" i="26" s="1"/>
  <c r="K112" i="26" s="1"/>
  <c r="K55" i="10"/>
  <c r="L89" i="26" s="1"/>
  <c r="L43" i="10"/>
  <c r="M88" i="26" s="1"/>
  <c r="J34" i="10"/>
  <c r="G119" i="1" l="1"/>
  <c r="I120" i="1"/>
  <c r="K122" i="26"/>
  <c r="K124" i="26" s="1"/>
  <c r="K32" i="12"/>
  <c r="K102" i="10"/>
  <c r="K91" i="10"/>
  <c r="L96" i="10"/>
  <c r="L23" i="10"/>
  <c r="L31" i="12"/>
  <c r="N45" i="18" s="1"/>
  <c r="N70" i="18" s="1"/>
  <c r="N72" i="18" s="1"/>
  <c r="N23" i="12"/>
  <c r="P29" i="18" s="1"/>
  <c r="L14" i="12"/>
  <c r="O17" i="18"/>
  <c r="M20" i="12"/>
  <c r="O24" i="18" s="1"/>
  <c r="L155" i="10"/>
  <c r="M111" i="26" s="1"/>
  <c r="M110" i="26"/>
  <c r="M133" i="10"/>
  <c r="N109" i="26" s="1"/>
  <c r="L128" i="10"/>
  <c r="M108" i="26" s="1"/>
  <c r="M124" i="10"/>
  <c r="N107" i="26" s="1"/>
  <c r="N106" i="26"/>
  <c r="L78" i="10"/>
  <c r="K69" i="10"/>
  <c r="L90" i="26" s="1"/>
  <c r="L112" i="26" s="1"/>
  <c r="L55" i="10"/>
  <c r="M89" i="26" s="1"/>
  <c r="M43" i="10"/>
  <c r="N88" i="26" s="1"/>
  <c r="K34" i="10"/>
  <c r="H119" i="1" l="1"/>
  <c r="H120" i="1" s="1"/>
  <c r="H122" i="1" s="1"/>
  <c r="H124" i="1" s="1"/>
  <c r="I119" i="1"/>
  <c r="D24" i="31"/>
  <c r="L122" i="26"/>
  <c r="L124" i="26" s="1"/>
  <c r="L32" i="12"/>
  <c r="P27" i="18"/>
  <c r="L102" i="10"/>
  <c r="M96" i="10"/>
  <c r="L91" i="10"/>
  <c r="L86" i="10"/>
  <c r="M31" i="12"/>
  <c r="O45" i="18" s="1"/>
  <c r="O23" i="12"/>
  <c r="Q29" i="18" s="1"/>
  <c r="Q27" i="18" s="1"/>
  <c r="P17" i="18"/>
  <c r="M14" i="12"/>
  <c r="N20" i="12"/>
  <c r="P24" i="18" s="1"/>
  <c r="M155" i="10"/>
  <c r="N111" i="26" s="1"/>
  <c r="N110" i="26"/>
  <c r="N133" i="10"/>
  <c r="O109" i="26" s="1"/>
  <c r="M128" i="10"/>
  <c r="N108" i="26" s="1"/>
  <c r="N124" i="10"/>
  <c r="O107" i="26" s="1"/>
  <c r="O106" i="26"/>
  <c r="M78" i="10"/>
  <c r="L69" i="10"/>
  <c r="M90" i="26" s="1"/>
  <c r="M112" i="26" s="1"/>
  <c r="M55" i="10"/>
  <c r="N89" i="26" s="1"/>
  <c r="N43" i="10"/>
  <c r="O88" i="26" s="1"/>
  <c r="L34" i="10"/>
  <c r="M23" i="10"/>
  <c r="E24" i="31" l="1"/>
  <c r="M122" i="26"/>
  <c r="M124" i="26" s="1"/>
  <c r="O70" i="18"/>
  <c r="O72" i="18" s="1"/>
  <c r="D122" i="1"/>
  <c r="D124" i="1" s="1"/>
  <c r="M102" i="10"/>
  <c r="N78" i="10"/>
  <c r="M32" i="12"/>
  <c r="M86" i="10"/>
  <c r="N23" i="10"/>
  <c r="M91" i="10"/>
  <c r="N96" i="10"/>
  <c r="N31" i="12"/>
  <c r="P45" i="18" s="1"/>
  <c r="P70" i="18" s="1"/>
  <c r="P72" i="18" s="1"/>
  <c r="P23" i="12"/>
  <c r="R29" i="18" s="1"/>
  <c r="R27" i="18" s="1"/>
  <c r="N14" i="12"/>
  <c r="Q17" i="18"/>
  <c r="O20" i="12"/>
  <c r="Q24" i="18" s="1"/>
  <c r="T16" i="12"/>
  <c r="N155" i="10"/>
  <c r="O111" i="26" s="1"/>
  <c r="O110" i="26"/>
  <c r="O133" i="10"/>
  <c r="P109" i="26" s="1"/>
  <c r="N128" i="10"/>
  <c r="O108" i="26" s="1"/>
  <c r="O124" i="10"/>
  <c r="P107" i="26" s="1"/>
  <c r="P106" i="26"/>
  <c r="M69" i="10"/>
  <c r="N90" i="26" s="1"/>
  <c r="N112" i="26" s="1"/>
  <c r="N55" i="10"/>
  <c r="O89" i="26" s="1"/>
  <c r="O43" i="10"/>
  <c r="P88" i="26" s="1"/>
  <c r="M34" i="10"/>
  <c r="N122" i="26" l="1"/>
  <c r="N124" i="26" s="1"/>
  <c r="N32" i="12"/>
  <c r="N102" i="10"/>
  <c r="U16" i="12"/>
  <c r="V16" i="12" s="1"/>
  <c r="O96" i="10"/>
  <c r="O23" i="10"/>
  <c r="N91" i="10"/>
  <c r="N86" i="10"/>
  <c r="O78" i="10"/>
  <c r="O31" i="12"/>
  <c r="Q45" i="18" s="1"/>
  <c r="Q70" i="18" s="1"/>
  <c r="Q72" i="18" s="1"/>
  <c r="Q23" i="12"/>
  <c r="S29" i="18" s="1"/>
  <c r="S27" i="18" s="1"/>
  <c r="O14" i="12"/>
  <c r="R17" i="18"/>
  <c r="P20" i="12"/>
  <c r="R24" i="18" s="1"/>
  <c r="O155" i="10"/>
  <c r="P111" i="26" s="1"/>
  <c r="P110" i="26"/>
  <c r="P133" i="10"/>
  <c r="Q109" i="26" s="1"/>
  <c r="O128" i="10"/>
  <c r="P108" i="26" s="1"/>
  <c r="P124" i="10"/>
  <c r="Q107" i="26" s="1"/>
  <c r="Q106" i="26"/>
  <c r="N69" i="10"/>
  <c r="O90" i="26" s="1"/>
  <c r="O112" i="26" s="1"/>
  <c r="O55" i="10"/>
  <c r="P89" i="26" s="1"/>
  <c r="P43" i="10"/>
  <c r="Q88" i="26" s="1"/>
  <c r="N34" i="10"/>
  <c r="O122" i="26" l="1"/>
  <c r="O124" i="26" s="1"/>
  <c r="O102" i="10"/>
  <c r="W16" i="12"/>
  <c r="X16" i="12" s="1"/>
  <c r="O32" i="12"/>
  <c r="O86" i="10"/>
  <c r="O91" i="10"/>
  <c r="T88" i="10"/>
  <c r="P23" i="10"/>
  <c r="T80" i="10"/>
  <c r="P96" i="10"/>
  <c r="T71" i="10"/>
  <c r="P31" i="12"/>
  <c r="R45" i="18" s="1"/>
  <c r="R70" i="18" s="1"/>
  <c r="R72" i="18" s="1"/>
  <c r="R23" i="12"/>
  <c r="T29" i="18" s="1"/>
  <c r="T27" i="18" s="1"/>
  <c r="P14" i="12"/>
  <c r="S17" i="18"/>
  <c r="Q20" i="12"/>
  <c r="S24" i="18" s="1"/>
  <c r="P155" i="10"/>
  <c r="Q111" i="26" s="1"/>
  <c r="Q110" i="26"/>
  <c r="Q133" i="10"/>
  <c r="R109" i="26" s="1"/>
  <c r="P128" i="10"/>
  <c r="Q108" i="26" s="1"/>
  <c r="Q124" i="10"/>
  <c r="R107" i="26" s="1"/>
  <c r="R106" i="26"/>
  <c r="P78" i="10"/>
  <c r="O69" i="10"/>
  <c r="P90" i="26" s="1"/>
  <c r="P112" i="26" s="1"/>
  <c r="P55" i="10"/>
  <c r="Q89" i="26" s="1"/>
  <c r="Q43" i="10"/>
  <c r="R88" i="26" s="1"/>
  <c r="O34" i="10"/>
  <c r="D108" i="3"/>
  <c r="P122" i="26" l="1"/>
  <c r="P124" i="26" s="1"/>
  <c r="P32" i="12"/>
  <c r="P102" i="10"/>
  <c r="T93" i="10"/>
  <c r="Q96" i="10"/>
  <c r="P86" i="10"/>
  <c r="Q78" i="10"/>
  <c r="Q23" i="10"/>
  <c r="P91" i="10"/>
  <c r="Q31" i="12"/>
  <c r="S45" i="18" s="1"/>
  <c r="S70" i="18" s="1"/>
  <c r="S72" i="18" s="1"/>
  <c r="S23" i="12"/>
  <c r="U29" i="18" s="1"/>
  <c r="T22" i="12"/>
  <c r="T17" i="18"/>
  <c r="Q14" i="12"/>
  <c r="Q32" i="12" s="1"/>
  <c r="T17" i="12"/>
  <c r="R20" i="12"/>
  <c r="T24" i="18" s="1"/>
  <c r="Q155" i="10"/>
  <c r="R111" i="26" s="1"/>
  <c r="R110" i="26"/>
  <c r="R133" i="10"/>
  <c r="S109" i="26" s="1"/>
  <c r="Q128" i="10"/>
  <c r="R108" i="26" s="1"/>
  <c r="R124" i="10"/>
  <c r="S107" i="26" s="1"/>
  <c r="S124" i="10"/>
  <c r="T107" i="26" s="1"/>
  <c r="S106" i="26"/>
  <c r="T106" i="26"/>
  <c r="P69" i="10"/>
  <c r="Q90" i="26" s="1"/>
  <c r="Q112" i="26" s="1"/>
  <c r="Q55" i="10"/>
  <c r="R89" i="26" s="1"/>
  <c r="R43" i="10"/>
  <c r="S88" i="26" s="1"/>
  <c r="S43" i="10"/>
  <c r="T88" i="26" s="1"/>
  <c r="P34" i="10"/>
  <c r="G106" i="26" l="1"/>
  <c r="H106" i="26" s="1"/>
  <c r="G107" i="26"/>
  <c r="G88" i="26"/>
  <c r="Q122" i="26"/>
  <c r="Q124" i="26" s="1"/>
  <c r="U27" i="18"/>
  <c r="G29" i="18"/>
  <c r="Q102" i="10"/>
  <c r="Q91" i="10"/>
  <c r="Q86" i="10"/>
  <c r="R96" i="10"/>
  <c r="U17" i="12"/>
  <c r="V17" i="12" s="1"/>
  <c r="W17" i="12" s="1"/>
  <c r="R31" i="12"/>
  <c r="T45" i="18" s="1"/>
  <c r="T70" i="18" s="1"/>
  <c r="T72" i="18" s="1"/>
  <c r="U22" i="12"/>
  <c r="U23" i="12" s="1"/>
  <c r="T23" i="12"/>
  <c r="U17" i="18"/>
  <c r="R14" i="12"/>
  <c r="S20" i="12"/>
  <c r="U24" i="18" s="1"/>
  <c r="G24" i="18" s="1"/>
  <c r="T20" i="12"/>
  <c r="R155" i="10"/>
  <c r="S111" i="26" s="1"/>
  <c r="S110" i="26"/>
  <c r="S133" i="10"/>
  <c r="T109" i="26" s="1"/>
  <c r="G109" i="26" s="1"/>
  <c r="R128" i="10"/>
  <c r="S108" i="26" s="1"/>
  <c r="R78" i="10"/>
  <c r="Q69" i="10"/>
  <c r="R90" i="26" s="1"/>
  <c r="R112" i="26" s="1"/>
  <c r="S55" i="10"/>
  <c r="T89" i="26" s="1"/>
  <c r="R55" i="10"/>
  <c r="S89" i="26" s="1"/>
  <c r="Q34" i="10"/>
  <c r="R23" i="10"/>
  <c r="D32" i="3"/>
  <c r="D34" i="3"/>
  <c r="G89" i="26" l="1"/>
  <c r="H89" i="26" s="1"/>
  <c r="R122" i="26"/>
  <c r="R124" i="26" s="1"/>
  <c r="H88" i="26"/>
  <c r="I24" i="18"/>
  <c r="H24" i="18"/>
  <c r="I29" i="18"/>
  <c r="I27" i="18" s="1"/>
  <c r="G27" i="18"/>
  <c r="H27" i="18" s="1"/>
  <c r="G17" i="18"/>
  <c r="H17" i="18" s="1"/>
  <c r="R102" i="10"/>
  <c r="T81" i="10"/>
  <c r="R86" i="10"/>
  <c r="T72" i="10"/>
  <c r="T89" i="10"/>
  <c r="R91" i="10"/>
  <c r="R32" i="12"/>
  <c r="S31" i="12"/>
  <c r="U45" i="18" s="1"/>
  <c r="G45" i="18" s="1"/>
  <c r="T25" i="12"/>
  <c r="X17" i="12"/>
  <c r="V22" i="12"/>
  <c r="T14" i="12"/>
  <c r="S14" i="12"/>
  <c r="V20" i="12"/>
  <c r="T156" i="10"/>
  <c r="T158" i="10" s="1"/>
  <c r="S155" i="10"/>
  <c r="T111" i="26" s="1"/>
  <c r="G111" i="26" s="1"/>
  <c r="H111" i="26" s="1"/>
  <c r="T110" i="26"/>
  <c r="G110" i="26" s="1"/>
  <c r="H110" i="26" s="1"/>
  <c r="T133" i="10"/>
  <c r="S128" i="10"/>
  <c r="T108" i="26" s="1"/>
  <c r="G108" i="26" s="1"/>
  <c r="H108" i="26" s="1"/>
  <c r="R69" i="10"/>
  <c r="S90" i="26" s="1"/>
  <c r="S112" i="26" s="1"/>
  <c r="T55" i="10"/>
  <c r="R34" i="10"/>
  <c r="D31" i="3"/>
  <c r="S122" i="26" l="1"/>
  <c r="S124" i="26" s="1"/>
  <c r="I45" i="18"/>
  <c r="H45" i="18"/>
  <c r="S32" i="12"/>
  <c r="U14" i="12"/>
  <c r="G70" i="18"/>
  <c r="U70" i="18"/>
  <c r="U72" i="18" s="1"/>
  <c r="I17" i="18"/>
  <c r="I70" i="18" s="1"/>
  <c r="I72" i="18" s="1"/>
  <c r="T26" i="10"/>
  <c r="T23" i="10"/>
  <c r="S102" i="10"/>
  <c r="T98" i="10"/>
  <c r="S78" i="10"/>
  <c r="T94" i="10"/>
  <c r="S96" i="10"/>
  <c r="T91" i="10"/>
  <c r="S91" i="10"/>
  <c r="T86" i="10"/>
  <c r="S86" i="10"/>
  <c r="V14" i="12"/>
  <c r="U25" i="12"/>
  <c r="T31" i="12"/>
  <c r="T32" i="12" s="1"/>
  <c r="V23" i="12"/>
  <c r="W22" i="12"/>
  <c r="W23" i="12" s="1"/>
  <c r="U20" i="12"/>
  <c r="X20" i="12"/>
  <c r="W20" i="12"/>
  <c r="T155" i="10"/>
  <c r="T128" i="10"/>
  <c r="T78" i="10"/>
  <c r="S69" i="10"/>
  <c r="T90" i="26" s="1"/>
  <c r="S34" i="10"/>
  <c r="G90" i="26" l="1"/>
  <c r="T96" i="10"/>
  <c r="T34" i="10"/>
  <c r="G72" i="18"/>
  <c r="H72" i="18" s="1"/>
  <c r="H70" i="18"/>
  <c r="T102" i="10"/>
  <c r="W14" i="12"/>
  <c r="U31" i="12"/>
  <c r="U32" i="12" s="1"/>
  <c r="V25" i="12"/>
  <c r="X22" i="12"/>
  <c r="X23" i="12" s="1"/>
  <c r="T69" i="10"/>
  <c r="E6" i="9"/>
  <c r="E5" i="9"/>
  <c r="E7" i="9" s="1"/>
  <c r="D65" i="3"/>
  <c r="D68" i="3"/>
  <c r="D66" i="3" s="1"/>
  <c r="T159" i="10" l="1"/>
  <c r="H90" i="26"/>
  <c r="T122" i="26"/>
  <c r="T124" i="26" s="1"/>
  <c r="J37" i="1"/>
  <c r="X14" i="12"/>
  <c r="V31" i="12"/>
  <c r="V32" i="12" s="1"/>
  <c r="W25" i="12"/>
  <c r="G122" i="26" l="1"/>
  <c r="G124" i="26" s="1"/>
  <c r="H112" i="26"/>
  <c r="K37" i="1"/>
  <c r="J53" i="1"/>
  <c r="I159" i="10"/>
  <c r="D64" i="3"/>
  <c r="W31" i="12"/>
  <c r="W32" i="12" s="1"/>
  <c r="X25" i="12"/>
  <c r="H124" i="26" l="1"/>
  <c r="H122" i="26"/>
  <c r="L37" i="1"/>
  <c r="K53" i="1"/>
  <c r="J159" i="10"/>
  <c r="K159" i="10"/>
  <c r="X31" i="12"/>
  <c r="X32" i="12" s="1"/>
  <c r="M37" i="1" l="1"/>
  <c r="L53" i="1"/>
  <c r="N37" i="1" l="1"/>
  <c r="M53" i="1"/>
  <c r="L159" i="10"/>
  <c r="O37" i="1" l="1"/>
  <c r="N53" i="1"/>
  <c r="M159" i="10"/>
  <c r="P37" i="1" l="1"/>
  <c r="O53" i="1"/>
  <c r="N159" i="10"/>
  <c r="Q37" i="1" l="1"/>
  <c r="P53" i="1"/>
  <c r="O159" i="10"/>
  <c r="R37" i="1" l="1"/>
  <c r="Q53" i="1"/>
  <c r="P159" i="10"/>
  <c r="S37" i="1" l="1"/>
  <c r="R53" i="1"/>
  <c r="Q159" i="10"/>
  <c r="S53" i="1" l="1"/>
  <c r="T37" i="1"/>
  <c r="R159" i="10"/>
  <c r="S159" i="10"/>
  <c r="D114" i="3"/>
  <c r="D4" i="3" s="1"/>
  <c r="F182" i="21" s="1"/>
  <c r="U37" i="1" l="1"/>
  <c r="T53" i="1"/>
  <c r="F16" i="2"/>
  <c r="E16" i="2"/>
  <c r="C16" i="2"/>
  <c r="D16" i="2"/>
  <c r="U53" i="1" l="1"/>
  <c r="G37" i="1"/>
  <c r="G16" i="2"/>
  <c r="G14" i="2"/>
  <c r="G8" i="2"/>
  <c r="G7" i="2"/>
  <c r="D24" i="6" l="1"/>
  <c r="E24" i="6" s="1"/>
  <c r="F10" i="2"/>
  <c r="E10" i="2"/>
  <c r="D10" i="2"/>
  <c r="C10" i="2"/>
  <c r="B10" i="2"/>
  <c r="D21" i="31" l="1"/>
  <c r="G10" i="2"/>
  <c r="E21" i="31" l="1"/>
  <c r="E25" i="31" s="1"/>
  <c r="D25" i="31"/>
  <c r="K9" i="1"/>
  <c r="K26" i="1" s="1"/>
  <c r="M9" i="1"/>
  <c r="M26" i="1" s="1"/>
  <c r="O9" i="1"/>
  <c r="O26" i="1" s="1"/>
  <c r="Q9" i="1"/>
  <c r="Q26" i="1" s="1"/>
  <c r="S9" i="1"/>
  <c r="S26" i="1" s="1"/>
  <c r="U9" i="1"/>
  <c r="U26" i="1" s="1"/>
  <c r="J9" i="1"/>
  <c r="J26" i="1" s="1"/>
  <c r="L9" i="1"/>
  <c r="L26" i="1" s="1"/>
  <c r="N9" i="1"/>
  <c r="N26" i="1" s="1"/>
  <c r="P9" i="1"/>
  <c r="P26" i="1" s="1"/>
  <c r="R9" i="1"/>
  <c r="R26" i="1" s="1"/>
  <c r="T9" i="1"/>
  <c r="T26" i="1" s="1"/>
  <c r="D11" i="31" l="1"/>
  <c r="E11" i="31" l="1"/>
  <c r="E16" i="31" s="1"/>
  <c r="E29" i="31" s="1"/>
  <c r="D16" i="31"/>
  <c r="D29" i="31" s="1"/>
  <c r="D11" i="6"/>
  <c r="D23" i="6"/>
  <c r="E23" i="6" s="1"/>
  <c r="Q122" i="1"/>
  <c r="Q124" i="1" s="1"/>
  <c r="D16" i="6" l="1"/>
  <c r="E11" i="6"/>
  <c r="E16" i="6" s="1"/>
  <c r="T122" i="1"/>
  <c r="T124" i="1" s="1"/>
  <c r="D21" i="6"/>
  <c r="E21" i="6" s="1"/>
  <c r="D22" i="6"/>
  <c r="M122" i="1"/>
  <c r="M124" i="1" s="1"/>
  <c r="E4" i="3"/>
  <c r="L122" i="1"/>
  <c r="L124" i="1" s="1"/>
  <c r="O122" i="1"/>
  <c r="O124" i="1" s="1"/>
  <c r="P122" i="1"/>
  <c r="P124" i="1" s="1"/>
  <c r="N122" i="1"/>
  <c r="N124" i="1" s="1"/>
  <c r="R122" i="1"/>
  <c r="R124" i="1" s="1"/>
  <c r="G122" i="1"/>
  <c r="S122" i="1"/>
  <c r="S124" i="1" s="1"/>
  <c r="U122" i="1"/>
  <c r="U124" i="1" s="1"/>
  <c r="J122" i="1"/>
  <c r="K122" i="1"/>
  <c r="K124" i="1" s="1"/>
  <c r="G124" i="1" l="1"/>
  <c r="I124" i="1" s="1"/>
  <c r="I122" i="1"/>
  <c r="D25" i="6"/>
  <c r="E22" i="6"/>
  <c r="E25" i="6" s="1"/>
  <c r="E29" i="6" s="1"/>
  <c r="J124" i="1"/>
  <c r="D32" i="6" l="1"/>
  <c r="D31" i="6"/>
  <c r="D29" i="6"/>
</calcChain>
</file>

<file path=xl/comments1.xml><?xml version="1.0" encoding="utf-8"?>
<comments xmlns="http://schemas.openxmlformats.org/spreadsheetml/2006/main">
  <authors>
    <author>USER</author>
  </authors>
  <commentList>
    <comment ref="G10" authorId="0" shapeId="0">
      <text>
        <r>
          <rPr>
            <b/>
            <sz val="8"/>
            <color indexed="81"/>
            <rFont val="Tahoma"/>
            <family val="2"/>
          </rPr>
          <t>USER:</t>
        </r>
        <r>
          <rPr>
            <sz val="8"/>
            <color indexed="81"/>
            <rFont val="Tahoma"/>
            <family val="2"/>
          </rPr>
          <t xml:space="preserve">
Update 09/01/2018: New decision</t>
        </r>
      </text>
    </comment>
    <comment ref="G11" authorId="0" shapeId="0">
      <text>
        <r>
          <rPr>
            <b/>
            <sz val="8"/>
            <color indexed="81"/>
            <rFont val="Tahoma"/>
            <family val="2"/>
          </rPr>
          <t>USER:</t>
        </r>
        <r>
          <rPr>
            <sz val="8"/>
            <color indexed="81"/>
            <rFont val="Tahoma"/>
            <family val="2"/>
          </rPr>
          <t xml:space="preserve">
Update 09/01/2018: New decision</t>
        </r>
      </text>
    </comment>
    <comment ref="D56" authorId="0" shapeId="0">
      <text>
        <r>
          <rPr>
            <b/>
            <sz val="8"/>
            <color indexed="81"/>
            <rFont val="Tahoma"/>
            <family val="2"/>
          </rPr>
          <t>USER:</t>
        </r>
        <r>
          <rPr>
            <sz val="8"/>
            <color indexed="81"/>
            <rFont val="Tahoma"/>
            <family val="2"/>
          </rPr>
          <t xml:space="preserve">
2017: Gồm CP ngoại giao
80.200.000 đ</t>
        </r>
      </text>
    </comment>
    <comment ref="G56" authorId="0" shapeId="0">
      <text>
        <r>
          <rPr>
            <b/>
            <sz val="8"/>
            <color indexed="81"/>
            <rFont val="Tahoma"/>
            <family val="2"/>
          </rPr>
          <t>USER:</t>
        </r>
        <r>
          <rPr>
            <sz val="8"/>
            <color indexed="81"/>
            <rFont val="Tahoma"/>
            <family val="2"/>
          </rPr>
          <t xml:space="preserve">
Update 09/01/2018: theo hợp đồng đã ký kết (bao gồm OT)</t>
        </r>
      </text>
    </comment>
    <comment ref="G57" authorId="0" shapeId="0">
      <text>
        <r>
          <rPr>
            <b/>
            <sz val="8"/>
            <color indexed="81"/>
            <rFont val="Tahoma"/>
            <family val="2"/>
          </rPr>
          <t>USER:</t>
        </r>
        <r>
          <rPr>
            <sz val="8"/>
            <color indexed="81"/>
            <rFont val="Tahoma"/>
            <family val="2"/>
          </rPr>
          <t xml:space="preserve">
Update 09/01/2018: theo hợp đồng đã ký kết (bao gồm OT)</t>
        </r>
      </text>
    </comment>
    <comment ref="G63" authorId="0" shapeId="0">
      <text>
        <r>
          <rPr>
            <b/>
            <sz val="8"/>
            <color indexed="81"/>
            <rFont val="Tahoma"/>
            <family val="2"/>
          </rPr>
          <t>USER:</t>
        </r>
        <r>
          <rPr>
            <sz val="8"/>
            <color indexed="81"/>
            <rFont val="Tahoma"/>
            <family val="2"/>
          </rPr>
          <t xml:space="preserve">
Update 09/01/2018: Giá thực tế</t>
        </r>
      </text>
    </comment>
    <comment ref="G64" authorId="0" shapeId="0">
      <text>
        <r>
          <rPr>
            <b/>
            <sz val="8"/>
            <color indexed="81"/>
            <rFont val="Tahoma"/>
            <family val="2"/>
          </rPr>
          <t>USER:</t>
        </r>
        <r>
          <rPr>
            <sz val="8"/>
            <color indexed="81"/>
            <rFont val="Tahoma"/>
            <family val="2"/>
          </rPr>
          <t xml:space="preserve">
Update 09/01/2018: Chi phí thay cây</t>
        </r>
      </text>
    </comment>
    <comment ref="G66" authorId="0" shapeId="0">
      <text>
        <r>
          <rPr>
            <b/>
            <sz val="8"/>
            <color indexed="81"/>
            <rFont val="Tahoma"/>
            <family val="2"/>
          </rPr>
          <t>USER:</t>
        </r>
        <r>
          <rPr>
            <sz val="8"/>
            <color indexed="81"/>
            <rFont val="Tahoma"/>
            <family val="2"/>
          </rPr>
          <t xml:space="preserve">
Update 09/01/2018: Thêm Mid-Autumn</t>
        </r>
      </text>
    </comment>
    <comment ref="G68" authorId="0" shapeId="0">
      <text>
        <r>
          <rPr>
            <b/>
            <sz val="8"/>
            <color indexed="81"/>
            <rFont val="Tahoma"/>
            <family val="2"/>
          </rPr>
          <t>USER:</t>
        </r>
        <r>
          <rPr>
            <sz val="8"/>
            <color indexed="81"/>
            <rFont val="Tahoma"/>
            <family val="2"/>
          </rPr>
          <t xml:space="preserve">
Update 09/01/2018: Update giá thực tế</t>
        </r>
      </text>
    </comment>
    <comment ref="F70" authorId="0" shapeId="0">
      <text>
        <r>
          <rPr>
            <b/>
            <sz val="8"/>
            <color indexed="81"/>
            <rFont val="Tahoma"/>
            <family val="2"/>
          </rPr>
          <t>USER:</t>
        </r>
        <r>
          <rPr>
            <sz val="8"/>
            <color indexed="81"/>
            <rFont val="Tahoma"/>
            <family val="2"/>
          </rPr>
          <t xml:space="preserve">
Update 20 Nov 2017: 370,000,000</t>
        </r>
      </text>
    </comment>
    <comment ref="G74" authorId="0" shapeId="0">
      <text>
        <r>
          <rPr>
            <b/>
            <sz val="8"/>
            <color indexed="81"/>
            <rFont val="Tahoma"/>
            <family val="2"/>
          </rPr>
          <t>USER:</t>
        </r>
        <r>
          <rPr>
            <sz val="8"/>
            <color indexed="81"/>
            <rFont val="Tahoma"/>
            <family val="2"/>
          </rPr>
          <t xml:space="preserve">
Update 09/01/2018: Thêm chi phí mua khăn</t>
        </r>
      </text>
    </comment>
    <comment ref="F89" authorId="0" shapeId="0">
      <text>
        <r>
          <rPr>
            <b/>
            <sz val="8"/>
            <color indexed="81"/>
            <rFont val="Tahoma"/>
            <family val="2"/>
          </rPr>
          <t>USER:</t>
        </r>
        <r>
          <rPr>
            <sz val="8"/>
            <color indexed="81"/>
            <rFont val="Tahoma"/>
            <family val="2"/>
          </rPr>
          <t xml:space="preserve">
Controller: 1, dosing pump: 2; Filters replacement (Filtration system T5) / Thay lõi lọc : 67,797,904; Pressure tank/ Bình giãn nở: 41,973,000; Khớp nối chuyển động: 47,400,000; vệ sinh bồn chứa nước: 28tr, phao cơ: 160,000</t>
        </r>
      </text>
    </comment>
    <comment ref="F119" authorId="0" shapeId="0">
      <text>
        <r>
          <rPr>
            <b/>
            <sz val="8"/>
            <color indexed="81"/>
            <rFont val="Tahoma"/>
            <family val="2"/>
          </rPr>
          <t>USER:</t>
        </r>
        <r>
          <rPr>
            <sz val="8"/>
            <color indexed="81"/>
            <rFont val="Tahoma"/>
            <family val="2"/>
          </rPr>
          <t xml:space="preserve">
Focas buying oil</t>
        </r>
      </text>
    </comment>
  </commentList>
</comments>
</file>

<file path=xl/comments2.xml><?xml version="1.0" encoding="utf-8"?>
<comments xmlns="http://schemas.openxmlformats.org/spreadsheetml/2006/main">
  <authors>
    <author>USER</author>
  </authors>
  <commentList>
    <comment ref="G10" authorId="0" shapeId="0">
      <text>
        <r>
          <rPr>
            <b/>
            <sz val="8"/>
            <color indexed="81"/>
            <rFont val="Tahoma"/>
            <family val="2"/>
          </rPr>
          <t>USER:</t>
        </r>
        <r>
          <rPr>
            <sz val="8"/>
            <color indexed="81"/>
            <rFont val="Tahoma"/>
            <family val="2"/>
          </rPr>
          <t xml:space="preserve">
Update 09/01/2018: New decision</t>
        </r>
      </text>
    </comment>
    <comment ref="G11" authorId="0" shapeId="0">
      <text>
        <r>
          <rPr>
            <b/>
            <sz val="8"/>
            <color indexed="81"/>
            <rFont val="Tahoma"/>
            <family val="2"/>
          </rPr>
          <t>USER:</t>
        </r>
        <r>
          <rPr>
            <sz val="8"/>
            <color indexed="81"/>
            <rFont val="Tahoma"/>
            <family val="2"/>
          </rPr>
          <t xml:space="preserve">
Update 09/01/2018: New decision</t>
        </r>
      </text>
    </comment>
    <comment ref="D56" authorId="0" shapeId="0">
      <text>
        <r>
          <rPr>
            <b/>
            <sz val="8"/>
            <color indexed="81"/>
            <rFont val="Tahoma"/>
            <family val="2"/>
          </rPr>
          <t>USER:</t>
        </r>
        <r>
          <rPr>
            <sz val="8"/>
            <color indexed="81"/>
            <rFont val="Tahoma"/>
            <family val="2"/>
          </rPr>
          <t xml:space="preserve">
2017: Gồm CP ngoại giao
80.200.000 đ</t>
        </r>
      </text>
    </comment>
    <comment ref="G56" authorId="0" shapeId="0">
      <text>
        <r>
          <rPr>
            <b/>
            <sz val="8"/>
            <color indexed="81"/>
            <rFont val="Tahoma"/>
            <family val="2"/>
          </rPr>
          <t>USER:</t>
        </r>
        <r>
          <rPr>
            <sz val="8"/>
            <color indexed="81"/>
            <rFont val="Tahoma"/>
            <family val="2"/>
          </rPr>
          <t xml:space="preserve">
Update 09/01/2018: theo hợp đồng đã ký kết (bao gồm OT)</t>
        </r>
      </text>
    </comment>
    <comment ref="G57" authorId="0" shapeId="0">
      <text>
        <r>
          <rPr>
            <b/>
            <sz val="8"/>
            <color indexed="81"/>
            <rFont val="Tahoma"/>
            <family val="2"/>
          </rPr>
          <t>USER:</t>
        </r>
        <r>
          <rPr>
            <sz val="8"/>
            <color indexed="81"/>
            <rFont val="Tahoma"/>
            <family val="2"/>
          </rPr>
          <t xml:space="preserve">
Update 09/01/2018: theo hợp đồng đã ký kết (bao gồm OT)</t>
        </r>
      </text>
    </comment>
    <comment ref="G63" authorId="0" shapeId="0">
      <text>
        <r>
          <rPr>
            <b/>
            <sz val="8"/>
            <color indexed="81"/>
            <rFont val="Tahoma"/>
            <family val="2"/>
          </rPr>
          <t>USER:</t>
        </r>
        <r>
          <rPr>
            <sz val="8"/>
            <color indexed="81"/>
            <rFont val="Tahoma"/>
            <family val="2"/>
          </rPr>
          <t xml:space="preserve">
Update 09/01/2018: Giá thực tế</t>
        </r>
      </text>
    </comment>
    <comment ref="G64" authorId="0" shapeId="0">
      <text>
        <r>
          <rPr>
            <b/>
            <sz val="8"/>
            <color indexed="81"/>
            <rFont val="Tahoma"/>
            <family val="2"/>
          </rPr>
          <t>USER:</t>
        </r>
        <r>
          <rPr>
            <sz val="8"/>
            <color indexed="81"/>
            <rFont val="Tahoma"/>
            <family val="2"/>
          </rPr>
          <t xml:space="preserve">
Update 09/01/2018: Chi phí thay cây</t>
        </r>
      </text>
    </comment>
    <comment ref="G66" authorId="0" shapeId="0">
      <text>
        <r>
          <rPr>
            <b/>
            <sz val="8"/>
            <color indexed="81"/>
            <rFont val="Tahoma"/>
            <family val="2"/>
          </rPr>
          <t>USER:</t>
        </r>
        <r>
          <rPr>
            <sz val="8"/>
            <color indexed="81"/>
            <rFont val="Tahoma"/>
            <family val="2"/>
          </rPr>
          <t xml:space="preserve">
Update 09/01/2018: Thêm Mid-Autumn</t>
        </r>
      </text>
    </comment>
    <comment ref="G68" authorId="0" shapeId="0">
      <text>
        <r>
          <rPr>
            <b/>
            <sz val="8"/>
            <color indexed="81"/>
            <rFont val="Tahoma"/>
            <family val="2"/>
          </rPr>
          <t>USER:</t>
        </r>
        <r>
          <rPr>
            <sz val="8"/>
            <color indexed="81"/>
            <rFont val="Tahoma"/>
            <family val="2"/>
          </rPr>
          <t xml:space="preserve">
Update 09/01/2018: Update giá thực tế</t>
        </r>
      </text>
    </comment>
    <comment ref="F70" authorId="0" shapeId="0">
      <text>
        <r>
          <rPr>
            <b/>
            <sz val="8"/>
            <color indexed="81"/>
            <rFont val="Tahoma"/>
            <family val="2"/>
          </rPr>
          <t>USER:</t>
        </r>
        <r>
          <rPr>
            <sz val="8"/>
            <color indexed="81"/>
            <rFont val="Tahoma"/>
            <family val="2"/>
          </rPr>
          <t xml:space="preserve">
Update 20 Nov 2017: 370,000,000</t>
        </r>
      </text>
    </comment>
    <comment ref="G74" authorId="0" shapeId="0">
      <text>
        <r>
          <rPr>
            <b/>
            <sz val="8"/>
            <color indexed="81"/>
            <rFont val="Tahoma"/>
            <family val="2"/>
          </rPr>
          <t>USER:</t>
        </r>
        <r>
          <rPr>
            <sz val="8"/>
            <color indexed="81"/>
            <rFont val="Tahoma"/>
            <family val="2"/>
          </rPr>
          <t xml:space="preserve">
Update 09/01/2018: Thêm chi phí mua khăn</t>
        </r>
      </text>
    </comment>
    <comment ref="F89" authorId="0" shapeId="0">
      <text>
        <r>
          <rPr>
            <b/>
            <sz val="8"/>
            <color indexed="81"/>
            <rFont val="Tahoma"/>
            <family val="2"/>
          </rPr>
          <t>USER:</t>
        </r>
        <r>
          <rPr>
            <sz val="8"/>
            <color indexed="81"/>
            <rFont val="Tahoma"/>
            <family val="2"/>
          </rPr>
          <t xml:space="preserve">
Controller: 1, dosing pump: 2; Filters replacement (Filtration system T5) / Thay lõi lọc : 67,797,904; Pressure tank/ Bình giãn nở: 41,973,000; Khớp nối chuyển động: 47,400,000; vệ sinh bồn chứa nước: 28tr, phao cơ: 160,000</t>
        </r>
      </text>
    </comment>
    <comment ref="F119" authorId="0" shapeId="0">
      <text>
        <r>
          <rPr>
            <b/>
            <sz val="8"/>
            <color indexed="81"/>
            <rFont val="Tahoma"/>
            <family val="2"/>
          </rPr>
          <t>USER:</t>
        </r>
        <r>
          <rPr>
            <sz val="8"/>
            <color indexed="81"/>
            <rFont val="Tahoma"/>
            <family val="2"/>
          </rPr>
          <t xml:space="preserve">
Focas buying oil</t>
        </r>
      </text>
    </comment>
  </commentList>
</comments>
</file>

<file path=xl/comments3.xml><?xml version="1.0" encoding="utf-8"?>
<comments xmlns="http://schemas.openxmlformats.org/spreadsheetml/2006/main">
  <authors>
    <author>USER</author>
  </authors>
  <commentList>
    <comment ref="D139" authorId="0" shapeId="0">
      <text>
        <r>
          <rPr>
            <b/>
            <sz val="8"/>
            <color indexed="81"/>
            <rFont val="Tahoma"/>
            <family val="2"/>
          </rPr>
          <t>USER:</t>
        </r>
        <r>
          <rPr>
            <sz val="8"/>
            <color indexed="81"/>
            <rFont val="Tahoma"/>
            <family val="2"/>
          </rPr>
          <t xml:space="preserve">
2 năm 1 lần</t>
        </r>
      </text>
    </comment>
    <comment ref="G139" authorId="0" shapeId="0">
      <text>
        <r>
          <rPr>
            <b/>
            <sz val="8"/>
            <color indexed="81"/>
            <rFont val="Tahoma"/>
            <family val="2"/>
          </rPr>
          <t>USER:</t>
        </r>
        <r>
          <rPr>
            <sz val="8"/>
            <color indexed="81"/>
            <rFont val="Tahoma"/>
            <family val="2"/>
          </rPr>
          <t xml:space="preserve">
Update 10.01.2018: xoá phí 82,000,000</t>
        </r>
      </text>
    </comment>
  </commentList>
</comments>
</file>

<file path=xl/comments4.xml><?xml version="1.0" encoding="utf-8"?>
<comments xmlns="http://schemas.openxmlformats.org/spreadsheetml/2006/main">
  <authors>
    <author>USER</author>
  </authors>
  <commentList>
    <comment ref="G10" authorId="0" shapeId="0">
      <text>
        <r>
          <rPr>
            <b/>
            <sz val="8"/>
            <color indexed="81"/>
            <rFont val="Tahoma"/>
            <family val="2"/>
          </rPr>
          <t>USER:</t>
        </r>
        <r>
          <rPr>
            <sz val="8"/>
            <color indexed="81"/>
            <rFont val="Tahoma"/>
            <family val="2"/>
          </rPr>
          <t xml:space="preserve">
Update 09/01/2018: New decision</t>
        </r>
      </text>
    </comment>
    <comment ref="G11" authorId="0" shapeId="0">
      <text>
        <r>
          <rPr>
            <b/>
            <sz val="8"/>
            <color indexed="81"/>
            <rFont val="Tahoma"/>
            <family val="2"/>
          </rPr>
          <t>USER:</t>
        </r>
        <r>
          <rPr>
            <sz val="8"/>
            <color indexed="81"/>
            <rFont val="Tahoma"/>
            <family val="2"/>
          </rPr>
          <t xml:space="preserve">
Update 09/01/2018: New decision</t>
        </r>
      </text>
    </comment>
    <comment ref="D56" authorId="0" shapeId="0">
      <text>
        <r>
          <rPr>
            <b/>
            <sz val="8"/>
            <color indexed="81"/>
            <rFont val="Tahoma"/>
            <family val="2"/>
          </rPr>
          <t>USER:</t>
        </r>
        <r>
          <rPr>
            <sz val="8"/>
            <color indexed="81"/>
            <rFont val="Tahoma"/>
            <family val="2"/>
          </rPr>
          <t xml:space="preserve">
2017: Gồm CP ngoại giao
80.200.000 đ</t>
        </r>
      </text>
    </comment>
    <comment ref="G56" authorId="0" shapeId="0">
      <text>
        <r>
          <rPr>
            <b/>
            <sz val="8"/>
            <color indexed="81"/>
            <rFont val="Tahoma"/>
            <family val="2"/>
          </rPr>
          <t>USER:</t>
        </r>
        <r>
          <rPr>
            <sz val="8"/>
            <color indexed="81"/>
            <rFont val="Tahoma"/>
            <family val="2"/>
          </rPr>
          <t xml:space="preserve">
Update 09/01/2018: theo hợp đồng đã ký kết (bao gồm OT)</t>
        </r>
      </text>
    </comment>
    <comment ref="G57" authorId="0" shapeId="0">
      <text>
        <r>
          <rPr>
            <b/>
            <sz val="8"/>
            <color indexed="81"/>
            <rFont val="Tahoma"/>
            <family val="2"/>
          </rPr>
          <t>USER:</t>
        </r>
        <r>
          <rPr>
            <sz val="8"/>
            <color indexed="81"/>
            <rFont val="Tahoma"/>
            <family val="2"/>
          </rPr>
          <t xml:space="preserve">
Update 09/01/2018: theo hợp đồng đã ký kết (bao gồm OT)</t>
        </r>
      </text>
    </comment>
    <comment ref="G63" authorId="0" shapeId="0">
      <text>
        <r>
          <rPr>
            <b/>
            <sz val="8"/>
            <color indexed="81"/>
            <rFont val="Tahoma"/>
            <family val="2"/>
          </rPr>
          <t>USER:</t>
        </r>
        <r>
          <rPr>
            <sz val="8"/>
            <color indexed="81"/>
            <rFont val="Tahoma"/>
            <family val="2"/>
          </rPr>
          <t xml:space="preserve">
Update 09/01/2018: Giá thực tế</t>
        </r>
      </text>
    </comment>
    <comment ref="G64" authorId="0" shapeId="0">
      <text>
        <r>
          <rPr>
            <b/>
            <sz val="8"/>
            <color indexed="81"/>
            <rFont val="Tahoma"/>
            <family val="2"/>
          </rPr>
          <t>USER:</t>
        </r>
        <r>
          <rPr>
            <sz val="8"/>
            <color indexed="81"/>
            <rFont val="Tahoma"/>
            <family val="2"/>
          </rPr>
          <t xml:space="preserve">
Update 09/01/2018: Chi phí thay cây</t>
        </r>
      </text>
    </comment>
    <comment ref="G66" authorId="0" shapeId="0">
      <text>
        <r>
          <rPr>
            <b/>
            <sz val="8"/>
            <color indexed="81"/>
            <rFont val="Tahoma"/>
            <family val="2"/>
          </rPr>
          <t>USER:</t>
        </r>
        <r>
          <rPr>
            <sz val="8"/>
            <color indexed="81"/>
            <rFont val="Tahoma"/>
            <family val="2"/>
          </rPr>
          <t xml:space="preserve">
Update 09/01/2018: Thêm Mid-Autumn</t>
        </r>
      </text>
    </comment>
    <comment ref="G68" authorId="0" shapeId="0">
      <text>
        <r>
          <rPr>
            <b/>
            <sz val="8"/>
            <color indexed="81"/>
            <rFont val="Tahoma"/>
            <family val="2"/>
          </rPr>
          <t>USER:</t>
        </r>
        <r>
          <rPr>
            <sz val="8"/>
            <color indexed="81"/>
            <rFont val="Tahoma"/>
            <family val="2"/>
          </rPr>
          <t xml:space="preserve">
Update 09/01/2018: Update giá thực tế</t>
        </r>
      </text>
    </comment>
    <comment ref="G74" authorId="0" shapeId="0">
      <text>
        <r>
          <rPr>
            <b/>
            <sz val="8"/>
            <color indexed="81"/>
            <rFont val="Tahoma"/>
            <family val="2"/>
          </rPr>
          <t>USER:</t>
        </r>
        <r>
          <rPr>
            <sz val="8"/>
            <color indexed="81"/>
            <rFont val="Tahoma"/>
            <family val="2"/>
          </rPr>
          <t xml:space="preserve">
Update 09/01/2018: Thêm chi phí mua khăn</t>
        </r>
      </text>
    </comment>
    <comment ref="G76" authorId="0" shapeId="0">
      <text>
        <r>
          <rPr>
            <b/>
            <sz val="8"/>
            <color indexed="81"/>
            <rFont val="Tahoma"/>
            <family val="2"/>
          </rPr>
          <t>USER:</t>
        </r>
        <r>
          <rPr>
            <sz val="8"/>
            <color indexed="81"/>
            <rFont val="Tahoma"/>
            <family val="2"/>
          </rPr>
          <t xml:space="preserve">
Update 09/01/2018: Thêm chi phí mua khăn</t>
        </r>
      </text>
    </comment>
    <comment ref="F81" authorId="0" shapeId="0">
      <text>
        <r>
          <rPr>
            <b/>
            <sz val="8"/>
            <color indexed="81"/>
            <rFont val="Tahoma"/>
            <family val="2"/>
          </rPr>
          <t>USER:</t>
        </r>
        <r>
          <rPr>
            <sz val="8"/>
            <color indexed="81"/>
            <rFont val="Tahoma"/>
            <family val="2"/>
          </rPr>
          <t xml:space="preserve">
Paid by SF (Apr-Aug'17)</t>
        </r>
      </text>
    </comment>
    <comment ref="F89" authorId="0" shapeId="0">
      <text>
        <r>
          <rPr>
            <b/>
            <sz val="8"/>
            <color indexed="81"/>
            <rFont val="Tahoma"/>
            <family val="2"/>
          </rPr>
          <t>USER:</t>
        </r>
        <r>
          <rPr>
            <sz val="8"/>
            <color indexed="81"/>
            <rFont val="Tahoma"/>
            <family val="2"/>
          </rPr>
          <t xml:space="preserve">
Controller: 1, dosing pump: 2; Filters replacement (Filtration system T5) / Thay lõi lọc : 75tr; Pressure tank/ Bình giãn nở: 41,973,000</t>
        </r>
      </text>
    </comment>
    <comment ref="G118" authorId="0" shapeId="0">
      <text>
        <r>
          <rPr>
            <b/>
            <sz val="8"/>
            <color indexed="81"/>
            <rFont val="Tahoma"/>
            <family val="2"/>
          </rPr>
          <t>USER:</t>
        </r>
        <r>
          <rPr>
            <sz val="8"/>
            <color indexed="81"/>
            <rFont val="Tahoma"/>
            <family val="2"/>
          </rPr>
          <t xml:space="preserve">
Update 10/01/2018: Thêm chi phí điện cho hợp đồng quảng cáo</t>
        </r>
      </text>
    </comment>
  </commentList>
</comments>
</file>

<file path=xl/comments5.xml><?xml version="1.0" encoding="utf-8"?>
<comments xmlns="http://schemas.openxmlformats.org/spreadsheetml/2006/main">
  <authors>
    <author>USER</author>
  </authors>
  <commentList>
    <comment ref="K9" authorId="0" shapeId="0">
      <text>
        <r>
          <rPr>
            <b/>
            <sz val="8"/>
            <color indexed="81"/>
            <rFont val="Tahoma"/>
            <family val="2"/>
          </rPr>
          <t>USER:</t>
        </r>
        <r>
          <rPr>
            <sz val="8"/>
            <color indexed="81"/>
            <rFont val="Tahoma"/>
            <family val="2"/>
          </rPr>
          <t xml:space="preserve">
1/2/2018 áp dụng mức mới</t>
        </r>
      </text>
    </comment>
  </commentList>
</comments>
</file>

<file path=xl/sharedStrings.xml><?xml version="1.0" encoding="utf-8"?>
<sst xmlns="http://schemas.openxmlformats.org/spreadsheetml/2006/main" count="3752" uniqueCount="1094">
  <si>
    <r>
      <t xml:space="preserve">CHÊNH LỆCH DOANH THU - CHI PHÍ
</t>
    </r>
    <r>
      <rPr>
        <b/>
        <i/>
        <sz val="10"/>
        <rFont val="Arial"/>
        <family val="2"/>
      </rPr>
      <t>BALANCE (REVENUES - EXPENSES)</t>
    </r>
  </si>
  <si>
    <r>
      <t xml:space="preserve">TỔNG CHI PHÍ
</t>
    </r>
    <r>
      <rPr>
        <b/>
        <i/>
        <sz val="10"/>
        <rFont val="Arial"/>
        <family val="2"/>
      </rPr>
      <t>TOTAL EXPENSES</t>
    </r>
  </si>
  <si>
    <r>
      <t xml:space="preserve">CỘNG (D)
</t>
    </r>
    <r>
      <rPr>
        <b/>
        <i/>
        <sz val="10"/>
        <rFont val="Arial"/>
        <family val="2"/>
      </rPr>
      <t xml:space="preserve">TOTAL (D) </t>
    </r>
  </si>
  <si>
    <r>
      <t xml:space="preserve">Tiền dầu chạy máy phát điện
</t>
    </r>
    <r>
      <rPr>
        <i/>
        <sz val="10"/>
        <rFont val="Arial"/>
        <family val="2"/>
      </rPr>
      <t>Oil Diesel for generator</t>
    </r>
  </si>
  <si>
    <t>D3</t>
  </si>
  <si>
    <r>
      <t xml:space="preserve">Tiền điện
</t>
    </r>
    <r>
      <rPr>
        <i/>
        <sz val="10"/>
        <rFont val="Arial"/>
        <family val="2"/>
      </rPr>
      <t>Electricity</t>
    </r>
  </si>
  <si>
    <t>D2</t>
  </si>
  <si>
    <r>
      <t xml:space="preserve">Tiền nước căn hộ
</t>
    </r>
    <r>
      <rPr>
        <i/>
        <sz val="10"/>
        <color theme="8" tint="-0.249977111117893"/>
        <rFont val="Arial"/>
        <family val="2"/>
      </rPr>
      <t>Water - Apartments</t>
    </r>
  </si>
  <si>
    <t>D1.2</t>
  </si>
  <si>
    <r>
      <t xml:space="preserve">Tiền nước công cộng
</t>
    </r>
    <r>
      <rPr>
        <i/>
        <sz val="10"/>
        <color theme="8" tint="-0.249977111117893"/>
        <rFont val="Arial"/>
        <family val="2"/>
      </rPr>
      <t>Water - Public area</t>
    </r>
  </si>
  <si>
    <t>D1.1</t>
  </si>
  <si>
    <r>
      <t xml:space="preserve">Tiền nước
</t>
    </r>
    <r>
      <rPr>
        <i/>
        <sz val="10"/>
        <rFont val="Arial"/>
        <family val="2"/>
      </rPr>
      <t>Water</t>
    </r>
  </si>
  <si>
    <t>D1</t>
  </si>
  <si>
    <t>D</t>
  </si>
  <si>
    <r>
      <t xml:space="preserve">CỘNG ©
</t>
    </r>
    <r>
      <rPr>
        <b/>
        <i/>
        <sz val="10"/>
        <rFont val="Arial"/>
        <family val="2"/>
      </rPr>
      <t>TOTAL (C)</t>
    </r>
    <r>
      <rPr>
        <b/>
        <sz val="10"/>
        <rFont val="Arial"/>
        <family val="2"/>
      </rPr>
      <t xml:space="preserve"> </t>
    </r>
  </si>
  <si>
    <r>
      <t xml:space="preserve">Các chi phí bảo trì khác
</t>
    </r>
    <r>
      <rPr>
        <i/>
        <sz val="10"/>
        <rFont val="Arial"/>
        <family val="2"/>
      </rPr>
      <t>Others</t>
    </r>
  </si>
  <si>
    <t>C13</t>
  </si>
  <si>
    <r>
      <t xml:space="preserve">CP cấp giấy chứng nhận
</t>
    </r>
    <r>
      <rPr>
        <i/>
        <sz val="10"/>
        <rFont val="Arial"/>
        <family val="2"/>
      </rPr>
      <t>Certificate</t>
    </r>
  </si>
  <si>
    <t>C18</t>
  </si>
  <si>
    <r>
      <t xml:space="preserve">CP sửa chữa, thay mới tiện tích công cộng
</t>
    </r>
    <r>
      <rPr>
        <i/>
        <sz val="10"/>
        <rFont val="Arial"/>
        <family val="2"/>
      </rPr>
      <t>Public area facilities replacement / Enhencements</t>
    </r>
  </si>
  <si>
    <t>C17</t>
  </si>
  <si>
    <r>
      <t xml:space="preserve">CP trang thiết bị nội thất
</t>
    </r>
    <r>
      <rPr>
        <i/>
        <sz val="10"/>
        <rFont val="Arial"/>
        <family val="2"/>
      </rPr>
      <t>Furnitures</t>
    </r>
  </si>
  <si>
    <t>C16</t>
  </si>
  <si>
    <r>
      <t xml:space="preserve">CP ổ khóa, chìa khóa
</t>
    </r>
    <r>
      <rPr>
        <i/>
        <sz val="10"/>
        <rFont val="Arial"/>
        <family val="2"/>
      </rPr>
      <t>Locks/Keys</t>
    </r>
  </si>
  <si>
    <t>C15</t>
  </si>
  <si>
    <r>
      <t xml:space="preserve">CP hệ thống khẩn cấp
</t>
    </r>
    <r>
      <rPr>
        <i/>
        <sz val="10"/>
        <rFont val="Arial"/>
        <family val="2"/>
      </rPr>
      <t>Emergency system - Walkie-Talkie</t>
    </r>
  </si>
  <si>
    <t>C14</t>
  </si>
  <si>
    <r>
      <t xml:space="preserve">CP hệ thống MSB
</t>
    </r>
    <r>
      <rPr>
        <i/>
        <sz val="10"/>
        <color theme="8" tint="-0.249977111117893"/>
        <rFont val="Arial"/>
        <family val="2"/>
      </rPr>
      <t>MSB system (Preventive Maintenance)</t>
    </r>
  </si>
  <si>
    <t>C12.2</t>
  </si>
  <si>
    <t>C12.1</t>
  </si>
  <si>
    <r>
      <t xml:space="preserve">CP hệ thống MSB
</t>
    </r>
    <r>
      <rPr>
        <i/>
        <sz val="10"/>
        <rFont val="Arial"/>
        <family val="2"/>
      </rPr>
      <t>MSB system</t>
    </r>
  </si>
  <si>
    <t>C12</t>
  </si>
  <si>
    <r>
      <t xml:space="preserve">CP hệ thống BMS
</t>
    </r>
    <r>
      <rPr>
        <i/>
        <sz val="10"/>
        <color theme="8" tint="-0.249977111117893"/>
        <rFont val="Arial"/>
        <family val="2"/>
      </rPr>
      <t>BMS system (Spare parts replacement)</t>
    </r>
  </si>
  <si>
    <t>C10.2</t>
  </si>
  <si>
    <r>
      <t xml:space="preserve">CP hệ thống BMS
</t>
    </r>
    <r>
      <rPr>
        <i/>
        <sz val="10"/>
        <color theme="8" tint="-0.249977111117893"/>
        <rFont val="Arial"/>
        <family val="2"/>
      </rPr>
      <t>BMS system (Preventive Maintenance)</t>
    </r>
  </si>
  <si>
    <t>C10.1</t>
  </si>
  <si>
    <r>
      <t xml:space="preserve">CP hệ thống BMS
</t>
    </r>
    <r>
      <rPr>
        <i/>
        <sz val="10"/>
        <rFont val="Arial"/>
        <family val="2"/>
      </rPr>
      <t>BMS system</t>
    </r>
  </si>
  <si>
    <t>C10</t>
  </si>
  <si>
    <r>
      <t xml:space="preserve">CP phòng Gym &amp; phòng xông hơi
</t>
    </r>
    <r>
      <rPr>
        <i/>
        <sz val="10"/>
        <color theme="8" tint="-0.249977111117893"/>
        <rFont val="Arial"/>
        <family val="2"/>
      </rPr>
      <t>Gym &amp; Sauna (Spare parts replacement)</t>
    </r>
  </si>
  <si>
    <t>C11.2</t>
  </si>
  <si>
    <r>
      <t xml:space="preserve">CP phòng Gym &amp; phòng xông hơi
</t>
    </r>
    <r>
      <rPr>
        <i/>
        <sz val="10"/>
        <color theme="8" tint="-0.249977111117893"/>
        <rFont val="Arial"/>
        <family val="2"/>
      </rPr>
      <t>Gym &amp; Sauna (Preventive Maintenance)</t>
    </r>
  </si>
  <si>
    <t>C11.1</t>
  </si>
  <si>
    <r>
      <t xml:space="preserve">CP phòng Gym &amp; phòng xông hơi
</t>
    </r>
    <r>
      <rPr>
        <i/>
        <sz val="10"/>
        <rFont val="Arial"/>
        <family val="2"/>
      </rPr>
      <t>Gym &amp; Sauna</t>
    </r>
  </si>
  <si>
    <t>C11</t>
  </si>
  <si>
    <r>
      <t xml:space="preserve">Hệ thống điện, đèn
</t>
    </r>
    <r>
      <rPr>
        <i/>
        <sz val="10"/>
        <color theme="8" tint="-0.249977111117893"/>
        <rFont val="Arial"/>
        <family val="2"/>
      </rPr>
      <t>Electrical system (Spare parts replacement)</t>
    </r>
  </si>
  <si>
    <t>C9.2</t>
  </si>
  <si>
    <r>
      <t xml:space="preserve">Hệ thống điện, đèn
</t>
    </r>
    <r>
      <rPr>
        <i/>
        <sz val="10"/>
        <color theme="8" tint="-0.249977111117893"/>
        <rFont val="Arial"/>
        <family val="2"/>
      </rPr>
      <t>Electrical system (Preventive Maintenance)</t>
    </r>
  </si>
  <si>
    <t>C9.1</t>
  </si>
  <si>
    <r>
      <t xml:space="preserve">Hệ thống điện, đèn
</t>
    </r>
    <r>
      <rPr>
        <i/>
        <sz val="10"/>
        <rFont val="Arial"/>
        <family val="2"/>
      </rPr>
      <t>Electrical system</t>
    </r>
  </si>
  <si>
    <t>C9</t>
  </si>
  <si>
    <r>
      <t xml:space="preserve">CP hệ thống xử lý nước thải
</t>
    </r>
    <r>
      <rPr>
        <i/>
        <sz val="10"/>
        <color theme="8" tint="-0.249977111117893"/>
        <rFont val="Arial"/>
        <family val="2"/>
      </rPr>
      <t>Sewage Treatment Plant (Spare parts replacement)</t>
    </r>
  </si>
  <si>
    <t>C8.2</t>
  </si>
  <si>
    <r>
      <t xml:space="preserve">CP hệ thống xử lý nước thải
</t>
    </r>
    <r>
      <rPr>
        <i/>
        <sz val="10"/>
        <color theme="8" tint="-0.249977111117893"/>
        <rFont val="Arial"/>
        <family val="2"/>
      </rPr>
      <t>Sewage Treatment Plant (Preventive Maintenance)</t>
    </r>
  </si>
  <si>
    <t>C8.1</t>
  </si>
  <si>
    <r>
      <t xml:space="preserve">CP hệ thống xử lý nước thải
</t>
    </r>
    <r>
      <rPr>
        <i/>
        <sz val="10"/>
        <rFont val="Arial"/>
        <family val="2"/>
      </rPr>
      <t>Sewage Treatment Plant</t>
    </r>
  </si>
  <si>
    <t>C8</t>
  </si>
  <si>
    <r>
      <t xml:space="preserve">CP hồ bơi
</t>
    </r>
    <r>
      <rPr>
        <i/>
        <sz val="10"/>
        <rFont val="Arial"/>
        <family val="2"/>
      </rPr>
      <t>Swimming pool</t>
    </r>
  </si>
  <si>
    <t>C7</t>
  </si>
  <si>
    <r>
      <t xml:space="preserve">CP hệ thống bơm
</t>
    </r>
    <r>
      <rPr>
        <i/>
        <sz val="10"/>
        <rFont val="Arial"/>
        <family val="2"/>
      </rPr>
      <t>Pumping system</t>
    </r>
  </si>
  <si>
    <t>C6</t>
  </si>
  <si>
    <r>
      <t xml:space="preserve">CP hệ thống an ninh
</t>
    </r>
    <r>
      <rPr>
        <i/>
        <sz val="10"/>
        <rFont val="Arial"/>
        <family val="2"/>
      </rPr>
      <t>Security system</t>
    </r>
  </si>
  <si>
    <t>C5</t>
  </si>
  <si>
    <r>
      <t xml:space="preserve">CP hệ thống chữa cháy
</t>
    </r>
    <r>
      <rPr>
        <i/>
        <sz val="10"/>
        <color theme="8" tint="-0.249977111117893"/>
        <rFont val="Arial"/>
        <family val="2"/>
      </rPr>
      <t>Fire alarm system (Spare parts replacement)</t>
    </r>
  </si>
  <si>
    <t>C4.2</t>
  </si>
  <si>
    <r>
      <t xml:space="preserve">CP hệ thống chữa cháy
</t>
    </r>
    <r>
      <rPr>
        <i/>
        <sz val="10"/>
        <color theme="8" tint="-0.249977111117893"/>
        <rFont val="Arial"/>
        <family val="2"/>
      </rPr>
      <t>Fire alarm system (Preventive Maintenance)</t>
    </r>
  </si>
  <si>
    <t>C4.1</t>
  </si>
  <si>
    <r>
      <t xml:space="preserve">CP hệ thống chữa cháy
</t>
    </r>
    <r>
      <rPr>
        <i/>
        <sz val="10"/>
        <rFont val="Arial"/>
        <family val="2"/>
      </rPr>
      <t>Fire alarm system</t>
    </r>
  </si>
  <si>
    <t>C4</t>
  </si>
  <si>
    <r>
      <t xml:space="preserve">CP máy phát điện
</t>
    </r>
    <r>
      <rPr>
        <i/>
        <sz val="10"/>
        <color theme="8" tint="-0.249977111117893"/>
        <rFont val="Arial"/>
        <family val="2"/>
      </rPr>
      <t>Generators (Spare parts replacement)</t>
    </r>
  </si>
  <si>
    <t>C3.2</t>
  </si>
  <si>
    <r>
      <t xml:space="preserve">CP máy phát điện
</t>
    </r>
    <r>
      <rPr>
        <i/>
        <sz val="10"/>
        <color theme="8" tint="-0.249977111117893"/>
        <rFont val="Arial"/>
        <family val="2"/>
      </rPr>
      <t>Generators (Preventive Maintenance)</t>
    </r>
  </si>
  <si>
    <t>C3.1</t>
  </si>
  <si>
    <r>
      <t xml:space="preserve">CP máy phát điện
</t>
    </r>
    <r>
      <rPr>
        <i/>
        <sz val="10"/>
        <rFont val="Arial"/>
        <family val="2"/>
      </rPr>
      <t>Generators</t>
    </r>
  </si>
  <si>
    <t>C3</t>
  </si>
  <si>
    <r>
      <t xml:space="preserve">CP thang máy
</t>
    </r>
    <r>
      <rPr>
        <i/>
        <sz val="10"/>
        <rFont val="Arial"/>
        <family val="2"/>
      </rPr>
      <t>Lifts (include spare part replacement)</t>
    </r>
  </si>
  <si>
    <t>C2</t>
  </si>
  <si>
    <r>
      <t xml:space="preserve">CP hệ thống máy lạnh
</t>
    </r>
    <r>
      <rPr>
        <i/>
        <sz val="10"/>
        <rFont val="Arial"/>
        <family val="2"/>
      </rPr>
      <t>VRV / Air-conditoners</t>
    </r>
  </si>
  <si>
    <t>C1</t>
  </si>
  <si>
    <r>
      <t xml:space="preserve">CHI PHÍ SỬA CHỮA, BẢO TRÌ HỆ THỐNG TÒA NHÀ
</t>
    </r>
    <r>
      <rPr>
        <b/>
        <i/>
        <sz val="10"/>
        <color rgb="FF00B050"/>
        <rFont val="Arial"/>
        <family val="2"/>
      </rPr>
      <t>BUILDING SYSTEM / FACILITIES / REPAIR &amp; MAINTENANCE</t>
    </r>
  </si>
  <si>
    <t>C</t>
  </si>
  <si>
    <r>
      <t xml:space="preserve">CỘNG (B)
</t>
    </r>
    <r>
      <rPr>
        <b/>
        <i/>
        <sz val="10"/>
        <rFont val="Arial"/>
        <family val="2"/>
      </rPr>
      <t>TOTAL (B)</t>
    </r>
  </si>
  <si>
    <r>
      <t xml:space="preserve">CP giặt khăn
</t>
    </r>
    <r>
      <rPr>
        <i/>
        <sz val="10"/>
        <rFont val="Arial"/>
        <family val="2"/>
      </rPr>
      <t>Laundry services</t>
    </r>
  </si>
  <si>
    <t>B15</t>
  </si>
  <si>
    <r>
      <t xml:space="preserve">CP thuê xe buýt
</t>
    </r>
    <r>
      <rPr>
        <i/>
        <sz val="10"/>
        <rFont val="Arial"/>
        <family val="2"/>
      </rPr>
      <t>Shuttle bus</t>
    </r>
  </si>
  <si>
    <t>B9</t>
  </si>
  <si>
    <t>B14</t>
  </si>
  <si>
    <r>
      <t xml:space="preserve">Bảo hiểm rủi ro tài sản (KV công cộng) + Cháy nổ
</t>
    </r>
    <r>
      <rPr>
        <i/>
        <sz val="10"/>
        <rFont val="Arial"/>
        <family val="2"/>
      </rPr>
      <t>Insurance for public area + compulsory fire and explosive</t>
    </r>
  </si>
  <si>
    <t>B10</t>
  </si>
  <si>
    <t>B13</t>
  </si>
  <si>
    <t>B7</t>
  </si>
  <si>
    <r>
      <t xml:space="preserve">CP cây, hoa trang trí
</t>
    </r>
    <r>
      <rPr>
        <i/>
        <sz val="10"/>
        <rFont val="Arial"/>
        <family val="2"/>
      </rPr>
      <t>Display flower / trees</t>
    </r>
  </si>
  <si>
    <t>B6</t>
  </si>
  <si>
    <r>
      <t xml:space="preserve">CP cải tạo cảnh quan
</t>
    </r>
    <r>
      <rPr>
        <i/>
        <sz val="10"/>
        <color theme="8" tint="-0.249977111117893"/>
        <rFont val="Arial"/>
        <family val="2"/>
      </rPr>
      <t>Maintenance Landscaping</t>
    </r>
  </si>
  <si>
    <t>B5.2</t>
  </si>
  <si>
    <r>
      <t xml:space="preserve">CP chăm sóc cảnh quan
</t>
    </r>
    <r>
      <rPr>
        <i/>
        <sz val="10"/>
        <color theme="8" tint="-0.249977111117893"/>
        <rFont val="Arial"/>
        <family val="2"/>
      </rPr>
      <t xml:space="preserve">Landscaping </t>
    </r>
  </si>
  <si>
    <t>B5.1</t>
  </si>
  <si>
    <r>
      <t xml:space="preserve">CP chăm sóc cảnh quan
</t>
    </r>
    <r>
      <rPr>
        <i/>
        <sz val="10"/>
        <rFont val="Arial"/>
        <family val="2"/>
      </rPr>
      <t xml:space="preserve">Landscaping </t>
    </r>
  </si>
  <si>
    <t>B5</t>
  </si>
  <si>
    <r>
      <t xml:space="preserve">CP đổ rác thải nguy hại
</t>
    </r>
    <r>
      <rPr>
        <i/>
        <sz val="10"/>
        <rFont val="Arial"/>
        <family val="2"/>
      </rPr>
      <t>Toxic garbage removal and disposal</t>
    </r>
  </si>
  <si>
    <t>B12</t>
  </si>
  <si>
    <r>
      <t xml:space="preserve">CP đổ rác
</t>
    </r>
    <r>
      <rPr>
        <i/>
        <sz val="10"/>
        <rFont val="Arial"/>
        <family val="2"/>
      </rPr>
      <t>Garbage removal and disposal</t>
    </r>
  </si>
  <si>
    <t>B4</t>
  </si>
  <si>
    <r>
      <t xml:space="preserve">CP diệt côn trùng
</t>
    </r>
    <r>
      <rPr>
        <i/>
        <sz val="10"/>
        <color theme="8" tint="-0.249977111117893"/>
        <rFont val="Arial"/>
        <family val="2"/>
      </rPr>
      <t>Pest control (special control: spider)</t>
    </r>
  </si>
  <si>
    <t>B3.2</t>
  </si>
  <si>
    <r>
      <t xml:space="preserve">CP diệt côn trùng
</t>
    </r>
    <r>
      <rPr>
        <i/>
        <sz val="10"/>
        <color theme="8" tint="-0.249977111117893"/>
        <rFont val="Arial"/>
        <family val="2"/>
      </rPr>
      <t>Pest control (ant, mosquito, cockroach, ...)</t>
    </r>
  </si>
  <si>
    <t>B3.1</t>
  </si>
  <si>
    <r>
      <t xml:space="preserve">CP diệt côn trùng
</t>
    </r>
    <r>
      <rPr>
        <i/>
        <sz val="10"/>
        <rFont val="Arial"/>
        <family val="2"/>
      </rPr>
      <t>Pest control (for public area only)</t>
    </r>
  </si>
  <si>
    <t>B3</t>
  </si>
  <si>
    <r>
      <t xml:space="preserve">CP vệ sinh sàn đá
</t>
    </r>
    <r>
      <rPr>
        <i/>
        <sz val="10"/>
        <rFont val="Arial"/>
        <family val="2"/>
      </rPr>
      <t>Special cleaning: marble</t>
    </r>
  </si>
  <si>
    <t>B16</t>
  </si>
  <si>
    <r>
      <t xml:space="preserve">CP vệ sinh mặt ngoài 5 tháp &amp; clubhouse 1 năm 1 lần
</t>
    </r>
    <r>
      <rPr>
        <i/>
        <sz val="10"/>
        <rFont val="Arial"/>
        <family val="2"/>
      </rPr>
      <t>Façade cleanning 05 Towers and Clubhouse</t>
    </r>
  </si>
  <si>
    <t>B11</t>
  </si>
  <si>
    <r>
      <t xml:space="preserve">Vật tư nhà vệ sinh, phòng xông hơi, … 
</t>
    </r>
    <r>
      <rPr>
        <i/>
        <sz val="10"/>
        <rFont val="Arial"/>
        <family val="2"/>
      </rPr>
      <t>Toiletries &amp; Supply Materials</t>
    </r>
  </si>
  <si>
    <t>B8</t>
  </si>
  <si>
    <r>
      <t xml:space="preserve">CP thuê công ty vệ sinh
</t>
    </r>
    <r>
      <rPr>
        <i/>
        <sz val="10"/>
        <rFont val="Arial"/>
        <family val="2"/>
      </rPr>
      <t>Cleaning</t>
    </r>
  </si>
  <si>
    <t>B2</t>
  </si>
  <si>
    <r>
      <t xml:space="preserve">CP bảo vệ
</t>
    </r>
    <r>
      <rPr>
        <i/>
        <sz val="10"/>
        <rFont val="Arial"/>
        <family val="2"/>
      </rPr>
      <t>Security</t>
    </r>
  </si>
  <si>
    <t>B1</t>
  </si>
  <si>
    <t>B</t>
  </si>
  <si>
    <r>
      <t xml:space="preserve">CỘNG (A)
</t>
    </r>
    <r>
      <rPr>
        <b/>
        <i/>
        <sz val="10"/>
        <rFont val="Arial"/>
        <family val="2"/>
      </rPr>
      <t>TOTAL (A)</t>
    </r>
  </si>
  <si>
    <r>
      <t xml:space="preserve">CP họp BQT &amp; CP khác
</t>
    </r>
    <r>
      <rPr>
        <i/>
        <sz val="10"/>
        <rFont val="Arial"/>
        <family val="2"/>
      </rPr>
      <t>Others &amp; BOC meeting</t>
    </r>
  </si>
  <si>
    <t>A10</t>
  </si>
  <si>
    <r>
      <t xml:space="preserve">CP in ngoài và mua mới công cụ
</t>
    </r>
    <r>
      <rPr>
        <i/>
        <sz val="10"/>
        <rFont val="Arial"/>
        <family val="2"/>
      </rPr>
      <t>Outside Printing &amp; additional supplies</t>
    </r>
  </si>
  <si>
    <t>A19</t>
  </si>
  <si>
    <r>
      <t xml:space="preserve">CP ngoại giao
</t>
    </r>
    <r>
      <rPr>
        <i/>
        <sz val="10"/>
        <rFont val="Arial"/>
        <family val="2"/>
      </rPr>
      <t>Donation and Social Relationship</t>
    </r>
  </si>
  <si>
    <t>A8</t>
  </si>
  <si>
    <r>
      <t xml:space="preserve">Nước uống
</t>
    </r>
    <r>
      <rPr>
        <i/>
        <sz val="10"/>
        <rFont val="Arial"/>
        <family val="2"/>
      </rPr>
      <t>Drinking Water for Gym, Engineering, MO</t>
    </r>
  </si>
  <si>
    <t>A7</t>
  </si>
  <si>
    <r>
      <t xml:space="preserve">CP thuê máy photo
</t>
    </r>
    <r>
      <rPr>
        <i/>
        <sz val="10"/>
        <rFont val="Arial"/>
        <family val="2"/>
      </rPr>
      <t>Photocopy rental</t>
    </r>
  </si>
  <si>
    <t>A17</t>
  </si>
  <si>
    <r>
      <t xml:space="preserve">CP gửi thư
</t>
    </r>
    <r>
      <rPr>
        <i/>
        <sz val="10"/>
        <rFont val="Arial"/>
        <family val="2"/>
      </rPr>
      <t>Postage Service</t>
    </r>
  </si>
  <si>
    <t>A16</t>
  </si>
  <si>
    <r>
      <t xml:space="preserve">Văn phòng phẩm
</t>
    </r>
    <r>
      <rPr>
        <i/>
        <sz val="10"/>
        <rFont val="Arial"/>
        <family val="2"/>
      </rPr>
      <t>Stationery</t>
    </r>
  </si>
  <si>
    <t>A6</t>
  </si>
  <si>
    <r>
      <t xml:space="preserve">CP mực in
</t>
    </r>
    <r>
      <rPr>
        <i/>
        <sz val="10"/>
        <rFont val="Arial"/>
        <family val="2"/>
      </rPr>
      <t>Printing ink</t>
    </r>
  </si>
  <si>
    <t>A15</t>
  </si>
  <si>
    <r>
      <t xml:space="preserve">Đặt báo
</t>
    </r>
    <r>
      <rPr>
        <i/>
        <sz val="10"/>
        <rFont val="Arial"/>
        <family val="2"/>
      </rPr>
      <t>Newspapers</t>
    </r>
  </si>
  <si>
    <t>A9</t>
  </si>
  <si>
    <r>
      <t xml:space="preserve">Internet và điện thoại
</t>
    </r>
    <r>
      <rPr>
        <i/>
        <sz val="10"/>
        <rFont val="Arial"/>
        <family val="2"/>
      </rPr>
      <t>Internet and land line</t>
    </r>
  </si>
  <si>
    <t>A5</t>
  </si>
  <si>
    <r>
      <t xml:space="preserve">CP bảo trì, sửa chữa đồ dùng VP
</t>
    </r>
    <r>
      <rPr>
        <i/>
        <sz val="10"/>
        <rFont val="Arial"/>
        <family val="2"/>
      </rPr>
      <t>Office equipment maintenance</t>
    </r>
  </si>
  <si>
    <t>A14</t>
  </si>
  <si>
    <r>
      <t xml:space="preserve">Chi phí đi chơi thường niên cho NV
</t>
    </r>
    <r>
      <rPr>
        <i/>
        <sz val="10"/>
        <rFont val="Arial"/>
        <family val="2"/>
      </rPr>
      <t>Outing for staff/Staff party one per year</t>
    </r>
  </si>
  <si>
    <t>A18</t>
  </si>
  <si>
    <r>
      <t xml:space="preserve">Đồng phục
</t>
    </r>
    <r>
      <rPr>
        <i/>
        <sz val="10"/>
        <rFont val="Arial"/>
        <family val="2"/>
      </rPr>
      <t>Uniforms</t>
    </r>
  </si>
  <si>
    <t>A13</t>
  </si>
  <si>
    <r>
      <t xml:space="preserve">Giải thưởng cho nhân viên
</t>
    </r>
    <r>
      <rPr>
        <i/>
        <sz val="10"/>
        <rFont val="Arial"/>
        <family val="2"/>
      </rPr>
      <t>Award for staff</t>
    </r>
  </si>
  <si>
    <t>A12</t>
  </si>
  <si>
    <r>
      <t xml:space="preserve">Đào tạo nhân viên
</t>
    </r>
    <r>
      <rPr>
        <i/>
        <sz val="10"/>
        <rFont val="Arial"/>
        <family val="2"/>
      </rPr>
      <t>Training Staff (refresh, renewal course by authorities)</t>
    </r>
  </si>
  <si>
    <t>A3</t>
  </si>
  <si>
    <r>
      <t xml:space="preserve">Phí ngân hàng
</t>
    </r>
    <r>
      <rPr>
        <i/>
        <sz val="10"/>
        <rFont val="Arial"/>
        <family val="2"/>
      </rPr>
      <t>Bank charge (Bank transfer fee)</t>
    </r>
  </si>
  <si>
    <t>A2</t>
  </si>
  <si>
    <r>
      <t xml:space="preserve">Phí kiểm toán
</t>
    </r>
    <r>
      <rPr>
        <i/>
        <sz val="10"/>
        <rFont val="Arial"/>
        <family val="2"/>
      </rPr>
      <t>Auditing fee</t>
    </r>
  </si>
  <si>
    <t>A4</t>
  </si>
  <si>
    <t>Accounting Fee</t>
  </si>
  <si>
    <t>Overtime charge</t>
  </si>
  <si>
    <t>VAT for MF &amp; staff cost</t>
  </si>
  <si>
    <t>Staff cost &amp; GM consultant</t>
  </si>
  <si>
    <t>GM Consultant</t>
  </si>
  <si>
    <t>Savills Management &amp; Admin cost</t>
  </si>
  <si>
    <r>
      <t xml:space="preserve">Phí quản lý Savills &amp; lương nhân viên
</t>
    </r>
    <r>
      <rPr>
        <i/>
        <sz val="10"/>
        <color theme="1"/>
        <rFont val="Arial"/>
        <family val="2"/>
      </rPr>
      <t>Management fee for Savills &amp; staff cost</t>
    </r>
  </si>
  <si>
    <t>64271+642101</t>
  </si>
  <si>
    <t>A1</t>
  </si>
  <si>
    <t>A</t>
  </si>
  <si>
    <t>II</t>
  </si>
  <si>
    <r>
      <t xml:space="preserve">TỔNG DOANH THU
</t>
    </r>
    <r>
      <rPr>
        <b/>
        <i/>
        <sz val="10"/>
        <rFont val="Arial"/>
        <family val="2"/>
      </rPr>
      <t>TOTAL REVENUES</t>
    </r>
  </si>
  <si>
    <r>
      <t xml:space="preserve">Tiền nước căn hộ
</t>
    </r>
    <r>
      <rPr>
        <i/>
        <sz val="10"/>
        <color theme="1"/>
        <rFont val="Arial"/>
        <family val="2"/>
      </rPr>
      <t>Water fee - Apartments</t>
    </r>
  </si>
  <si>
    <t>O4</t>
  </si>
  <si>
    <r>
      <t xml:space="preserve">Phí quảng cáo
</t>
    </r>
    <r>
      <rPr>
        <i/>
        <sz val="10"/>
        <color theme="1"/>
        <rFont val="Arial"/>
        <family val="2"/>
      </rPr>
      <t>Advertising</t>
    </r>
  </si>
  <si>
    <t>R15</t>
  </si>
  <si>
    <r>
      <t xml:space="preserve">Thu lại EVN tiền điện chạy máy phát điện
</t>
    </r>
    <r>
      <rPr>
        <i/>
        <sz val="10"/>
        <color theme="1"/>
        <rFont val="Arial"/>
        <family val="2"/>
      </rPr>
      <t>Reimbursement from EVN for electrical</t>
    </r>
  </si>
  <si>
    <t>R14</t>
  </si>
  <si>
    <r>
      <t xml:space="preserve">Thuê phòng MDF
</t>
    </r>
    <r>
      <rPr>
        <i/>
        <sz val="10"/>
        <color theme="1"/>
        <rFont val="Arial"/>
        <family val="2"/>
      </rPr>
      <t>Rental fee of MDF Room for 2 room</t>
    </r>
  </si>
  <si>
    <t>R13</t>
  </si>
  <si>
    <r>
      <t xml:space="preserve">Hoa hồng FPT, Viettel
</t>
    </r>
    <r>
      <rPr>
        <i/>
        <sz val="10"/>
        <color theme="1"/>
        <rFont val="Arial"/>
        <family val="2"/>
      </rPr>
      <t>Commission from FPT, Viettel</t>
    </r>
  </si>
  <si>
    <t>R12</t>
  </si>
  <si>
    <r>
      <t xml:space="preserve">Thu khác (tiền phạt, pin thẻ xe hơi, …)
</t>
    </r>
    <r>
      <rPr>
        <i/>
        <sz val="10"/>
        <color theme="1"/>
        <rFont val="Arial"/>
        <family val="2"/>
      </rPr>
      <t xml:space="preserve">Penalty fee, batteries for RFID, </t>
    </r>
  </si>
  <si>
    <t>R11</t>
  </si>
  <si>
    <r>
      <t xml:space="preserve">Phí đậu xe
</t>
    </r>
    <r>
      <rPr>
        <i/>
        <sz val="10"/>
        <color theme="1"/>
        <rFont val="Arial"/>
        <family val="2"/>
      </rPr>
      <t>Parking fee</t>
    </r>
  </si>
  <si>
    <t>R10</t>
  </si>
  <si>
    <r>
      <t xml:space="preserve">Thu tiền điện Viettel &amp; Interland
</t>
    </r>
    <r>
      <rPr>
        <i/>
        <sz val="10"/>
        <color theme="1"/>
        <rFont val="Arial"/>
        <family val="2"/>
      </rPr>
      <t>Reimbursement from Viettel and InterLand for electrical consumption</t>
    </r>
  </si>
  <si>
    <t>R9</t>
  </si>
  <si>
    <r>
      <t xml:space="preserve">Thu khác (Thẻ từ)
</t>
    </r>
    <r>
      <rPr>
        <i/>
        <sz val="10"/>
        <color theme="1"/>
        <rFont val="Arial"/>
        <family val="2"/>
      </rPr>
      <t>Other incomes (Proximity Card)</t>
    </r>
  </si>
  <si>
    <t>R8</t>
  </si>
  <si>
    <r>
      <t xml:space="preserve">Lãi tiền gửi ngân hàng
</t>
    </r>
    <r>
      <rPr>
        <i/>
        <sz val="10"/>
        <color theme="1"/>
        <rFont val="Arial"/>
        <family val="2"/>
      </rPr>
      <t>Bank interest deposit MF account</t>
    </r>
  </si>
  <si>
    <t>R7</t>
  </si>
  <si>
    <r>
      <t xml:space="preserve">Tiền thuê KV BBQ &amp; MPH
</t>
    </r>
    <r>
      <rPr>
        <i/>
        <sz val="10"/>
        <color theme="1"/>
        <rFont val="Arial"/>
        <family val="2"/>
      </rPr>
      <t>Rental fee of MPH and BBQ</t>
    </r>
  </si>
  <si>
    <t>51141, 51142</t>
  </si>
  <si>
    <t>R6</t>
  </si>
  <si>
    <r>
      <t xml:space="preserve">Xe buýt đưa đón cư dân
</t>
    </r>
    <r>
      <rPr>
        <i/>
        <sz val="10"/>
        <color theme="1"/>
        <rFont val="Arial"/>
        <family val="2"/>
      </rPr>
      <t>Shuttle bus</t>
    </r>
  </si>
  <si>
    <t>R5</t>
  </si>
  <si>
    <r>
      <t xml:space="preserve">Phí bến bãi taxi
</t>
    </r>
    <r>
      <rPr>
        <i/>
        <sz val="10"/>
        <color theme="1"/>
        <rFont val="Arial"/>
        <family val="2"/>
      </rPr>
      <t>Taxi parking fee</t>
    </r>
  </si>
  <si>
    <t>R4</t>
  </si>
  <si>
    <r>
      <t xml:space="preserve">Phí quản lý khu căn hộ dịch vụ
</t>
    </r>
    <r>
      <rPr>
        <i/>
        <sz val="10"/>
        <color theme="1"/>
        <rFont val="Arial"/>
        <family val="2"/>
      </rPr>
      <t>MF from Service Apartment &amp; Office</t>
    </r>
  </si>
  <si>
    <t>R3</t>
  </si>
  <si>
    <r>
      <t xml:space="preserve">Phí quản lý khu thương mại
</t>
    </r>
    <r>
      <rPr>
        <i/>
        <sz val="10"/>
        <color theme="1"/>
        <rFont val="Arial"/>
        <family val="2"/>
      </rPr>
      <t>MF from Retail &amp; P1 Parking</t>
    </r>
  </si>
  <si>
    <t>R2</t>
  </si>
  <si>
    <r>
      <t xml:space="preserve">Phí quản lý khu căn hộ
</t>
    </r>
    <r>
      <rPr>
        <i/>
        <sz val="10"/>
        <color theme="1"/>
        <rFont val="Arial"/>
        <family val="2"/>
      </rPr>
      <t xml:space="preserve">MF Residents </t>
    </r>
  </si>
  <si>
    <t>R1</t>
  </si>
  <si>
    <t>I</t>
  </si>
  <si>
    <r>
      <t xml:space="preserve">Tháng 12
</t>
    </r>
    <r>
      <rPr>
        <b/>
        <i/>
        <sz val="10"/>
        <rFont val="Arial"/>
        <family val="2"/>
      </rPr>
      <t>Dec</t>
    </r>
  </si>
  <si>
    <r>
      <t xml:space="preserve">Tháng 11
</t>
    </r>
    <r>
      <rPr>
        <b/>
        <i/>
        <sz val="10"/>
        <rFont val="Arial"/>
        <family val="2"/>
      </rPr>
      <t>Nov</t>
    </r>
  </si>
  <si>
    <r>
      <t xml:space="preserve">Tháng 10
</t>
    </r>
    <r>
      <rPr>
        <b/>
        <i/>
        <sz val="10"/>
        <rFont val="Arial"/>
        <family val="2"/>
      </rPr>
      <t>Oct</t>
    </r>
  </si>
  <si>
    <r>
      <t xml:space="preserve">Tháng 09
</t>
    </r>
    <r>
      <rPr>
        <b/>
        <i/>
        <sz val="10"/>
        <rFont val="Arial"/>
        <family val="2"/>
      </rPr>
      <t>Sep</t>
    </r>
  </si>
  <si>
    <r>
      <t xml:space="preserve">Tháng 08
</t>
    </r>
    <r>
      <rPr>
        <b/>
        <i/>
        <sz val="10"/>
        <rFont val="Arial"/>
        <family val="2"/>
      </rPr>
      <t>Aug</t>
    </r>
  </si>
  <si>
    <r>
      <t xml:space="preserve">Tháng 07
</t>
    </r>
    <r>
      <rPr>
        <b/>
        <i/>
        <sz val="10"/>
        <rFont val="Arial"/>
        <family val="2"/>
      </rPr>
      <t>Jul</t>
    </r>
  </si>
  <si>
    <r>
      <t xml:space="preserve">Tháng 06
</t>
    </r>
    <r>
      <rPr>
        <b/>
        <i/>
        <sz val="10"/>
        <rFont val="Arial"/>
        <family val="2"/>
      </rPr>
      <t>Jun</t>
    </r>
  </si>
  <si>
    <r>
      <t xml:space="preserve">Tháng 05
</t>
    </r>
    <r>
      <rPr>
        <b/>
        <i/>
        <sz val="10"/>
        <rFont val="Arial"/>
        <family val="2"/>
      </rPr>
      <t>May</t>
    </r>
  </si>
  <si>
    <r>
      <t xml:space="preserve">Tháng 04
</t>
    </r>
    <r>
      <rPr>
        <b/>
        <i/>
        <sz val="10"/>
        <rFont val="Arial"/>
        <family val="2"/>
      </rPr>
      <t>Apr</t>
    </r>
  </si>
  <si>
    <r>
      <t xml:space="preserve">Tháng 03
</t>
    </r>
    <r>
      <rPr>
        <b/>
        <i/>
        <sz val="10"/>
        <rFont val="Arial"/>
        <family val="2"/>
      </rPr>
      <t>Mar</t>
    </r>
  </si>
  <si>
    <r>
      <t xml:space="preserve">Tháng 02
</t>
    </r>
    <r>
      <rPr>
        <b/>
        <i/>
        <sz val="10"/>
        <rFont val="Arial"/>
        <family val="2"/>
      </rPr>
      <t>Feb</t>
    </r>
  </si>
  <si>
    <r>
      <t xml:space="preserve">Tháng 01
</t>
    </r>
    <r>
      <rPr>
        <b/>
        <i/>
        <sz val="10"/>
        <rFont val="Arial"/>
        <family val="2"/>
      </rPr>
      <t>Jan</t>
    </r>
  </si>
  <si>
    <r>
      <t xml:space="preserve">Tháng
</t>
    </r>
    <r>
      <rPr>
        <b/>
        <i/>
        <sz val="10"/>
        <rFont val="Arial"/>
        <family val="2"/>
      </rPr>
      <t>Monthly</t>
    </r>
    <r>
      <rPr>
        <b/>
        <sz val="10"/>
        <rFont val="Arial"/>
        <family val="2"/>
      </rPr>
      <t xml:space="preserve"> </t>
    </r>
  </si>
  <si>
    <r>
      <t xml:space="preserve">Nội dung
</t>
    </r>
    <r>
      <rPr>
        <b/>
        <i/>
        <sz val="10"/>
        <color theme="1"/>
        <rFont val="Arial"/>
        <family val="2"/>
      </rPr>
      <t>Description</t>
    </r>
  </si>
  <si>
    <r>
      <t xml:space="preserve">Mã
</t>
    </r>
    <r>
      <rPr>
        <b/>
        <i/>
        <sz val="10"/>
        <color theme="1"/>
        <rFont val="Arial"/>
        <family val="2"/>
      </rPr>
      <t>Code</t>
    </r>
  </si>
  <si>
    <t>5118+7111+7112</t>
  </si>
  <si>
    <t>TOWER 1</t>
  </si>
  <si>
    <t>TOTAL</t>
  </si>
  <si>
    <t>TOWER 2</t>
  </si>
  <si>
    <t>TOWER 3</t>
  </si>
  <si>
    <t>TOWER 4</t>
  </si>
  <si>
    <t>TOWER 5</t>
  </si>
  <si>
    <t>Office</t>
  </si>
  <si>
    <t>Retail</t>
  </si>
  <si>
    <t>Service Appartment</t>
  </si>
  <si>
    <t>P1 Parking Area</t>
  </si>
  <si>
    <r>
      <t xml:space="preserve">Phí quản lý khu căn hộ
</t>
    </r>
    <r>
      <rPr>
        <b/>
        <i/>
        <sz val="10"/>
        <color theme="1"/>
        <rFont val="Arial"/>
        <family val="2"/>
      </rPr>
      <t>MF Residents</t>
    </r>
  </si>
  <si>
    <r>
      <t xml:space="preserve">Units
</t>
    </r>
    <r>
      <rPr>
        <i/>
        <sz val="10"/>
        <color theme="1"/>
        <rFont val="Arial"/>
        <family val="2"/>
      </rPr>
      <t>So Căn Hộ</t>
    </r>
  </si>
  <si>
    <r>
      <t xml:space="preserve">Area
</t>
    </r>
    <r>
      <rPr>
        <i/>
        <sz val="10"/>
        <color theme="1"/>
        <rFont val="Arial"/>
        <family val="2"/>
      </rPr>
      <t>Diện tích</t>
    </r>
  </si>
  <si>
    <r>
      <t xml:space="preserve">Price/m2
</t>
    </r>
    <r>
      <rPr>
        <i/>
        <sz val="10"/>
        <color theme="1"/>
        <rFont val="Arial"/>
        <family val="2"/>
      </rPr>
      <t>Giá/ m2</t>
    </r>
  </si>
  <si>
    <r>
      <t xml:space="preserve">Share cost with CLV
</t>
    </r>
    <r>
      <rPr>
        <i/>
        <sz val="10"/>
        <color theme="1"/>
        <rFont val="Arial"/>
        <family val="2"/>
      </rPr>
      <t>Phân bổ chi phí với CLV</t>
    </r>
  </si>
  <si>
    <r>
      <t xml:space="preserve">Reveune
</t>
    </r>
    <r>
      <rPr>
        <i/>
        <sz val="10"/>
        <color theme="1"/>
        <rFont val="Arial"/>
        <family val="2"/>
      </rPr>
      <t>Doanh thu</t>
    </r>
  </si>
  <si>
    <r>
      <t xml:space="preserve">Price/month
</t>
    </r>
    <r>
      <rPr>
        <i/>
        <sz val="10"/>
        <color theme="1"/>
        <rFont val="Arial"/>
        <family val="2"/>
      </rPr>
      <t>Giá/ tháng</t>
    </r>
  </si>
  <si>
    <r>
      <t xml:space="preserve">CP tổ chức HNNCC Hàng Năm / </t>
    </r>
    <r>
      <rPr>
        <i/>
        <sz val="10"/>
        <rFont val="Arial"/>
        <family val="2"/>
      </rPr>
      <t>Annual General Meeting</t>
    </r>
  </si>
  <si>
    <r>
      <t xml:space="preserve">Bảo hiểm trách nhiệm công cộng 
</t>
    </r>
    <r>
      <rPr>
        <i/>
        <sz val="10"/>
        <rFont val="Arial"/>
        <family val="2"/>
      </rPr>
      <t xml:space="preserve">Public liability insurance </t>
    </r>
  </si>
  <si>
    <t>MASTER BUDGET 2018- Expenditure From Management Fee</t>
  </si>
  <si>
    <t>ITEMS
NỘI DUNG</t>
  </si>
  <si>
    <t>Budget 2018
Dự toán 2018</t>
  </si>
  <si>
    <t>Miscellanenous (Capacitors,Belts, ball bearings, motor-replacement...)</t>
  </si>
  <si>
    <t>04 Batteries 12V-200AH (Generator #1)</t>
  </si>
  <si>
    <t>Replacement for generator 2,3 (last changed 2016)</t>
  </si>
  <si>
    <t>01 Battery Auto Charger (24V-30A)</t>
  </si>
  <si>
    <t>Replacement for generator 1 or 3</t>
  </si>
  <si>
    <t>Miscellanenous (Belts...)</t>
  </si>
  <si>
    <t>Fire drill</t>
  </si>
  <si>
    <t>Required by Fire Dept: 01 time per year.</t>
  </si>
  <si>
    <t>Miscellanenous (Bateries; Break-glassed; Exit/ Emergency lamps...)</t>
  </si>
  <si>
    <t>Miscellanenous (Adaptors, Camera, Proximity Cards)</t>
  </si>
  <si>
    <t>Miscellanenous (Gaskets. Rubber Joints, Relays,CBs,...)</t>
  </si>
  <si>
    <t>1</t>
  </si>
  <si>
    <t>Chemical for swimming pool (Chlorine, Atrine, Soda, PAC…)</t>
  </si>
  <si>
    <t>2</t>
  </si>
  <si>
    <t>Miscellanenous (Test Kit, lamps, valves...)</t>
  </si>
  <si>
    <t>Miscellanenous (Batteries for UPSs; CBs, Capacitors, Relays, electric cables,lamps...)</t>
  </si>
  <si>
    <t>Miscellanenous (CB, Relays...)</t>
  </si>
  <si>
    <t>Miscellanenous (Modulators, CB, Relays...)</t>
  </si>
  <si>
    <t>Miscellanenous (Batteries, rod antennas of Walikie talkies...)</t>
  </si>
  <si>
    <t>Emergency door locks, keys &amp; master keys replacement</t>
  </si>
  <si>
    <t>replacement for loss or broken</t>
  </si>
  <si>
    <t>Touch up 600m2</t>
  </si>
  <si>
    <t>Door hinges ,closer replacement (Podium)</t>
  </si>
  <si>
    <t>Miscellanenous (Silicon glues, skim coat powders, sand-papers, paints, ciment powders…)</t>
  </si>
  <si>
    <t>Estimates 1 milion VND/ month</t>
  </si>
  <si>
    <t>Enviromental report contract (half yearly)</t>
  </si>
  <si>
    <t xml:space="preserve">Technical safety inspection for elevators </t>
  </si>
  <si>
    <t>Valid till 2018</t>
  </si>
  <si>
    <t>Swimming pool, STP water test (quarterly)</t>
  </si>
  <si>
    <t>Domestic water test for T1,T2,T3,T4,T5 (monthly)</t>
  </si>
  <si>
    <t>Lightning test license</t>
  </si>
  <si>
    <t>Walkie-Talkie radio license (Yearly)</t>
  </si>
  <si>
    <t>One for Repeater, one for walkie takies (Follow the Law).</t>
  </si>
  <si>
    <t>Engineering dept. tools (ladders, screw drivers, wrenches, driller, VOM,…)</t>
  </si>
  <si>
    <t>Miscellanenous</t>
  </si>
  <si>
    <t>Prepared by: Vista Management Office</t>
  </si>
  <si>
    <t>Approved by BOC</t>
  </si>
  <si>
    <t>THE VISTA ANPHU</t>
  </si>
  <si>
    <t>MAINTENANCE COST FOR 2018 (Takes from Sinking Fund)/ DỰ TOÁN QUỸ BẢO TRÌ 2018</t>
  </si>
  <si>
    <t>ITEMS
DIỄN GiẢI</t>
  </si>
  <si>
    <t>BUDGET 2018
DỰ TOÁN 2018</t>
  </si>
  <si>
    <t>Note/ Ghi chú</t>
  </si>
  <si>
    <t>B. BUILDING SYSTEM/ FACILITIES REPAIR &amp; MAINTENANCE
CHI PHÍ SỬA CHỮA BẢO TRÌ HỆ THỐNG TÒA NHÀ</t>
  </si>
  <si>
    <t>Preventive Maintenance contract- Comprehensive C Type
Bảo trì dự phòng loại bao hầu hết vật tư</t>
  </si>
  <si>
    <t>BOC just agreed to reverse back from A type to C type maitenance. Probably Schindler will increase around 7-&gt; 8% maintenance cost in 2017</t>
  </si>
  <si>
    <t>Spare parts for replacement rope of 18 lifts</t>
  </si>
  <si>
    <t xml:space="preserve"> As PROJECTED TRACTION ROPES REPLACEMENT of Schindler</t>
  </si>
  <si>
    <t>Preventive Maintenance contract/ Bảo trì dự phòng</t>
  </si>
  <si>
    <t>Security System (CCTV &amp; Acces Control ) / Hệ thống an ninh</t>
  </si>
  <si>
    <t>Install 15 new Cameras for Passenger Lifts
 Lắp đặt 15 camera mới cho thang khách</t>
  </si>
  <si>
    <t>Total: 15 Cameras (3 cameras/block)</t>
  </si>
  <si>
    <t>New installation 02 camera in Gym room
 Lắp đặt 2 camera cho phòng Gym</t>
  </si>
  <si>
    <t>New installation 30 camera in parking area
Lắp đặt mới 30 camera bãi xe</t>
  </si>
  <si>
    <t>30 cameras and 2 recorder</t>
  </si>
  <si>
    <t>Intercom replacement (Podium)
Thay mới intercom</t>
  </si>
  <si>
    <t>life span 05 years (total 40 units)</t>
  </si>
  <si>
    <t>Access card system
hệ thống thẻ từ an ninh</t>
  </si>
  <si>
    <t xml:space="preserve">Upgrade PA system: more text message and more speaker to upper floors (from GF-RF)
Nâng cấp hệ thống phát thanh công cộng </t>
  </si>
  <si>
    <t>As required by Fire Police authorized Department.</t>
  </si>
  <si>
    <t>Replaced 21 camera lens in 2016 and 10 camera lens in the year 2017</t>
  </si>
  <si>
    <t>Plans to replace 02 CCU in 2018</t>
  </si>
  <si>
    <t>Plans to replace 5 out of order speakers in 2018</t>
  </si>
  <si>
    <t>Plans to replace 2 out of order monitor  in 2018</t>
  </si>
  <si>
    <t>Pumping system/ Hệ thống bơm</t>
  </si>
  <si>
    <t>As Dai Phong's quotation (Salmson) DV-QVN-08-16 on 02 Feb 2016</t>
  </si>
  <si>
    <t xml:space="preserve">Filters replacement (Filtration system T5) / Thay lõi lọc </t>
  </si>
  <si>
    <t xml:space="preserve">Replace filtration tanks of those pond &amp; fountains were cracked. </t>
  </si>
  <si>
    <t>Dosing 03 pumps replacement/ Thay mới 3 bơm châm hóa chất</t>
  </si>
  <si>
    <t>lifespan 02 years as Manufacturer's notice (last changed 11/02/11)</t>
  </si>
  <si>
    <t>Chemical control panel replacement/ Thay mới bảng điều khiển hóa chất</t>
  </si>
  <si>
    <t>Sealer to protect wooden floors / Lớp tráng bảo vệ sàn gỗ</t>
  </si>
  <si>
    <t>Keep Techwood in good condition - 600m2</t>
  </si>
  <si>
    <t>lifespan 04 years as Manufacturer's notice (last changed in 08/2011)</t>
  </si>
  <si>
    <t>Plans to replace 1 out of order one in 2017 (Lifespan 04 years as Manufacturer's notice (last changed in 6/2012)</t>
  </si>
  <si>
    <t>Plans to replace 2 pumps in 2017. Lifespan sand filter pump 6 years as Manufacturer's notice</t>
  </si>
  <si>
    <t xml:space="preserve"> 2 flexibale hoses, 1 brush,1 leaf rake</t>
  </si>
  <si>
    <t>lifespan 06 months as Manufacturer's notice (last changed in 10/2015)</t>
  </si>
  <si>
    <t>lifespan one way valve 02 years as Manufacturer's notice (03 units changed in 09/2015)</t>
  </si>
  <si>
    <t>Sewage Treatment Plant &amp; Drainage systems / Hệ thống xử lý nước thải&amp; thoát nước.</t>
  </si>
  <si>
    <t>Preventive Maintenance contract / Bảo trì dự phòng</t>
  </si>
  <si>
    <t>Renovation STP/ Cải tạo và nâng cấp Trạm XLNT</t>
  </si>
  <si>
    <t>Improvement the system: aeration plate, control panel…</t>
  </si>
  <si>
    <t>Slugde suction &amp; disposal for STP and septic-tanks</t>
  </si>
  <si>
    <t>20 million VND for STP; 20 million VND for septic-tanks</t>
  </si>
  <si>
    <t>Chemical for waste water treatment (Clo, Javel) / Nước javel khử trùng</t>
  </si>
  <si>
    <t>Around 550 kg / month</t>
  </si>
  <si>
    <t>Enzyme, Probiotics for waste water treatment / Men vi sinh các loại</t>
  </si>
  <si>
    <t>CO2, AB powder Fire extinguishers recharge</t>
  </si>
  <si>
    <t>Plans to replace 20 smoke detectors ,10 heat detectors, 7  Modulators per year.</t>
  </si>
  <si>
    <t>2 gas cylinders</t>
  </si>
  <si>
    <t>3</t>
  </si>
  <si>
    <t>Chung Tin co. quotation</t>
  </si>
  <si>
    <t xml:space="preserve"> Bus Way scan contract (yearly) </t>
  </si>
  <si>
    <t>Tam Phat co. quotation</t>
  </si>
  <si>
    <t xml:space="preserve"> Spare parts for replacement/ Phụ tùng thay thế </t>
  </si>
  <si>
    <t xml:space="preserve"> Marterials replacement (light bulbs, ballasts,…) </t>
  </si>
  <si>
    <t>LED lights for public corridor</t>
  </si>
  <si>
    <t xml:space="preserve"> MCCB replacement </t>
  </si>
  <si>
    <t>Gym equipment mainternance contract</t>
  </si>
  <si>
    <t>Equipment replacement (spare parts, water taps, flexible pipes, resistors…)</t>
  </si>
  <si>
    <t>By Anh Nguyen Contractor</t>
  </si>
  <si>
    <t xml:space="preserve"> MSB maintenance contract (yearly) </t>
  </si>
  <si>
    <t xml:space="preserve"> Tap off maintenance (2 years/time) </t>
  </si>
  <si>
    <t xml:space="preserve">Around 60 sets, most of them needs to be replaced in the year 2017. </t>
  </si>
  <si>
    <t>Around 300 sets . Most of them need to be replaced rechargeable batteries and lamp-bulbs</t>
  </si>
  <si>
    <t>Touch up 250m2</t>
  </si>
  <si>
    <t>16. Public area facilities replacement / Enhancements
 Chi phí thay mới trang thiết bị công cộng</t>
  </si>
  <si>
    <t>Carpet 3M for lift lobby 05 Tower, Reception, GF.
Mua thảm 3M cho sảnh 5 tháp, lễ tân, tầng G</t>
  </si>
  <si>
    <t>touch up 500m</t>
  </si>
  <si>
    <t>Build a fence for CDU protection/ Xây dựng hàng rào bảo vệ hệ thống máy lạnh</t>
  </si>
  <si>
    <t>Internal painting (corridors)/ Sơn bên trong hành lang</t>
  </si>
  <si>
    <t>Tennis court net (tear and wear)/ Lưới Tennis</t>
  </si>
  <si>
    <t>Floor repaint tennis court / Sàn sân Tennis</t>
  </si>
  <si>
    <t>240m2, 120,000 VND/m2</t>
  </si>
  <si>
    <t>Exterior painting/ Sơn mặt ngoài tòa nhà</t>
  </si>
  <si>
    <t>Wooden foor replacement (for water Cascade P3 and Sky garden T1-17F)/ Thay thế sàn gỗ mới cho khu vực P3 và Sky Garden T1-17th Floor</t>
  </si>
  <si>
    <t>Smart parking system (Cars, motorbikes)/ Hệ thống bãi xe thông minh</t>
  </si>
  <si>
    <t>Internal painting (podium P2,M,P3)/ Sơn bên trong khu vực chung P2, M, P3</t>
  </si>
  <si>
    <t>Thermal paint  for parking plots/ Sơn nhiệt cho ô đậu xe</t>
  </si>
  <si>
    <t>Construction repair/ sửa chữa nhỏ</t>
  </si>
  <si>
    <t>TOTAL EXPENSES/ TỔNG CHI PHÍ</t>
  </si>
  <si>
    <t>Vs</t>
  </si>
  <si>
    <t>THE VISTA</t>
  </si>
  <si>
    <t>APPROVED STAFF COST</t>
  </si>
  <si>
    <t>No.</t>
  </si>
  <si>
    <t>Employee 
Code</t>
  </si>
  <si>
    <t>Name</t>
  </si>
  <si>
    <t>Position</t>
  </si>
  <si>
    <t>Gross salary</t>
  </si>
  <si>
    <t xml:space="preserve">Responsibility Allowance
</t>
  </si>
  <si>
    <t>Total Gross Salary</t>
  </si>
  <si>
    <t xml:space="preserve">Average 13 month salary </t>
  </si>
  <si>
    <r>
      <t xml:space="preserve">SI, HI
</t>
    </r>
    <r>
      <rPr>
        <b/>
        <i/>
        <sz val="10"/>
        <rFont val="Arial"/>
        <family val="2"/>
        <charset val="163"/>
      </rPr>
      <t>(20.5%)</t>
    </r>
  </si>
  <si>
    <r>
      <t xml:space="preserve">UI
</t>
    </r>
    <r>
      <rPr>
        <b/>
        <i/>
        <sz val="10"/>
        <rFont val="Arial"/>
        <family val="2"/>
        <charset val="163"/>
      </rPr>
      <t>(1%)</t>
    </r>
  </si>
  <si>
    <r>
      <t xml:space="preserve">Annual Health Check
</t>
    </r>
    <r>
      <rPr>
        <b/>
        <i/>
        <sz val="10"/>
        <rFont val="Arial"/>
        <family val="2"/>
        <charset val="163"/>
      </rPr>
      <t>(Requested by labor law)</t>
    </r>
  </si>
  <si>
    <r>
      <t xml:space="preserve">Union fees
</t>
    </r>
    <r>
      <rPr>
        <b/>
        <i/>
        <sz val="10"/>
        <rFont val="Arial"/>
        <family val="2"/>
        <charset val="163"/>
      </rPr>
      <t>(2%)</t>
    </r>
  </si>
  <si>
    <r>
      <t xml:space="preserve">Accident Insurance
</t>
    </r>
    <r>
      <rPr>
        <b/>
        <i/>
        <sz val="10"/>
        <rFont val="Arial"/>
        <family val="2"/>
        <charset val="163"/>
      </rPr>
      <t>(JLT)</t>
    </r>
  </si>
  <si>
    <t>Phone Allowances
s</t>
  </si>
  <si>
    <t>Training fee
(1%)</t>
  </si>
  <si>
    <t>Team building</t>
  </si>
  <si>
    <r>
      <t xml:space="preserve">Total Gross salary / month
</t>
    </r>
    <r>
      <rPr>
        <b/>
        <i/>
        <sz val="10"/>
        <rFont val="Arial"/>
        <family val="2"/>
        <charset val="163"/>
      </rPr>
      <t>(included 13 salary &amp; all kind of insurances)</t>
    </r>
  </si>
  <si>
    <t>Bonus for public holiday 30/04 &amp; 01/05/2017</t>
  </si>
  <si>
    <t>Remark</t>
  </si>
  <si>
    <t>Starting</t>
  </si>
  <si>
    <t>Ending</t>
  </si>
  <si>
    <t>0123</t>
  </si>
  <si>
    <t>Technical supervisor</t>
  </si>
  <si>
    <t>0135</t>
  </si>
  <si>
    <t>Technical Team Leader</t>
  </si>
  <si>
    <t>0138</t>
  </si>
  <si>
    <t>Building Executive</t>
  </si>
  <si>
    <t>0143</t>
  </si>
  <si>
    <t>Handyman</t>
  </si>
  <si>
    <t>0210</t>
  </si>
  <si>
    <t>0218</t>
  </si>
  <si>
    <t>Acting Assistant to Chief Engineer</t>
  </si>
  <si>
    <t>0280</t>
  </si>
  <si>
    <t>0296</t>
  </si>
  <si>
    <t>0304</t>
  </si>
  <si>
    <t>0360</t>
  </si>
  <si>
    <t>Gym - Pool Team Leader</t>
  </si>
  <si>
    <t>0389</t>
  </si>
  <si>
    <t>Gym - Pool Attendant</t>
  </si>
  <si>
    <t>0677</t>
  </si>
  <si>
    <t>0780</t>
  </si>
  <si>
    <t>0884</t>
  </si>
  <si>
    <t>Senior Accountant</t>
  </si>
  <si>
    <t>1045</t>
  </si>
  <si>
    <t>Technician</t>
  </si>
  <si>
    <t>1146</t>
  </si>
  <si>
    <t>1150</t>
  </si>
  <si>
    <t>1301</t>
  </si>
  <si>
    <t>1377</t>
  </si>
  <si>
    <t>Purchasing Officer</t>
  </si>
  <si>
    <t>1540</t>
  </si>
  <si>
    <t>Pool - Attendant</t>
  </si>
  <si>
    <t>1643</t>
  </si>
  <si>
    <t>Customer Service Supervisor</t>
  </si>
  <si>
    <t>1704</t>
  </si>
  <si>
    <t>Chief Engineer</t>
  </si>
  <si>
    <t>1718</t>
  </si>
  <si>
    <t>1783</t>
  </si>
  <si>
    <t>1778</t>
  </si>
  <si>
    <t>1818</t>
  </si>
  <si>
    <t>1816</t>
  </si>
  <si>
    <t>Accountant cum Cashier</t>
  </si>
  <si>
    <t>1564</t>
  </si>
  <si>
    <t>Property Manager</t>
  </si>
  <si>
    <r>
      <t>M</t>
    </r>
    <r>
      <rPr>
        <b/>
        <vertAlign val="superscript"/>
        <sz val="10"/>
        <rFont val="Arial"/>
        <family val="2"/>
      </rPr>
      <t>2</t>
    </r>
  </si>
  <si>
    <t>Tên Đơn Vị/ Organ name</t>
  </si>
  <si>
    <t>Tần Suất Trong Năm/ Frequency of the year</t>
  </si>
  <si>
    <t>Chi phí / Cost</t>
  </si>
  <si>
    <t>Lần Qua Gần Nhất trong năm 6 tháng cuối năm/ Frequency of 6 months on year</t>
  </si>
  <si>
    <t xml:space="preserve">Đơn Vị Xuất Hóa Đơn/ Organ name invoice </t>
  </si>
  <si>
    <t>Công an PCCC/ The fire fighting police</t>
  </si>
  <si>
    <t>4-5 lần/ năm</t>
  </si>
  <si>
    <t>11-8-2017 và 16-10-2017</t>
  </si>
  <si>
    <t>Việt Nhật Thăng Long Security</t>
  </si>
  <si>
    <t>Cảnh sát môi trường PC49/ the environment police PC49</t>
  </si>
  <si>
    <t>1 lần/ năm</t>
  </si>
  <si>
    <t>Đoàn kiểm tra sở tài nguyên môi trường/ Department of Natural Resources and Environment</t>
  </si>
  <si>
    <t>4</t>
  </si>
  <si>
    <t>Sở y tế dự phòng/ Department of Health</t>
  </si>
  <si>
    <t>2 lần/ năm</t>
  </si>
  <si>
    <t>Khóa học PCCC/ training fire lighting</t>
  </si>
  <si>
    <t>250,000/ người</t>
  </si>
  <si>
    <t>1,200,000 / người</t>
  </si>
  <si>
    <t>CHI PHÍ NGOẠI GIAO
SOCIAL RELATIONSHIP</t>
  </si>
  <si>
    <t>STT/ No.</t>
  </si>
  <si>
    <t>Total cost/year</t>
  </si>
  <si>
    <t>Khóa học tái đào tạo nhân viên cứu hộ/ training staff rescuers</t>
  </si>
  <si>
    <r>
      <t xml:space="preserve">Ghi chú
</t>
    </r>
    <r>
      <rPr>
        <b/>
        <i/>
        <sz val="10"/>
        <rFont val="Arial"/>
        <family val="2"/>
      </rPr>
      <t>Note</t>
    </r>
  </si>
  <si>
    <t>SubTotal/ Tổng</t>
  </si>
  <si>
    <t>BOC meeting: 500,000vnd/time/2weeks
Resident meeting: 350,000vnd/time/3months, AGM: 60 million/time/year</t>
  </si>
  <si>
    <t>CHI PHÍ ĐÀO TẠO
TRAINING EXPENSE</t>
  </si>
  <si>
    <t>Tên Khoá học/ Course name</t>
  </si>
  <si>
    <t>Khoá học tái đào tạo cứu hộ hồ bơi/ Retraining safeguard</t>
  </si>
  <si>
    <r>
      <t xml:space="preserve">1 lần/ năm
</t>
    </r>
    <r>
      <rPr>
        <i/>
        <sz val="11"/>
        <color theme="1"/>
        <rFont val="Calibri"/>
        <family val="2"/>
        <scheme val="minor"/>
      </rPr>
      <t>1 time/ year</t>
    </r>
  </si>
  <si>
    <r>
      <t xml:space="preserve">1 lần/ 3 năm
</t>
    </r>
    <r>
      <rPr>
        <i/>
        <sz val="11"/>
        <color theme="1"/>
        <rFont val="Calibri"/>
        <family val="2"/>
        <scheme val="minor"/>
      </rPr>
      <t>1 lần/ 3 năm</t>
    </r>
  </si>
  <si>
    <t>Diesel for run 3 Gen-set ( run test 15 min/week and power off 1h /month)</t>
  </si>
  <si>
    <t>Focas and 
Accutal 2017</t>
  </si>
  <si>
    <t>Code</t>
  </si>
  <si>
    <t>upgrade, repair and centralize</t>
  </si>
  <si>
    <t>BOC approved and it is under process</t>
  </si>
  <si>
    <t>move from SF</t>
  </si>
  <si>
    <t>150 litre Coolant liquid replacement/ Thay thế nước giải nhiệt</t>
  </si>
  <si>
    <t>900 litre engine oil replacement/ Thay thế nhớt động cơ</t>
  </si>
  <si>
    <t>40 filters replacement (Oil filters, Fuel filters, air filters)/ 40 lít thay thế lọc nhớt, lọc nhiên liệu, lọc gió)</t>
  </si>
  <si>
    <t xml:space="preserve"> Cameras and lens replacement/ Thay thế ống kính camera</t>
  </si>
  <si>
    <t>CCUs replacement (Intercom system)/ Thay thế bộ chia</t>
  </si>
  <si>
    <t>Speakers equipment replacement (PA system)/ Thay thế loa PA</t>
  </si>
  <si>
    <t>Monitor replacement / Thay thế màn hình</t>
  </si>
  <si>
    <t>Valve replacement/ Thay thế van</t>
  </si>
  <si>
    <t>UV lights, ballasts replacement (Filtration system T5)/ Thay thế đèn cực tím</t>
  </si>
  <si>
    <t>Motor repair/ Sửa motơ</t>
  </si>
  <si>
    <t>02 Magnetic contactors replacement (domestic water  pump)/ Thay thế khởi động từ</t>
  </si>
  <si>
    <t>Cleaning 10 roof water domestic tanks (buy some tools, chemical for internal team carry out the job)/ Vệ sinh bồn nước</t>
  </si>
  <si>
    <t>Sand Filtration tanks for Koi pond and Fountains/ Lọc cát cho hồ cá Koi</t>
  </si>
  <si>
    <t>Yearly maintenance for main underground water tank/ Vệ sinh bồn nước ngầm</t>
  </si>
  <si>
    <t>Jacuzzi air compressor replacement/ Máy thổi khí</t>
  </si>
  <si>
    <t>Pool bottom cleaning mobile pump replacement/ Thay thế bơm di động vệ sinh đáy hồ bơi</t>
  </si>
  <si>
    <t>Sand filtertration pumps replacement/ Thay thế bơm lọc hồ bơi</t>
  </si>
  <si>
    <t>Tools for cleaning Swimming pool/ Dụng cụ vệ sinh hồ bơi</t>
  </si>
  <si>
    <t>Panel control swimming pump parts/ Tủ điều khiển bơm hồ bơi</t>
  </si>
  <si>
    <t>Wood, varnishing, oil for damaged chairs replacement/ Gỗ, vẹc-ni, dầu sửa ghế hồ bơi</t>
  </si>
  <si>
    <t>04 paper-Filters of Swimming pool bottom suction mobile pump replacement/ Lôc giấy bơm lọc di động</t>
  </si>
  <si>
    <t>Valves replacement/ Thay thế van</t>
  </si>
  <si>
    <t>01 Submersible pumps replacement/ Thay thế bơm chìm</t>
  </si>
  <si>
    <t>Control panel parts replace/ Thay thế vật tư tủ điều khiển</t>
  </si>
  <si>
    <t>Addressable Photo-Smoke Detector/ Đầu báo khói</t>
  </si>
  <si>
    <t>Addressable Photo-Thermal Detector/ Đầu báo nhiệt</t>
  </si>
  <si>
    <t>Addressable Control Module ; Loop Control Module/ Bộ giao tiếp</t>
  </si>
  <si>
    <t>Batteries 12V-15AH (For control panels of Vista Walk)/ Bình ắc-qui</t>
  </si>
  <si>
    <t>Batteries 12V-7AH (back-up power for alarm bells)/ Bình ắc-qui</t>
  </si>
  <si>
    <t>Plans to replace 10 Rechargeable batteries in the year 2018</t>
  </si>
  <si>
    <t>Gas R.410A for air-con MO office , MPH/ Ga máy lạnh cho Văn Phòng</t>
  </si>
  <si>
    <t xml:space="preserve"> Marterials replacement./ Vật tư thay thế</t>
  </si>
  <si>
    <t xml:space="preserve"> Transformers maintenance contract (yearly) / Bảo trì máy biến thế</t>
  </si>
  <si>
    <t xml:space="preserve"> Bus Way scan contract (yearly) / Chụp ảnh nhiệt thanh dẫn điện</t>
  </si>
  <si>
    <t xml:space="preserve"> Tap off maintenance / Bảo trì kết nối</t>
  </si>
  <si>
    <t>2.1</t>
  </si>
  <si>
    <t>2.2</t>
  </si>
  <si>
    <t>Transformers, modules, devices replacement…/ Biến thế, bộ giao tiếp, thay thế thiết bị, …</t>
  </si>
  <si>
    <t>Emergency light batteries for corridors G &amp; Podium floors, sauna, toilet downlights 26W (6V-4.5AH) / Pin cho đèn khẩn cấp hành lang và khối đế, xông hơi, nhà vệ sinh</t>
  </si>
  <si>
    <t>Emergency light batteries for residental corridor downlights 18W (6V-4.5AH)/ Pin cho đèn chiếu sáng khẩn cấp hành lang cư dân</t>
  </si>
  <si>
    <t>EXIT lights (Lamp bulbs and batteries)/ Đèn thoát hiểm (bóng và pin)</t>
  </si>
  <si>
    <t xml:space="preserve">Plans to replace 280 Rechargeable batteries in the year 2018. </t>
  </si>
  <si>
    <t>Emergency door locks, master keys replacement/ Khoá</t>
  </si>
  <si>
    <t>Repaint Wooden 150 Exit Doors - Door frames for staircases/ Sơn cửa gỗ</t>
  </si>
  <si>
    <t>Repaint tables and chairs at MPH/ Sơn bàn và ghế MPH</t>
  </si>
  <si>
    <t>Replaced wooden frames for Swimming pool huts/ Thay thế khung gỗ của hồ bơi</t>
  </si>
  <si>
    <t>Visitor Guidance (stainless signages)/ Bảng chỉ dẫn bằng inox</t>
  </si>
  <si>
    <t>Fence repairing and re-painting (oil painting)/ Sửa và sơn hàng rào</t>
  </si>
  <si>
    <t>Rubber floor at the children playground/ Sàn cao su cho khu vực trẻ em</t>
  </si>
  <si>
    <t>Replace damaged glass-panels/ Thay thế khung kính</t>
  </si>
  <si>
    <t>Projector for MPH/ Máy chiếu, Upgrade or buy computers/ Nâng cấp hoặc mua máy tính, ...</t>
  </si>
  <si>
    <t>Tăng 5% hợp đồng/ increase 5% contract</t>
  </si>
  <si>
    <t>Unchanged</t>
  </si>
  <si>
    <t>Tăng 10% hợp đồng/ increase 10% contract</t>
  </si>
  <si>
    <t>Paper towel for public toilet, nylon trash bags, food for Koi fish, Pin CR2032 for FRID card, shower gel for public toilets in G floor, medicines and salt for moss killer in Koi pool, the charcoal used for BBQ, plastic cup for Gym</t>
  </si>
  <si>
    <t xml:space="preserve">Update Actual expense </t>
  </si>
  <si>
    <t>Milk, cake, noodle.. for Kid movie</t>
  </si>
  <si>
    <t>Training Staffs'!A1</t>
  </si>
  <si>
    <t>2017 not yet contract</t>
  </si>
  <si>
    <t>Enviromental report contract (half yearly), Technical safety inspection for elevators , Swimming pool, STP water test (quarterly), Domestic water test for T1,T2,T3,T4,T5 (monthly), Lightning test license</t>
  </si>
  <si>
    <t>Detail Revenue'!A1</t>
  </si>
  <si>
    <t>Vinasun: 5million/ month, Mailinh: 10million/ month</t>
  </si>
  <si>
    <t>Old: 100,000VND, New: 200,000VND (include VAT 10%)</t>
  </si>
  <si>
    <t>equal water fee for Apartment</t>
  </si>
  <si>
    <t>Budget 2017</t>
  </si>
  <si>
    <t>This one is equal revenue of water fee for Apartment (code O4)</t>
  </si>
  <si>
    <r>
      <t xml:space="preserve">CP hệ thống MSB
</t>
    </r>
    <r>
      <rPr>
        <i/>
        <sz val="10"/>
        <color theme="8" tint="-0.249977111117893"/>
        <rFont val="Arial"/>
        <family val="2"/>
      </rPr>
      <t>MSB system (Spare parts replacement)</t>
    </r>
  </si>
  <si>
    <t>x</t>
  </si>
  <si>
    <t>xx</t>
  </si>
  <si>
    <t>q</t>
  </si>
  <si>
    <t>xxxx</t>
  </si>
  <si>
    <t>r</t>
  </si>
  <si>
    <t>KO CÓ TRONG CUỐN BUDGET: 374000000</t>
  </si>
  <si>
    <t>KO CÓ TRONG CUỐN BUDGET: 9600000</t>
  </si>
  <si>
    <t>KO CÓ TRONG CUỐN BUDGET: 120000000</t>
  </si>
  <si>
    <t>Items</t>
  </si>
  <si>
    <t>Price</t>
  </si>
  <si>
    <t>Q.</t>
  </si>
  <si>
    <t>Allocation</t>
  </si>
  <si>
    <t>Total Amount</t>
  </si>
  <si>
    <t>Usge Time (month)</t>
  </si>
  <si>
    <t>Tranfer 2019</t>
  </si>
  <si>
    <t>Tranfer 2020</t>
  </si>
  <si>
    <t>SF</t>
  </si>
  <si>
    <t>MF, 3 năm</t>
  </si>
  <si>
    <t>move from SF 27.11.2017</t>
  </si>
  <si>
    <t>SF, 5 years</t>
  </si>
  <si>
    <t>SF, 2017, 5 years</t>
  </si>
  <si>
    <t>LIFTS</t>
  </si>
  <si>
    <t>B.2</t>
  </si>
  <si>
    <t>B.1</t>
  </si>
  <si>
    <t>B.6</t>
  </si>
  <si>
    <t>B.7</t>
  </si>
  <si>
    <t>BUILDING SYSTEM/ FACILITIES REPAIR &amp; MAINTENANCE
CHI PHÍ SỬA CHỮA BẢO TRÌ HỆ THỐNG TÒA NHÀ</t>
  </si>
  <si>
    <t>ACMV / Hệ thống máy lạnh và thông gió</t>
  </si>
  <si>
    <t>III</t>
  </si>
  <si>
    <t>Generators/ Chi phí chạy máy phát điện dự phòng</t>
  </si>
  <si>
    <t>Spare parts for replacement</t>
  </si>
  <si>
    <t>Fire Alarm - Fire fighting equipment/ Hệ thống PCCC</t>
  </si>
  <si>
    <t>IV</t>
  </si>
  <si>
    <t>V</t>
  </si>
  <si>
    <t>Security system/ Hệ thống an ninh</t>
  </si>
  <si>
    <t>VI</t>
  </si>
  <si>
    <t>2.9</t>
  </si>
  <si>
    <t>Swimming pool/ Hồ bơi</t>
  </si>
  <si>
    <t>VII</t>
  </si>
  <si>
    <t>2.10</t>
  </si>
  <si>
    <t>2.11</t>
  </si>
  <si>
    <t>2.12</t>
  </si>
  <si>
    <t>2.13</t>
  </si>
  <si>
    <t>Sewage Treatment Plant &amp; Drainage systems / Hệ thống xử lý nước thải và hê thống thoát nước.</t>
  </si>
  <si>
    <t>VIII</t>
  </si>
  <si>
    <t>Electrical system/ Hệ thống điện</t>
  </si>
  <si>
    <t>BMS/ Hệ thống quản lý tòa nhà</t>
  </si>
  <si>
    <t>IX</t>
  </si>
  <si>
    <t>X</t>
  </si>
  <si>
    <t>Gym - sauna/ Phòng xông hơi</t>
  </si>
  <si>
    <t>XI</t>
  </si>
  <si>
    <t>Walkie-Talkie/ Hệ thống khẩn cấp</t>
  </si>
  <si>
    <t>XII</t>
  </si>
  <si>
    <t>Locks/Keys/ Khóa, chìa khóa</t>
  </si>
  <si>
    <t>XIII</t>
  </si>
  <si>
    <t>Furnitures/ Trang thiết bị nội thất</t>
  </si>
  <si>
    <t>XIV</t>
  </si>
  <si>
    <t>Public area facilities replacement / Enhancements
 Chi phí thay mới trang thiết bị công cộng</t>
  </si>
  <si>
    <t>XV</t>
  </si>
  <si>
    <t>XVI</t>
  </si>
  <si>
    <t>Certificate/ Chi phí các giấy chứng nhận</t>
  </si>
  <si>
    <t>XVII</t>
  </si>
  <si>
    <t>Others/ Chi phí linh tinh</t>
  </si>
  <si>
    <t>Note
Ghi chú</t>
  </si>
  <si>
    <t>Tiền dầu chạy máy phát điện
Oil Diesel for generator</t>
  </si>
  <si>
    <t>XVIII</t>
  </si>
  <si>
    <t>2017 not yet contract,</t>
  </si>
  <si>
    <t>C1 Total</t>
  </si>
  <si>
    <t>Grand Total</t>
  </si>
  <si>
    <t>C2 Total</t>
  </si>
  <si>
    <t>C3 Total</t>
  </si>
  <si>
    <t>C4 Total</t>
  </si>
  <si>
    <t>C5 Total</t>
  </si>
  <si>
    <t>C6 Total</t>
  </si>
  <si>
    <t>C7 Total</t>
  </si>
  <si>
    <t>C8 Total</t>
  </si>
  <si>
    <t>C9 Total</t>
  </si>
  <si>
    <t>C10 Total</t>
  </si>
  <si>
    <t>C11 Total</t>
  </si>
  <si>
    <t>C13 Total</t>
  </si>
  <si>
    <t>C14 Total</t>
  </si>
  <si>
    <t>C15 Total</t>
  </si>
  <si>
    <t>C16 Total</t>
  </si>
  <si>
    <t>C17 Total</t>
  </si>
  <si>
    <t>C18 Total</t>
  </si>
  <si>
    <t>D3 Total</t>
  </si>
  <si>
    <t>YTD 2018</t>
  </si>
  <si>
    <t>Tranfer 2021</t>
  </si>
  <si>
    <t>Tranfer 2022-…</t>
  </si>
  <si>
    <r>
      <t xml:space="preserve">Năm
</t>
    </r>
    <r>
      <rPr>
        <b/>
        <i/>
        <sz val="10"/>
        <rFont val="Arial"/>
        <family val="2"/>
      </rPr>
      <t>Yearly 2018
&lt;100milion
&amp;&lt;5years</t>
    </r>
  </si>
  <si>
    <t>labor cost of outsource supplier contract maintenance, quarterly maintenance</t>
  </si>
  <si>
    <t>CP hệ thống MSB
MSB system</t>
  </si>
  <si>
    <t>C12 Total</t>
  </si>
  <si>
    <t>Sơn lại mặt ngoài toà nhà 5 tháp/ Façade painting</t>
  </si>
  <si>
    <t>Sơn lại hành lang, kv công cộng/ Internal painting corridor, public area</t>
  </si>
  <si>
    <t>Lắp đặt thêm camera an ninh/ Additional CCTV</t>
  </si>
  <si>
    <t>Thiết bị PCCC; đầu báo khói, modul ../ Fire Alarm equipment: smoke detector, modul, relay …</t>
  </si>
  <si>
    <t>Thay lõi lọc nước tháp 5 (tổng chi phí cả năm)/ Filters replacement - Filtration system T5 (full year)</t>
  </si>
  <si>
    <t>Nâng cấp tập trung hệ thống quản lý thẻ ra vào/ Centralise access card system</t>
  </si>
  <si>
    <t>Màn hình LCD ở các sảnh để truyền tải thông tin/ LCD Screen at each lobby for notification</t>
  </si>
  <si>
    <t>Thay Camera bị hư/ Replacement broken camera</t>
  </si>
  <si>
    <t>Nâng cấp bộ nhớ đầu đọc thẻ thang máy/ Upgrade memories capacity of List Card Reader</t>
  </si>
  <si>
    <t>Sơn nhiệt mũi tên chỉ đường trong bãi xe/ Thermal paint Parking directional lines</t>
  </si>
  <si>
    <t>Thùng rác 660 Lít cho nhà rác/ 660ltr bins for main trash rooms</t>
  </si>
  <si>
    <t>Pin cho đèn thoát hiểm bãi xe 36W/ Emergency light batteries for fluorescent lights 36W</t>
  </si>
  <si>
    <t>Pin cho đèn thoát hiểm hành lang, sauna, toilet 26W/ Emergency light batteries for corridor, sauna, toilet 26W</t>
  </si>
  <si>
    <t>Thay mới bình tăng áp cho bồn nước sinh hoạt công cộng/ Pressurize tank replacement (public, residents)</t>
  </si>
  <si>
    <t>Pin cho đèn thoát hiểm hành lang 18W/ Emergency light batteries for corridor 18W</t>
  </si>
  <si>
    <t>Các hạng mục không ưu tiên/ Less Priority items</t>
  </si>
  <si>
    <t>Xây Toilet cho tài xế ở P2/ Build 02 toilet at Parking P2</t>
  </si>
  <si>
    <t>Sàn gỗ Tầng 17 tháp 1/ Wooden deck of 17th Floor - Tower 1</t>
  </si>
  <si>
    <t>Sàn gỗ P3/ Wooden deck of P3</t>
  </si>
  <si>
    <t>Sơn lại bên trong bãi xe/ Internal painting (podium P2, M, P3)</t>
  </si>
  <si>
    <t>Preventive Maintenance  Gym contract/ Bảo trì dự phòng thiêt bị phòng Gym</t>
  </si>
  <si>
    <t>Door locks, keys &amp; master keys replacement</t>
  </si>
  <si>
    <t>1 lần/ 3 năm
1 lần/ 3 năm</t>
  </si>
  <si>
    <t>NGÂN SÁCH 2018
BUDGET 2018</t>
  </si>
  <si>
    <t>THE VISTA BOC</t>
  </si>
  <si>
    <t>BANK LOG BOOK</t>
  </si>
  <si>
    <t>HSBC SINKING FUND</t>
  </si>
  <si>
    <t>ACC: 091-529867-001</t>
  </si>
  <si>
    <t>REFERENCE</t>
  </si>
  <si>
    <t>PERIOD</t>
  </si>
  <si>
    <t>DATE</t>
  </si>
  <si>
    <t>PAYEE/ RECEIVE FROM - TO</t>
  </si>
  <si>
    <t>DESCRIPTION</t>
  </si>
  <si>
    <t>VAT INV</t>
  </si>
  <si>
    <t>ORIGIN AMOUNT
DEBIT</t>
  </si>
  <si>
    <t>ORIGIN AMOUNT
CREDIT</t>
  </si>
  <si>
    <t>BALANCE</t>
  </si>
  <si>
    <t>BEGINNING AMOUNT</t>
  </si>
  <si>
    <t>001</t>
  </si>
  <si>
    <t>CAPITALAND</t>
  </si>
  <si>
    <t>TRANSFER SINKING FUND AND DEPOSIT INTEREST AT AS 31/12/2014 TO BOC - 1st time</t>
  </si>
  <si>
    <t>002</t>
  </si>
  <si>
    <t>HSBC</t>
  </si>
  <si>
    <t>PLACE DEPOSIT 6M-3.7% 29/01/2015-&gt;29/07/2015</t>
  </si>
  <si>
    <t>003</t>
  </si>
  <si>
    <t>PLACE DEPOSIT 6M-3.7% 30/01/2015-&gt;30/07/2015</t>
  </si>
  <si>
    <t>004</t>
  </si>
  <si>
    <t>PLACE DEPOSIT 6M-3.7% 02/02/2015-&gt;03/08/2015</t>
  </si>
  <si>
    <t>005</t>
  </si>
  <si>
    <t>PLACE DEPOSIT 6M-3.7% 04/02/2015-&gt;04/08/2015</t>
  </si>
  <si>
    <t>006</t>
  </si>
  <si>
    <t>TRANSFER SINKING FUND TO BOC ACCOUNT FOR JAN-MAR.2015 - 2nd time</t>
  </si>
  <si>
    <t>007</t>
  </si>
  <si>
    <t>PLACE DEPOSIT 12M-4.4% 23/04/2015-&gt;25/04/2016</t>
  </si>
  <si>
    <t>008</t>
  </si>
  <si>
    <t>TRANSFER SINKING FUND TO BOC ACCOUNT FOR JAN-MAR.2015</t>
  </si>
  <si>
    <t>009</t>
  </si>
  <si>
    <t>CLOSED DEPOSIT 6M-3.7% 29/01/2015-&gt;29/07/2015</t>
  </si>
  <si>
    <t>010</t>
  </si>
  <si>
    <t>PLACED DEPOSIT 9M-4.1% 29/07/2015-&gt;29/04/2016</t>
  </si>
  <si>
    <t>011</t>
  </si>
  <si>
    <t>CLOSED DEPOSIT 6M-3.7% 30/01/2015-&gt;30/07/2015</t>
  </si>
  <si>
    <t>012</t>
  </si>
  <si>
    <t>PLACED DEPOSIT 9M-4.1% 30/07/2015-&gt;02/05/2016</t>
  </si>
  <si>
    <t>013</t>
  </si>
  <si>
    <t>CLOSED DEPOSIT 6M-3.7% 02/02/2015-&gt;03/08/2015</t>
  </si>
  <si>
    <t>014</t>
  </si>
  <si>
    <t>PLACED DEPOSIT 9M-4.1% 30/07/2015-&gt;03/05/2016</t>
  </si>
  <si>
    <t>015</t>
  </si>
  <si>
    <t>CLOSED DEPOSIT 6M-3.7% 04/02/2015-&gt;04/08/2015</t>
  </si>
  <si>
    <t>016</t>
  </si>
  <si>
    <t>PLACED DEPOSIT 9M-4.1% 30/07/2015-&gt;04/05/2016</t>
  </si>
  <si>
    <t>017</t>
  </si>
  <si>
    <t>TRANSFER SINKING FUND TO BOC ACCOUNT FOR APR - JUN.2015</t>
  </si>
  <si>
    <t>018</t>
  </si>
  <si>
    <t>PLACED DEPOSIT 2M-3.6% 11/08/2015-&gt;12/10/2015</t>
  </si>
  <si>
    <t>019</t>
  </si>
  <si>
    <t>TRANSFER SINKING FUND TO BOC ACCOUNT FOR JUL-AUG.2015</t>
  </si>
  <si>
    <t>020</t>
  </si>
  <si>
    <t>PLACED DEPOSIT 9M-4.1% 11/09/2015-&gt;13/06/2016</t>
  </si>
  <si>
    <t>021</t>
  </si>
  <si>
    <t>CLOSED DEPOSIT 2M-3.6% 11/08/2015-&gt;12/10/2015</t>
  </si>
  <si>
    <t>022</t>
  </si>
  <si>
    <t>PLACED DEPOSIT 9M-4% 10/11/2015-&gt;10/08/2016</t>
  </si>
  <si>
    <t>023</t>
  </si>
  <si>
    <t>TRANSFER SINKING FUND TO BOC ACCOUNT FOR SEP-OCT-NOV.2015</t>
  </si>
  <si>
    <t>024</t>
  </si>
  <si>
    <t>PLACED DEPOSIT</t>
  </si>
  <si>
    <t>Ending balance 31/12/2015</t>
  </si>
  <si>
    <t>Beginning balance 01/01/2016</t>
  </si>
  <si>
    <t>Phí xác nhận số dư TK / Fee for bank balance confirmation</t>
  </si>
  <si>
    <t xml:space="preserve">TRANSFER SINKING FUND TO BOC ACCOUNT </t>
  </si>
  <si>
    <t>PLACED DEPOSIT 9M-4.0% 04/03 -&gt; 03/12/2016</t>
  </si>
  <si>
    <t>Tất toán tài khoản tiết kiệm / Term deposit withdrawal - 12 months fr 23/04/15-25/04/16 (4.4%)</t>
  </si>
  <si>
    <t>Mở tài khoản tiết kiệm / Place deposit 9 months fr 26/04/16-26/01/17 (4.2%)</t>
  </si>
  <si>
    <t>XX</t>
  </si>
  <si>
    <t>Tất toán tài khoản tiết kiệm / Term deposit withdrawal - 9 months fr 29/07/15-29/04/16 (4.1%)</t>
  </si>
  <si>
    <t>Tất toán tài khoản tiết kiệm / Term deposit withdrawal - 9 months fr 30/07/15-04/05/16 (4.1%) - 091.529867-207</t>
  </si>
  <si>
    <t>Tất toán tài khoản tiết kiệm / Term deposit withdrawal - 9 months fr 03/08/15-04/05/16 (4.1%) - 091.529867-208</t>
  </si>
  <si>
    <t>Tất toán tài khoản tiết kiệm / Term deposit withdrawal - 9 months fr 04/08/15-04/05/16 (4.1%) - 091.529867-209</t>
  </si>
  <si>
    <t>Mở tài khoản tiết kiệm / Place deposit 9 months fr 09/05/16-09/02/17 (4.0%) - 091-529867-210</t>
  </si>
  <si>
    <t>Phí xác nhận kiểm toán 31.12.15 / Bank confirmation 31.12.15 for audit</t>
  </si>
  <si>
    <t>Mở tài khoản tiết kiệm / Place deposit 9 months fr 10/05/16-10/02/17 (4.2%) - 091-529867-901</t>
  </si>
  <si>
    <t>Mở tài khoản tiết kiệm / Place deposit 9 months fr 11/05/16-13/02/17 (4.2%) - 091-529867-902</t>
  </si>
  <si>
    <t>Mở tài khoản tiết kiệm / Place deposit 9 months fr 12/05/16-13/02/17 (4.2%) - 091-529867-903</t>
  </si>
  <si>
    <t>Mở tài khoản tiết kiệm / Place deposit 9 months fr 13/05/16-13/02/17 (4.2%) - 091-529867-904</t>
  </si>
  <si>
    <t xml:space="preserve">Phí xác nhận số dư 20.05.16 cho cuộc họp cư dân ngày 28.05.16  / Bank confirmation 20.05.16 </t>
  </si>
  <si>
    <t>Tất toán tài khoản tiết kiệm / Term deposit withdrawal - 9 months fr 11/09/15-13/06/16 (4%)</t>
  </si>
  <si>
    <t>Mở tài khoản tiết kiệm / Place deposit 9 months fr 13/06/16-13/03/17 (3.5%)</t>
  </si>
  <si>
    <t>TRANSFER SINKING FUND TO BOC ACCOUNT</t>
  </si>
  <si>
    <t>Hoàn trả tiền thay thế sàn gỗ hồ bơi tại The Vista / Reimburse for swimming pool timber deck replacement at The Vista (Inv. 2654, 2655)</t>
  </si>
  <si>
    <t>SCHINDLER</t>
  </si>
  <si>
    <t>Đặt cọc 50% cho hợp đồng thay thế bạc đạn motor máy kéo &amp; đóng sơ mi thang PL12 ( T4-L1) tại The Vista / Deposit 50% for replacing the bearing of traction motor &amp; repairing the surface between motor &amp; bearing PL12 (T4-L1) at The Vista (Contract No. EID/FR/6540751/65109494)</t>
  </si>
  <si>
    <t>Phí chuyển khoản / Bank charge</t>
  </si>
  <si>
    <t>Đặt cọc 50% cho hợp đồng bánh xe cửa tầng, cửa cabin &amp; bộ điều khiển cửa cabin thang máy T3-L3 tại The Vista / Deposit 50% for buying door rollers (592pcs) &amp; door drive controller (1pcs - lift T3_L3) at The Vista (PR No. EID/FR/6540751/65109360, 24.05.16)</t>
  </si>
  <si>
    <t>Đặt cọc 50% cho hợp đồng cung cấp &amp; lắp đặt bộ biến tần VF44BR cho thang máy L3 - tháp 3 tại The Vista / Deposit 50% for supplying &amp; installing drive VF44BR for lift (T3-L3) at The Vista (PR No. EID/FR/6540751/65109708, 20.07.16)</t>
  </si>
  <si>
    <t>025</t>
  </si>
  <si>
    <t>Tất toán tài khoản tiết kiệm / Term deposit withdrawal - 9 months fr 10/11/15-10/08/16 (4%)</t>
  </si>
  <si>
    <t>026</t>
  </si>
  <si>
    <t>Mở tài khoản tiết kiệm / Place deposit 12 months fr 12/08/16-14/08/17 (3.8%) - 091-529867-205</t>
  </si>
  <si>
    <t>027</t>
  </si>
  <si>
    <t>TT phần còn lại (50%) cho hợp đồng bánh xe cửa tầng, cửa cabin &amp; bộ điều khiển cửa cabin thang máy T3-L3 tại The Vista / Last payment (50%) for buying door rollers (592pcs) &amp; door drive controller (1pcs - lift T3_L3) at The Vista (Inv. 4941, 29.07.16)</t>
  </si>
  <si>
    <t>028</t>
  </si>
  <si>
    <t>Đặt cọc 50% cho hợp đồng mua bánh xe cửa để thay thế cho hệ thống thang máy tại The Vista / Deposit 50% for buying door rollers (728 pcs) for lift replacement at The Vista (PR No. EID/FR/6540751/65109819, 08.08.16)</t>
  </si>
  <si>
    <t>029</t>
  </si>
  <si>
    <t>TT 50% còn lại cho hợp đồng thay thế bạc đạn motor máy kéo &amp; đóng sơ mi thang PL12 ( T4-L1) tại The Vista (HĐ. 4928, 27.07.16) / Last payment (50%) for replacing the bearing of traction motor &amp; repairing the surface between motor &amp; bearing PL12 (T4-L1) at The Vista (Inv. 4928, 27.07.16)</t>
  </si>
  <si>
    <t>030</t>
  </si>
  <si>
    <t>TT tiền thay thế bộ hiển thị tầng ngoài thang máy PL12 (T4-L1) tại The Vista (HĐ. 4940, 29.07.16) / Payment for replacing Display panel (1pcs) for lift PL12 (T4-L1) at The Vista (Inv. 4940, 29.07.16)</t>
  </si>
  <si>
    <t>031</t>
  </si>
  <si>
    <t>Tất toán tài khoản tiết kiệm / Term deposit withdrawal - 9 months fr 18/12/15-19/09/16 (4%)</t>
  </si>
  <si>
    <t>032</t>
  </si>
  <si>
    <t>Mở tài khoản tiết kiệm / Place deposit 09 months fr 19/09/16-19/06/17 (3.3%) - 091-529867-206</t>
  </si>
  <si>
    <t>033</t>
  </si>
  <si>
    <t>TT 50% còn lại cho hợp đồng cung cấp &amp; lắp đặt bộ biến tần VF44BR cho thang máy L3 - tháp 3 tại The Vista (HĐ. 355, 30.08.16) / Last payment (50%) for supplying &amp; installing drive VF44BR for lift (T3-L3) at The Vista (Inv. 355, 30.08.16)</t>
  </si>
  <si>
    <t>Bank charge</t>
  </si>
  <si>
    <t>034</t>
  </si>
  <si>
    <t>035</t>
  </si>
  <si>
    <t>Mở tài khoản tiết kiệm / Place deposit 03 months fr 07/10/16-07/01/17 (2.6%) - 091-529867-207</t>
  </si>
  <si>
    <t>036</t>
  </si>
  <si>
    <t>TT tiền thay bộ nguồn NGL 26VDC cho bộ hiển thị tầng T4-L1 tại The Vista (HĐ. 1212, 26.10.16) / Payment for replacing transformer for display panels NGL 26VDC (T4-L1) at The Vista (Inv. 1212, 26.10.16)</t>
  </si>
  <si>
    <t>037</t>
  </si>
  <si>
    <t>Tất toán tài khoản tiết kiệm / Term deposit withdrawal - 9 months fr 04/03/16-05/12/16 (4%)</t>
  </si>
  <si>
    <t>038</t>
  </si>
  <si>
    <t>039</t>
  </si>
  <si>
    <t>TT 50% còn lại cho hợp đồng mua bánh xe cửa để thay thế cho hệ thống thang máy tại The Vista (HĐ. 1416, 08.11.16) / Last payment (50%) for buying door rollers (728 pcs) for lift replacement at The Vista (Inv. 1416, 08.11.16)</t>
  </si>
  <si>
    <t>040</t>
  </si>
  <si>
    <t>Mở tài khoản tiết kiệm / Place deposit 01 months fr 27/12/16-02/02/17 (2.7%) - 091-529867-201</t>
  </si>
  <si>
    <t>Ending balance 31/12/2016</t>
  </si>
  <si>
    <t>Beginning balance 01/01/2017</t>
  </si>
  <si>
    <t>Tất toán tài khoản tiết kiệm / Term deposit withdrawal - 3 months fr 07/10/16-09/01/17 (2.6%)</t>
  </si>
  <si>
    <t>Lãi TGTK - Tất toán tài khoản tiết kiệm / Term deposit withdrawal - 3 months fr 07/10/16-09/01/17 (2.6%)</t>
  </si>
  <si>
    <t>BOC-VCB</t>
  </si>
  <si>
    <t>Chuyển tiền phí bảo trì từ HSBC sang VCB / Transfer sinking fund from HSBC to VCB</t>
  </si>
  <si>
    <t>Tất toán tài khoản tiết kiệm / Term deposit withdrawal - 9 months fr 26/04/16-02/02/17 (4.2%)</t>
  </si>
  <si>
    <t>Lãi TGTK - Tất toán tài khoản tiết kiệm / Term deposit withdrawal - 9 months fr 26/04/16-02/02/17 (4.2%)</t>
  </si>
  <si>
    <t>Tất toán tài khoản tiết kiệm / Term deposit withdrawal - 1 month fr 27/12/16-02/02/17 (2.7%)</t>
  </si>
  <si>
    <t>Lãi TGTK - Tất toán tài khoản tiết kiệm / Term deposit withdrawal - 1 month fr 27/12/16-02/02/17 (2.7%)</t>
  </si>
  <si>
    <t>Tất toán tài khoản tiết kiệm / Term deposit withdrawal - 9 months fr 09/05/16-09/02/17 (4%)</t>
  </si>
  <si>
    <t>Lãi TGTK - Tất toán tài khoản tiết kiệm / Term deposit withdrawal - 9 months fr 09/05/16-09/02/17 (4%)</t>
  </si>
  <si>
    <t>Tất toán tài khoản tiết kiệm / Term deposit withdrawal - 9 months fr 10/05/16-10/02/17 (4.2%)</t>
  </si>
  <si>
    <t>Lãi TGTK - Tất toán tài khoản tiết kiệm / Term deposit withdrawal - 9 months fr 10/05/16-10/02/17 (4.2%)</t>
  </si>
  <si>
    <t>Tất toán tài khoản tiết kiệm / Term deposit withdrawal - 9 months fr 11/05/16-13/02/17 (4.2%)</t>
  </si>
  <si>
    <t>Lãi TGTK - Tất toán tài khoản tiết kiệm / Term deposit withdrawal - 9 months fr 11/05/16-13/02/17 (4.2%)</t>
  </si>
  <si>
    <t>Tất toán tài khoản tiết kiệm / Term deposit withdrawal - 9 months fr 12/05/16-13/02/17 (4.2%)</t>
  </si>
  <si>
    <t>Lãi TGTK - Tất toán tài khoản tiết kiệm / Term deposit withdrawal - 9 months fr 12/05/16-13/02/17 (4.2%)</t>
  </si>
  <si>
    <t>Tất toán tài khoản tiết kiệm / Term deposit withdrawal - 9 months fr 13/05/16-13/02/17 (4.2%)</t>
  </si>
  <si>
    <t>Lãi TGTK - Tất toán tài khoản tiết kiệm / Term deposit withdrawal - 9 months fr 13/05/16-13/02/17 (4.2%)</t>
  </si>
  <si>
    <t>Mở tài khoản tiết kiệm / Place deposit 03 months fr 15/02/17-15/05/17 (2.9%) - 091-529867-202</t>
  </si>
  <si>
    <t>TT tiền thay thế ebop panel hoàn chỉnh (T2-L4), Bình điện tủ ebops 12V-40Ah (T2-L3 &amp; T2-L4), công tắc KB (T1-L4) cho hệ thống thang máy tại The Vista / Payment for replacing Ebop panel (1pcs,T2-L4), Accu Ebops 12V-40Ah (2pcs, T2-L3 &amp; T2-L4), switch KB (1pcs, T1-L4) for lift system at The Vista</t>
  </si>
  <si>
    <t>TT tiền mua bộ nguồn 24VDC thay thế cho tháng máy L1 tháp 2 tại The Vista / Payment for replacing power supply control panel 24VDC for lift 1 - Tower 2 at The Vista</t>
  </si>
  <si>
    <t>Mở tài khoản tiết kiệm / Place deposit 03 months fr 16/02/17-16/05/17 (2.9%) - 091-529867-208</t>
  </si>
  <si>
    <t>Mở tài khoản tiết kiệm / Place deposit 03 months fr 17/02/17-17/05/17 (2.9%) - 091-529867-209</t>
  </si>
  <si>
    <t>Chuyển tiền phí bảo trì từ tài khoản HSBC sang Vietcombank / Transfer sinking fund from HSBC account to Vietcombank account</t>
  </si>
  <si>
    <t>Đặt cọc 50% cho cung cấp và lắp đặt cáp tải kéo thang máy thang L3 - tháp 4 The Vista / Deposit 50% for supplying &amp; installing the steel wire rope for lift T4-L3 at The Vista (PR No. EID/FR/6540751/65110791, 06/02/17)</t>
  </si>
  <si>
    <t>Phí xác nhận số dư TK tại 31.12.16 / Fee for bank balance confirmation</t>
  </si>
  <si>
    <t>Tất toán tài khoản tiết kiệm / Term deposit withdrawal - 9 months fr 13/06/16-13/03/17 (3.5%)</t>
  </si>
  <si>
    <t>Chua co sao ke, 17/3/17</t>
  </si>
  <si>
    <t>Lãi TGTK - Tất toán tài khoản tiết kiệm / Term deposit withdrawal - 9 months fr 13/06/16-13/03/17 (3.5%)</t>
  </si>
  <si>
    <t>TRANDAO</t>
  </si>
  <si>
    <t>Đặt cọc 50% cho hợp đồng mua đầu đọc thẻ 125Khz cho hệ thống thang máy The Vista / Deposit 50% for access card reader (19pcs) for lifts at The Vista</t>
  </si>
  <si>
    <t>DAIPHONG</t>
  </si>
  <si>
    <t>TT tiền mua bồn điều áp thay cho bơm bù áp tháp 4 (phòng nước sinh hoạt) tại The Vista / Payment for buying two pressure tanks to replace for the broken ones in Tower 4 at The Vista</t>
  </si>
  <si>
    <t>ANHNGUYEN</t>
  </si>
  <si>
    <t>Đặt cọc 40% cho hợp đồng mua thiết bị thay thế cho hệ thống PCCC tại The Vista (HĐ.AN/THEVISTA/2502-17) / Deposit 40% for buying materials for broken fire-protection equipments replacement at The Vista</t>
  </si>
  <si>
    <t>TT 50% còn lại cho cung cấp và lắp đặt cáp tải kéo thang máy thang L3 - tháp 4 The Vista / Last payment 50% for supplying &amp; installing the steel wire rope for lift T4-L3 at The Vista (Inv. 332, 06.03.17)</t>
  </si>
  <si>
    <t>Tất toán tài khoản tiết kiệm / Term deposit withdrawal - 3 months fr 15/02/17-15/05/17 (2.9%)</t>
  </si>
  <si>
    <t>Lãi TGTK - Tất toán tài khoản tiết kiệm / Term deposit withdrawal - 3 months fr 15/02/17-15/05/17 (2.9%)</t>
  </si>
  <si>
    <t>Tất toán tài khoản tiết kiệm / Term deposit withdrawal - 3 months fr 16/02/17-16/05/17 (2.9%)</t>
  </si>
  <si>
    <t>Lãi TGTK - Tất toán tài khoản tiết kiệm / Term deposit withdrawal - 3 months fr 16/02/17-16/05/17 (2.9%)</t>
  </si>
  <si>
    <t>THANHTUYEN</t>
  </si>
  <si>
    <t>Đặt cọc 50% cho hợp đồng mua 2 bơm nước sinh hoạt tại The Vista / Deposit 50% for repairing 02 pumps of water pumping system at The Vista</t>
  </si>
  <si>
    <t>Tất toán tài khoản tiết kiệm / Term deposit withdrawal - 3 months fr 17/02/17-17/05/17 (2.9%)</t>
  </si>
  <si>
    <t>Lãi TGTK - Tất toán tài khoản tiết kiệm / Term deposit withdrawal - 3 months fr 17/02/17-17/05/17 (2.9%)</t>
  </si>
  <si>
    <t>NHUATOT</t>
  </si>
  <si>
    <t>Đặt cọc 30% cho hợp đồng mua thùng rác cho nhà rác 5 tháp và nhà rác trung tâm tại The Vista / Deposit 30% for buying 4 trundles dustbin 660L (14 pcs) for bin rooms (Tower 1 - Tower 5) and main bins at The Vista</t>
  </si>
  <si>
    <t>TT 50% còn lại cho hợp đồng mua đầu đọc thẻ 125Khz cho hệ thống thang máy The Vista / Last payment 50% for access card reader (19pcs) for lifts at The Vista</t>
  </si>
  <si>
    <t>Đặt cọc 50% cho hợp đồng mua giá để xe đạp cho khu vực đậu xe P2, M, P3 tại The Vista / Deposit 50% for buying bicycle rack (10 pcs) for parking P2, M, P3 at The Vista</t>
  </si>
  <si>
    <t>Capitaland</t>
  </si>
  <si>
    <t>Phí xác nhận số dư TK tại 14.06.17 / Fee for bank balance confirmation</t>
  </si>
  <si>
    <t>Tất toán tài khoản tiết kiệm / Term deposit withdrawal - 9 months fr 19/09/16-19/06/17 (3.3%)</t>
  </si>
  <si>
    <t>Lãi TGTK - Tất toán tài khoản tiết kiệm / Term deposit withdrawal - 9 months fr 19/09/16-19/06/17 (3.3%)</t>
  </si>
  <si>
    <t>041</t>
  </si>
  <si>
    <t>TT 70% còn lại cho hợp đồng mua thùng rác cho nhà rác 5 tháp và nhà rác trung tâm tại The Vista / Last payment 70% for buying 4 trundles dustbin 660L (14 pcs) for bin rooms (Tower 1 - Tower 5) and main bins at The Vista</t>
  </si>
  <si>
    <t>042</t>
  </si>
  <si>
    <t>DONGTIEN</t>
  </si>
  <si>
    <t>Đặt cọc 50% cho hợp đồng sửa bình lọc hồ bơi tại The Vista / Deposit 50% for repairing sand filter tanks (7pcs) of swimming pool at The Vista</t>
  </si>
  <si>
    <t>043</t>
  </si>
  <si>
    <t>DANHDANG</t>
  </si>
  <si>
    <t>TT cho hợp đồng sửa chữa chuông hình gọi cửa cho Tháp 1 - tầng G và Tháp 5 - tầng M tại The Vista / Payment for repairing of external video Doorphone for T1-GF and T5-MF at The Vista</t>
  </si>
  <si>
    <t>044</t>
  </si>
  <si>
    <t>Đặt cọc 50% cho hợp đồng mua vật tư thay thế cho các thiết bị hư hỏng của thang máy tại The Vista / Deposit 50% for buying materials for broken lift equipments replacement of The Vista</t>
  </si>
  <si>
    <t>045</t>
  </si>
  <si>
    <t>TT tiền thay thế 3 camera dome: SL-T1-05; P1-T5-32; R-P3-T1-74 và 1 camera thân P3-T5-38 tại The Vista / Payment for replacing camera dome for camera No. SL-T1-05, P1-T5-32, R-P3/T1-74 and color camera for camera No. P3-T5-38 at The Vista</t>
  </si>
  <si>
    <t>046</t>
  </si>
  <si>
    <t>Phí xác nhận so dư TK ngày 03/08/2017 / Bank confirmation as at 03/08/2017</t>
  </si>
  <si>
    <t>047</t>
  </si>
  <si>
    <t>Tất toán tài khoản tiết kiệm / Term deposit withdrawal - 12 months fr 12/08/16-14/08/17 (3.8%)</t>
  </si>
  <si>
    <t>Lãi TGTK - Tất toán tài khoản tiết kiệm / Term deposit withdrawal - 12 months fr 12/08/16-14/08/17 (3.8%)</t>
  </si>
  <si>
    <t>048</t>
  </si>
  <si>
    <t>049</t>
  </si>
  <si>
    <t>Phí bảo trì thang máy tại The Vista tháng 4,5,6/Lifts maintenance at the Vista in Apr to Jun'17</t>
  </si>
  <si>
    <t>050</t>
  </si>
  <si>
    <t>TT tiền mua bánh xe cửa để thay thế cho hệ thống thang máy tại The Vista/Payment for buying door rollers (495 pcs) for lift replacement at The Vista (Inv. 450, 24.03.17)</t>
  </si>
  <si>
    <t>051</t>
  </si>
  <si>
    <t>Phí bảo trì thang máy tại The Vista tháng 7/Lifts maintenance at the Vista from 01.07 to 31.07.2017</t>
  </si>
  <si>
    <t>052</t>
  </si>
  <si>
    <t>Phí bảo trì thang máy tại The Vista tháng 8/Lifts maintenance at the Vista from 01.08 to 31.08.2017</t>
  </si>
  <si>
    <t>053</t>
  </si>
  <si>
    <t>TT tiền mua vật tư thay thế/Payment for substitute supplies</t>
  </si>
  <si>
    <t>As at 30 Nov 2017</t>
  </si>
  <si>
    <t>054</t>
  </si>
  <si>
    <t>055</t>
  </si>
  <si>
    <t>Balance</t>
  </si>
  <si>
    <t>Actual YTD
(Jan-Oct) 2017</t>
  </si>
  <si>
    <t xml:space="preserve">DỰ ÁN / PROJECT : </t>
  </si>
  <si>
    <t>Tên/Name</t>
  </si>
  <si>
    <t>Số HĐ/ Invoice No</t>
  </si>
  <si>
    <t>Chi Tiết Chi Phí /Detailed Expenses</t>
  </si>
  <si>
    <t>Tổng số tiền/Total</t>
  </si>
  <si>
    <t>Số tiền/Amount</t>
  </si>
  <si>
    <t>Thuế GTGT/VAT</t>
  </si>
  <si>
    <t>Thành tiền/Total</t>
  </si>
  <si>
    <t>%</t>
  </si>
  <si>
    <t>Amount</t>
  </si>
  <si>
    <t>AB/17P-1767</t>
  </si>
  <si>
    <t>Paid for buying materials for broken lift equipments replacement of The Vista/TT cho hợp đồng mua vật tư thay thế cho các thiết bị hư hỏng của thang máy tại The Vista</t>
  </si>
  <si>
    <t>CƠ SỞ THIẾT BỊ PCCC SƠN CHI</t>
  </si>
  <si>
    <t>03AM/16P-46232</t>
  </si>
  <si>
    <t>Replacement pump for the fire extinguisher at The Vista/ Bơm xạc thay thế thiết bị bình chữa cháy tại The Vista</t>
  </si>
  <si>
    <t xml:space="preserve">CÔNG TY TNHH TM-DV KT ANH NGUYÊN </t>
  </si>
  <si>
    <t>AN/15P-1153</t>
  </si>
  <si>
    <t>Paid for buying materials for broken fire-protection equipments replacement at The Vista/TT cho hợp đồng mua thiết bị thay thế cho hệ thống PCCC tại The Vista (HĐ. 1153, 16.06.17)</t>
  </si>
  <si>
    <t>CÔNG TY TNHH KT CÔNG NGHỆ ĐỒNG TIẾN</t>
  </si>
  <si>
    <t>Contract No. 090517/DT-2017</t>
  </si>
  <si>
    <t>Paid for repairing sand filter tanks (7pcs) of swimming pool at The Vista/TT cho hợp đồng sửa bình lọc hồ bơi tại The Vista</t>
  </si>
  <si>
    <t>CÔNG TY TNHH KT VÀ TM TRẦN ĐÀO</t>
  </si>
  <si>
    <t>TD/17P-004</t>
  </si>
  <si>
    <t>Paid for buying bicycle rack (10 pcs) for parking P2, M, P3 at The Vista/TT cho hợp đồng mua giá để xe đạp cho khu vực đậu xe P2, M, P3 tại The Vista (HĐ. 004, 03.07.17)</t>
  </si>
  <si>
    <t>Contract No.EID/FR/6540751/65112286</t>
  </si>
  <si>
    <t>Deposit 50% for buying the cable extricate of lift SL 28 and the cable of lift L4-T3 (borrow management fund to pay for sinking fund)/Tạm ứng 50% cho HĐ cung cấp và lắp đặt cáp tải kéo thang máy SL 28 và L4-T3 (mượn quỹ quản lý thanh toán cho quỹ bảo trì)</t>
  </si>
  <si>
    <t>Người đề nghị</t>
  </si>
  <si>
    <t>Phan Quỳnh Như</t>
  </si>
  <si>
    <r>
      <t xml:space="preserve">CP thang máy
</t>
    </r>
    <r>
      <rPr>
        <i/>
        <sz val="10"/>
        <rFont val="Arial"/>
        <family val="2"/>
      </rPr>
      <t>Lifts</t>
    </r>
  </si>
  <si>
    <t>Số còn lại/Not paid
Dự kiến mượn phí Quản Lý để trả
Borrow Management fee to pay</t>
  </si>
  <si>
    <t>Đã thanh toán từ quỹ Bảo Trì/Paid from Sinking Fund (Contract No.EID/FR/6540751/65112286: Paid from Management fund)</t>
  </si>
  <si>
    <t>DANH SÁCH MƯỢN QUỸ PHÍ QUẢN LÝ CHI CHO QUỸ BẢO TRÌ</t>
  </si>
  <si>
    <t>BORROW MANAGEMENT FUND to payment for SINKING FUND</t>
  </si>
  <si>
    <t>Ngày/Date: 06/12/2017</t>
  </si>
  <si>
    <t>Column Focas and 
Accutal 2017, focas: borrow Management fund to payment/ mượn quỹ quản lý để chi trả</t>
  </si>
  <si>
    <t>Mr. Ang and John Lee</t>
  </si>
  <si>
    <r>
      <t xml:space="preserve">Năm
</t>
    </r>
    <r>
      <rPr>
        <b/>
        <i/>
        <sz val="10"/>
        <rFont val="Arial"/>
        <family val="2"/>
      </rPr>
      <t>Yearly 2018
&gt;100milion
&amp;&gt;5years</t>
    </r>
  </si>
  <si>
    <t>Total 4,000 lit ( 1800 lit for run test and 4800 lit  for in load)</t>
  </si>
  <si>
    <t>Recharge powder fire extinguisher 2 times /year (552pcs MFZ8 + 8pcs ABC)</t>
  </si>
  <si>
    <t>Filters replacement (Filtration system T5), order 2017 75milion</t>
  </si>
  <si>
    <t>Around 70 kg / year</t>
  </si>
  <si>
    <t>Pressure tank/ Bình giãn nở</t>
  </si>
  <si>
    <t>3pcs/ year 2018</t>
  </si>
  <si>
    <t>BUDGET 2018</t>
  </si>
  <si>
    <r>
      <t xml:space="preserve">Chi phí hành chính
</t>
    </r>
    <r>
      <rPr>
        <i/>
        <sz val="10"/>
        <rFont val="Arial"/>
        <family val="2"/>
      </rPr>
      <t>Administrative expenses</t>
    </r>
  </si>
  <si>
    <r>
      <t xml:space="preserve">Hợp đồng thuê ngoài
</t>
    </r>
    <r>
      <rPr>
        <i/>
        <sz val="10"/>
        <rFont val="Arial"/>
        <family val="2"/>
      </rPr>
      <t xml:space="preserve">Outsourced services contract </t>
    </r>
  </si>
  <si>
    <r>
      <t xml:space="preserve">Chi phí sửa chữa, bảo trì hệ thống tòa nhà
</t>
    </r>
    <r>
      <rPr>
        <i/>
        <sz val="10"/>
        <rFont val="Arial"/>
        <family val="2"/>
      </rPr>
      <t>Building system / facilities / repair &amp; maintenance</t>
    </r>
  </si>
  <si>
    <r>
      <t xml:space="preserve">Chi phí tiện ích
</t>
    </r>
    <r>
      <rPr>
        <i/>
        <sz val="10"/>
        <rFont val="Arial"/>
        <family val="2"/>
      </rPr>
      <t>Utilities</t>
    </r>
  </si>
  <si>
    <t>Budget 2019
Dự toán 2019</t>
  </si>
  <si>
    <t>Budget 2020
Dự toán 2020</t>
  </si>
  <si>
    <t>Budget 2021
Dự toán 2021</t>
  </si>
  <si>
    <t>Budget 2022
Dự toán 2022</t>
  </si>
  <si>
    <t>MASTER BUDGET 2018 - 2022 - Expenditure From Management Fee</t>
  </si>
  <si>
    <t>Spare parts for replacement rope of 18 lifts (2022: 5Lift)</t>
  </si>
  <si>
    <t>BUDGET 2019
DỰ TOÁN 2019</t>
  </si>
  <si>
    <t>BUDGET 2020
DỰ TOÁN 2020</t>
  </si>
  <si>
    <t>BUDGET 2021
DỰ TOÁN 2021</t>
  </si>
  <si>
    <t>BUDGET 2022
DỰ TOÁN 2022</t>
  </si>
  <si>
    <t>Buying washing machines, dryers and depreciation for 5 years</t>
  </si>
  <si>
    <t>CP trang trí theo mùa
Festive Decorations (Xmas, Tet Holidays, Mid-Autumn)</t>
  </si>
  <si>
    <t>For Tet: VND30,000,000, Xmas: VND60,000,000, Mid-Autumn: 30m</t>
  </si>
  <si>
    <t>Trương Thanh Hiếu</t>
  </si>
  <si>
    <t>Nguyễn Viết Phương</t>
  </si>
  <si>
    <t>Quý Tuấn</t>
  </si>
  <si>
    <t>Nguyễn Văn Hoàng</t>
  </si>
  <si>
    <t>Nguyễn Văn Long</t>
  </si>
  <si>
    <t>Nguyễn Tiến Lâm</t>
  </si>
  <si>
    <t>Thuận Gia Lộc</t>
  </si>
  <si>
    <t>Đồng Văn Lước</t>
  </si>
  <si>
    <t>Nguyễn Văn Thạnh</t>
  </si>
  <si>
    <t>Phú Mỹ Hậu</t>
  </si>
  <si>
    <t>Bùi Hồng Thanh Tuân</t>
  </si>
  <si>
    <t>Nguyễn Văn Tuấn</t>
  </si>
  <si>
    <t>Võ Trí Dũng</t>
  </si>
  <si>
    <t>Trần Thị Thúy Dung</t>
  </si>
  <si>
    <t>Trần Thanh Tuấn</t>
  </si>
  <si>
    <t>Cao Văn Mạnh</t>
  </si>
  <si>
    <t>Nguyễn Trường Ân</t>
  </si>
  <si>
    <t>1202</t>
  </si>
  <si>
    <t>Nguyễn Thị Thu Thảo</t>
  </si>
  <si>
    <t>Trương Thế Minh</t>
  </si>
  <si>
    <t>Nguyễn Huỳnh Tôn Nữ Thúy Hằng</t>
  </si>
  <si>
    <t>Lưu Quang Thoảng</t>
  </si>
  <si>
    <t>Hồ Thị Phượng Hằng</t>
  </si>
  <si>
    <t>Phạm Thị Anh Thư</t>
  </si>
  <si>
    <t>Phạm Ngọc Thành</t>
  </si>
  <si>
    <t>Lê Hữu Cường</t>
  </si>
  <si>
    <t>Nguyễn Trung Nhân</t>
  </si>
  <si>
    <t>Đinh Minh Kiệt</t>
  </si>
  <si>
    <t>1863</t>
  </si>
  <si>
    <t>Nguyễn Nhựt Hưng</t>
  </si>
  <si>
    <t>Nguyễn Thị Khánh Ngọc</t>
  </si>
  <si>
    <t>1867</t>
  </si>
  <si>
    <t>Âu Thị Hồng Hoa</t>
  </si>
  <si>
    <t>1912</t>
  </si>
  <si>
    <t>Nguyễn Thuận Minh</t>
  </si>
  <si>
    <t>ACCOUNTING DEPARTMENT</t>
  </si>
  <si>
    <t>PROPERTY MANAGEMENT</t>
  </si>
  <si>
    <t>CUSTOMER SERVICE DEPARTMENT</t>
  </si>
  <si>
    <t>PURCHASING DEPARTMENT</t>
  </si>
  <si>
    <t>BUILDING EXECUTIVE DEPARTMENT</t>
  </si>
  <si>
    <t>GYM&amp;POOL DEPARTMENT</t>
  </si>
  <si>
    <t>ENGINEERING DEPARTMENT</t>
  </si>
  <si>
    <t>E</t>
  </si>
  <si>
    <t>Trần Thuỵ Bảo Trâm</t>
  </si>
  <si>
    <t>xxx</t>
  </si>
  <si>
    <t>Diff</t>
  </si>
  <si>
    <t>Customer Service cum Receptionist</t>
  </si>
  <si>
    <t>Mrs. Võ Thị Thu Hiền</t>
  </si>
  <si>
    <t>Mr. Lau Hoong Chew</t>
  </si>
  <si>
    <t>Mrs. Nguyễn Ngọc Bảo Hằng</t>
  </si>
  <si>
    <t>BOC Member/ Thành Viên</t>
  </si>
  <si>
    <t>Nguyễn Nhật Hưng</t>
  </si>
  <si>
    <t>Property Manager/ Giám Đốc Toà Nhà</t>
  </si>
  <si>
    <r>
      <t>CP thuê hệ thống bãi xe thông minh</t>
    </r>
    <r>
      <rPr>
        <i/>
        <sz val="10"/>
        <rFont val="Arial"/>
        <family val="2"/>
      </rPr>
      <t xml:space="preserve">
Smart Parking system services</t>
    </r>
  </si>
  <si>
    <t>2018</t>
  </si>
  <si>
    <t>LÃI LỖ/ P&amp;L</t>
  </si>
  <si>
    <r>
      <t xml:space="preserve">HẠNG MỤC/ </t>
    </r>
    <r>
      <rPr>
        <b/>
        <i/>
        <sz val="10"/>
        <color theme="1"/>
        <rFont val="Arial"/>
        <family val="2"/>
      </rPr>
      <t>ITEMS</t>
    </r>
  </si>
  <si>
    <t>DÒNG TIỀN/ CASHFLOW</t>
  </si>
  <si>
    <t>DỰ TOÁN 2018
BUDGET 2018</t>
  </si>
  <si>
    <t>DOANH THU/ REVENUE</t>
  </si>
  <si>
    <t>Phí quản lý khu thương mại, căn hộ dịch vụ, văn phòng/ Management Fee from Retail, Service Apartment &amp; Office</t>
  </si>
  <si>
    <t>Phí đậu xe/ Parking fee</t>
  </si>
  <si>
    <t>Phí quảng cáo/ Advertising</t>
  </si>
  <si>
    <t xml:space="preserve">Phí quản lý khu căn hộ/ Management Fee for Residents </t>
  </si>
  <si>
    <t>TỔNG CỘNG DOANH THU/ TOTAL REVENUE</t>
  </si>
  <si>
    <t>CHI PHÍ/ EXPENSE</t>
  </si>
  <si>
    <t>TỔNG CỘNG CHI PHÍ/ TOTAL EXPENSE</t>
  </si>
  <si>
    <t>I.</t>
  </si>
  <si>
    <t>II.</t>
  </si>
  <si>
    <t>III.</t>
  </si>
  <si>
    <t>DOANH THU TRỪ CHI PHÍ/ REVENUE LESS EXPENDITURE</t>
  </si>
  <si>
    <t>a.</t>
  </si>
  <si>
    <t>Phí quản lý Tháp 1, 2, 3, 4/ MF of Tower # 1, 2, 3, 4</t>
  </si>
  <si>
    <t>b.</t>
  </si>
  <si>
    <t>Phí quản lý Tháp 5/ MF of Tower 5</t>
  </si>
  <si>
    <r>
      <rPr>
        <b/>
        <sz val="10"/>
        <rFont val="Arial"/>
        <family val="2"/>
      </rPr>
      <t xml:space="preserve"> 
                                                                                                                                                                                                 </t>
    </r>
    <r>
      <rPr>
        <b/>
        <u/>
        <sz val="10"/>
        <rFont val="Arial"/>
        <family val="2"/>
      </rPr>
      <t xml:space="preserve"> BOC/ BAN QUẢN TRỊ 
</t>
    </r>
    <r>
      <rPr>
        <b/>
        <sz val="10"/>
        <rFont val="Arial"/>
        <family val="2"/>
      </rPr>
      <t xml:space="preserve">
                   </t>
    </r>
    <r>
      <rPr>
        <b/>
        <u/>
        <sz val="10"/>
        <rFont val="Arial"/>
        <family val="2"/>
      </rPr>
      <t>Approved by/ Duyệt bởi:</t>
    </r>
    <r>
      <rPr>
        <b/>
        <sz val="10"/>
        <rFont val="Arial"/>
        <family val="2"/>
      </rPr>
      <t xml:space="preserve">                                                                     </t>
    </r>
    <r>
      <rPr>
        <b/>
        <u/>
        <sz val="10"/>
        <rFont val="Arial"/>
        <family val="2"/>
      </rPr>
      <t>Approved by/ Duyệt bởi:</t>
    </r>
    <r>
      <rPr>
        <b/>
        <sz val="10"/>
        <rFont val="Arial"/>
        <family val="2"/>
      </rPr>
      <t xml:space="preserve">                                                                        </t>
    </r>
    <r>
      <rPr>
        <b/>
        <u/>
        <sz val="10"/>
        <rFont val="Arial"/>
        <family val="2"/>
      </rPr>
      <t xml:space="preserve">Approved by/ Duyệt bởi: </t>
    </r>
    <r>
      <rPr>
        <b/>
        <sz val="10"/>
        <rFont val="Arial"/>
        <family val="2"/>
      </rPr>
      <t xml:space="preserve">                                                                                       </t>
    </r>
    <r>
      <rPr>
        <b/>
        <u/>
        <sz val="10"/>
        <rFont val="Arial"/>
        <family val="2"/>
      </rPr>
      <t xml:space="preserve"> Approved by/ Duyệt bởi:
</t>
    </r>
    <r>
      <rPr>
        <b/>
        <sz val="10"/>
        <rFont val="Arial"/>
        <family val="2"/>
      </rPr>
      <t xml:space="preserve">
Mr. Thibaut Giroux - Thành viên/ BOC Member                              Mr. Joseph Rifkin - Thành viên/ BOC Member                               Mrs. Nguyễn Ngọc Bảo Hằng  - Thành viên/ BOC Member                              Mrs. Trần Thị Minh Tâm  - Thành viên/ BOC Member
                             </t>
    </r>
    <r>
      <rPr>
        <b/>
        <u/>
        <sz val="10"/>
        <rFont val="Arial"/>
        <family val="2"/>
      </rPr>
      <t xml:space="preserve">Approval by/ Duyệt bởi </t>
    </r>
    <r>
      <rPr>
        <b/>
        <sz val="10"/>
        <rFont val="Arial"/>
        <family val="2"/>
      </rPr>
      <t xml:space="preserve">                                                                                                                           </t>
    </r>
    <r>
      <rPr>
        <b/>
        <u/>
        <sz val="10"/>
        <rFont val="Arial"/>
        <family val="2"/>
      </rPr>
      <t xml:space="preserve">Approval by/ Duyệt bởi  </t>
    </r>
    <r>
      <rPr>
        <b/>
        <sz val="10"/>
        <rFont val="Arial"/>
        <family val="2"/>
      </rPr>
      <t xml:space="preserve">                                                                                                                       </t>
    </r>
    <r>
      <rPr>
        <b/>
        <u/>
        <sz val="10"/>
        <rFont val="Arial"/>
        <family val="2"/>
      </rPr>
      <t xml:space="preserve"> Approval by/ Duyệt bởi</t>
    </r>
    <r>
      <rPr>
        <b/>
        <sz val="10"/>
        <rFont val="Arial"/>
        <family val="2"/>
      </rPr>
      <t xml:space="preserve">
Mrs. Võ Thị Thu Hiền - Phó Ban Quản Trị/ Vice Chairwoman of BOC                                                 Mr. Huỳnh Minh Mẫn - Trưởng Ban Quản Trị/ Chairman of BOC                                                  Mr. Lau Hoong Chew - Phó Ban Quản Trị/ Vice Chairman of BOC
                                                                                                                                              </t>
    </r>
    <r>
      <rPr>
        <b/>
        <u/>
        <sz val="10"/>
        <rFont val="Arial"/>
        <family val="2"/>
      </rPr>
      <t>CÔNG TY TNHH SAVILLS (VIỆT NAM) - CN. TP HCM/ SAVILLS (VIETNAM) CO., LTD. - HCM</t>
    </r>
    <r>
      <rPr>
        <b/>
        <sz val="10"/>
        <rFont val="Arial"/>
        <family val="2"/>
      </rPr>
      <t xml:space="preserve">
                          </t>
    </r>
    <r>
      <rPr>
        <b/>
        <u/>
        <sz val="10"/>
        <rFont val="Arial"/>
        <family val="2"/>
      </rPr>
      <t>Prepared by/ Thực hiện bởi:</t>
    </r>
    <r>
      <rPr>
        <b/>
        <sz val="10"/>
        <rFont val="Arial"/>
        <family val="2"/>
      </rPr>
      <t xml:space="preserve">                                                                                                                           </t>
    </r>
    <r>
      <rPr>
        <b/>
        <u/>
        <sz val="10"/>
        <rFont val="Arial"/>
        <family val="2"/>
      </rPr>
      <t>Approval by/ Duyệt bởi:</t>
    </r>
    <r>
      <rPr>
        <b/>
        <sz val="10"/>
        <rFont val="Arial"/>
        <family val="2"/>
      </rPr>
      <t xml:space="preserve">                                                                                                                             </t>
    </r>
    <r>
      <rPr>
        <b/>
        <u/>
        <sz val="10"/>
        <rFont val="Arial"/>
        <family val="2"/>
      </rPr>
      <t xml:space="preserve">Checked by/ Kiểm tra bởi:
</t>
    </r>
    <r>
      <rPr>
        <b/>
        <sz val="10"/>
        <rFont val="Arial"/>
        <family val="2"/>
      </rPr>
      <t xml:space="preserve">
Trần Thị Thúy Dung - Quản Lý Kế Toán/ Seinor Accountant                                                          Trần Minh Ái - GĐ Quản Lý Tài Sản/ Director of Property Management                                                           Nguyễn Nhật Hưng - Giám Đốc Tòa Nhà/ Property Manager
     </t>
    </r>
  </si>
  <si>
    <t>Mr. Thibaut Giroux - Thành viên/ BOC Member</t>
  </si>
  <si>
    <t xml:space="preserve"> Mr. Joseph Rifkin - Thành viên/ BOC Member</t>
  </si>
  <si>
    <t xml:space="preserve">Mrs. Nguyễn Ngọc Bảo Hằng  - Thành viên/ BOC Member </t>
  </si>
  <si>
    <t xml:space="preserve"> Mrs. Trần Thị Minh Tâm  - Thành viên/ BOC Member
</t>
  </si>
  <si>
    <t>Trần Minh Ái - GĐ Quản Lý Tài Sản/ Director of Property Management</t>
  </si>
  <si>
    <t xml:space="preserve">
Trần Thị Thúy Dung - Quản Lý Kế Toán/ Seinor Accountant </t>
  </si>
  <si>
    <t>Mr. Lau Hoong Chew - Phó BQT/ Vice Chairman of BOC</t>
  </si>
  <si>
    <t>Mrs. Võ Thị Thu Hiền - Phó BQT/ Vice Chairwoman of BOC</t>
  </si>
  <si>
    <t xml:space="preserve"> Mr. Huỳnh Minh Mẫn - Trưởng BQT/ Chairman of BOC</t>
  </si>
  <si>
    <r>
      <t xml:space="preserve">DOANH THU DỰ TOÁN
</t>
    </r>
    <r>
      <rPr>
        <b/>
        <i/>
        <sz val="10"/>
        <rFont val="Arial"/>
        <family val="2"/>
      </rPr>
      <t>PROJECTED REVENUES</t>
    </r>
  </si>
  <si>
    <r>
      <t xml:space="preserve">CHI PHÍ DỰ TOÁN
</t>
    </r>
    <r>
      <rPr>
        <b/>
        <i/>
        <sz val="10"/>
        <rFont val="Arial"/>
        <family val="2"/>
      </rPr>
      <t>PROJECTED EXPENSES</t>
    </r>
  </si>
  <si>
    <r>
      <t xml:space="preserve">CHI PHÍ HÀNH CHÍNH
</t>
    </r>
    <r>
      <rPr>
        <b/>
        <i/>
        <sz val="10"/>
        <rFont val="Arial"/>
        <family val="2"/>
      </rPr>
      <t>ADMINISTRATIVE EXPENSES</t>
    </r>
  </si>
  <si>
    <t>A1.1</t>
  </si>
  <si>
    <t>A1.2</t>
  </si>
  <si>
    <t>A1.3</t>
  </si>
  <si>
    <t>A1.4</t>
  </si>
  <si>
    <t>A1.5</t>
  </si>
  <si>
    <t>B17</t>
  </si>
  <si>
    <r>
      <t xml:space="preserve">HỢP ĐỒNG THUÊ NGOÀI
</t>
    </r>
    <r>
      <rPr>
        <b/>
        <i/>
        <sz val="10"/>
        <rFont val="Arial"/>
        <family val="2"/>
      </rPr>
      <t xml:space="preserve">OUTSOURCED SERVICES CONTRACT </t>
    </r>
  </si>
  <si>
    <r>
      <t xml:space="preserve">CHI PHÍ SỬA CHỮA, BẢO TRÌ HỆ THỐNG TÒA NHÀ
</t>
    </r>
    <r>
      <rPr>
        <b/>
        <i/>
        <sz val="10"/>
        <rFont val="Arial"/>
        <family val="2"/>
      </rPr>
      <t>BUILDING SYSTEM / FACILITIES / REPAIR &amp; MAINTENANCE</t>
    </r>
  </si>
  <si>
    <r>
      <t xml:space="preserve">CHI PHÍ TIỆN ÍCH
</t>
    </r>
    <r>
      <rPr>
        <b/>
        <i/>
        <sz val="10"/>
        <rFont val="Arial"/>
        <family val="2"/>
      </rPr>
      <t>UTILITIES</t>
    </r>
  </si>
  <si>
    <t xml:space="preserve"> Duyệt bởi/ Approved by:  </t>
  </si>
  <si>
    <t xml:space="preserve"> Thực hiện bởi/  Prepared by:</t>
  </si>
  <si>
    <t xml:space="preserve"> Kiểm tra bởi/ Checked by:</t>
  </si>
  <si>
    <t>Thu khác/ Others</t>
  </si>
  <si>
    <t>TỔNG HỢP CHI PHÍ, DOANH THU, PHÍ QUẢN LÝ 2018/ SUMMARY EXPENDITURE, REVENUE, MANAGEMENT FEE</t>
  </si>
  <si>
    <t>CHƯƠNG TRÌNH BẢO TRÌ ĐỊNH KỲ TRUNG VÀ DÀI HẠN TỪ 2018 ĐẾN 2022/ LONG-TERM PERIODIC MAINTENANCE PROGRAM FROM 2018 TO 2022</t>
  </si>
  <si>
    <t>Mã
Code</t>
  </si>
  <si>
    <t>Hạng mục/ Items</t>
  </si>
  <si>
    <t>Số tiền
Total Amount</t>
  </si>
  <si>
    <t>YTD 2019</t>
  </si>
  <si>
    <t>YTD 2020</t>
  </si>
  <si>
    <t>YTD 2021</t>
  </si>
  <si>
    <t>YTD 2022</t>
  </si>
  <si>
    <t>Transfer 2019</t>
  </si>
  <si>
    <t>2019</t>
  </si>
  <si>
    <t>Transfer 2020</t>
  </si>
  <si>
    <t>2020</t>
  </si>
  <si>
    <t>Transfer 2021</t>
  </si>
  <si>
    <t>2021</t>
  </si>
  <si>
    <t>Transfer 2022</t>
  </si>
  <si>
    <t>2022</t>
  </si>
  <si>
    <t>Nguyễn  Nhựt Hưng - Giám Đốc Tòa Nhà/ Property Manager</t>
  </si>
  <si>
    <t>Nguyễn Nhựt Hưng - Giám Đốc Tòa Nhà/ Property Manager</t>
  </si>
  <si>
    <t>APM cum HR &amp; Admin</t>
  </si>
  <si>
    <t>Note</t>
  </si>
  <si>
    <t>Trần Minh Ái - GĐ Quản Lý Tài Sản/ Director of Property Management
SAVILLS (VIETNAM) CO., LTD. - HCM</t>
  </si>
  <si>
    <t>DỰ TOÁN LÃI - LỖ HOẠT ĐỘNG 2018/ OPERATING P&amp;L PROJECTION 2018</t>
  </si>
  <si>
    <t>Add OT for holiday, Tet</t>
  </si>
  <si>
    <t>Add OT for Tet</t>
  </si>
  <si>
    <t>DỰ TOÁN CHI HOẠT ĐỘNG 2018/ OPERATING OUT CASH PROJECTION 2018</t>
  </si>
  <si>
    <t>2018 PROVISION STAFF COST/ CHI PHÍ NHÂN VIÊN 2018</t>
  </si>
  <si>
    <t>TỔNG CỘNG/ TOTAL</t>
  </si>
  <si>
    <t>SAVILLS (VIETNAM) CO., LTD. - HCM</t>
  </si>
  <si>
    <t xml:space="preserve"> Duyệt bởi/ Approved by:</t>
  </si>
  <si>
    <t xml:space="preserve">Trần Thị Thúy Dung - Quản Lý Kế Toán/ Seinor Accountant </t>
  </si>
  <si>
    <t>DỰ TOÁN CHI ĐẦU TƯ TỪ QUỸ BẢO TRÌ NĂM 2018
INVESTMENT EXPENDITURE PROJECTION 2018 FROM SINKING FUND</t>
  </si>
  <si>
    <r>
      <t xml:space="preserve">CHI PHÍ HÀNH CHÍNH
</t>
    </r>
    <r>
      <rPr>
        <b/>
        <i/>
        <sz val="10"/>
        <color theme="1"/>
        <rFont val="Arial"/>
        <family val="2"/>
      </rPr>
      <t>ADMINISTRATIVE EXPENSES</t>
    </r>
  </si>
  <si>
    <t>Actual 2017: Exclude maintenance lift fee: 4,5,6,7,8 actual paid by Sunking fund
Chưa bao gồm phí bảo trì thang máy 4,5,6,7,8, nhưng thực tế được chi trả bởi quỹ Bảo Trì</t>
  </si>
  <si>
    <t xml:space="preserve">Upgrade PA system: more text message and more speaker to upper floors (from GF-RF)/ Nâng cấp hệ thống phát thanh công cộng </t>
  </si>
  <si>
    <t>Lifts/ Thang máy</t>
  </si>
  <si>
    <t>DỰ TOÁN CHI ĐẦU TƯ TỪ QUỸ BẢO TRÌ TỪ NĂM 2018 ĐẾN 2022
INVESTMENT EXPENDITURE PROJECTION 2018 - 2022 FROM SINKING FUND</t>
  </si>
  <si>
    <t>THỰC TẾ 2017
ACTUAL 2017</t>
  </si>
  <si>
    <t>Estimated/ Accutal Forcast 2017</t>
  </si>
  <si>
    <t>DỰ TOÁN THU - CHI HOẠT ĐỘNG 2018/ OPERATING CASH INFLOW - OUTFLOW PROJECTION 2018</t>
  </si>
  <si>
    <t>DỰ TOÁN THU
CASH INFLOW</t>
  </si>
  <si>
    <t>TỔNG THU
TOTAL CASH INFLOW</t>
  </si>
  <si>
    <t>DỰ TOÁN CHI
CASH OUTFLOW</t>
  </si>
  <si>
    <r>
      <t xml:space="preserve">TỔNG CHI
</t>
    </r>
    <r>
      <rPr>
        <b/>
        <i/>
        <sz val="10"/>
        <rFont val="Arial"/>
        <family val="2"/>
      </rPr>
      <t>TOTAL CASH OUTFLOW</t>
    </r>
  </si>
  <si>
    <r>
      <t xml:space="preserve">CHÊNH LỆCH THU - CHI
</t>
    </r>
    <r>
      <rPr>
        <b/>
        <i/>
        <sz val="10"/>
        <rFont val="Arial"/>
        <family val="2"/>
      </rPr>
      <t>BALANCE (INFLOW - OUTFLOW)</t>
    </r>
  </si>
  <si>
    <t>CHI PHÍ BẢO TRÌ TOÀ NHÀ 2018/ OUT CASH FOR MAINTENANCE 2018</t>
  </si>
  <si>
    <t>Date</t>
  </si>
  <si>
    <t>THE VISTA AN PHÚ</t>
  </si>
  <si>
    <t>BUDGET 2018/ NGÂN SÁCH 2018</t>
  </si>
  <si>
    <t>MANAGEMENT FUND/ QUỸ PHÍ QUẢN LÝ</t>
  </si>
  <si>
    <t>SINKING FUND/ QUỸ BẢO TRÌ</t>
  </si>
  <si>
    <t>Sửa chữa mặt ngoài và xử lý các vết nứt/ Repair crack and external  touch up</t>
  </si>
  <si>
    <t>TĂNG 9% NĂM 2018/ 9% INCREASE FOR 2018</t>
  </si>
  <si>
    <t>Vs/ CHÊNH LỆCH</t>
  </si>
  <si>
    <t>RECONCILIATION</t>
  </si>
  <si>
    <r>
      <t xml:space="preserve">Vs </t>
    </r>
    <r>
      <rPr>
        <b/>
        <sz val="10"/>
        <rFont val="Wingdings 3"/>
        <family val="1"/>
        <charset val="2"/>
      </rPr>
      <t>r</t>
    </r>
  </si>
  <si>
    <t>Vs %</t>
  </si>
  <si>
    <r>
      <t xml:space="preserve">Ghi chú
</t>
    </r>
    <r>
      <rPr>
        <b/>
        <i/>
        <sz val="8"/>
        <rFont val="Arial"/>
        <family val="2"/>
      </rPr>
      <t>Note</t>
    </r>
  </si>
  <si>
    <t>Gate/ Cổng</t>
  </si>
  <si>
    <t>Doors/ Cửa</t>
  </si>
  <si>
    <t>Lavatory / Thiết bị vệ sinh</t>
  </si>
  <si>
    <t>Sanitary Fixures/  Dụng cụ vệ sinh</t>
  </si>
  <si>
    <t>Water features/ Dụng cụ thiết bị nước</t>
  </si>
  <si>
    <t>Waterproofing/ Chống thấm</t>
  </si>
  <si>
    <t>Waterproofing : silicon glass window/ Chống thấm kính cửa</t>
  </si>
  <si>
    <t>Wall partition/ tường vách ngăn</t>
  </si>
  <si>
    <t>Granite/ Đá</t>
  </si>
  <si>
    <t>Repair crack on external/internal walls/ Sửa chữa nứt tường</t>
  </si>
  <si>
    <t>Road and ground/ Đường và lối đi</t>
  </si>
  <si>
    <t>Ramp renovation/ Cải tạo Ramp dốc</t>
  </si>
  <si>
    <t>Drains/ Thoát nước</t>
  </si>
  <si>
    <t>Drain pipe system repair/ Sửa chữa đường ống thoát</t>
  </si>
  <si>
    <t>Date: 06 Feb 2018</t>
  </si>
  <si>
    <t xml:space="preserve">Như vậy, trung bình mỗi năm sử dụng khoảng 3,7tỷ VND từ quỹ Bảo Trì/ Usage 3,7 billion/ year from SF  </t>
  </si>
  <si>
    <r>
      <t xml:space="preserve">CHI PHÍ NĂNG LƯỢNG TIÊU THỤ
</t>
    </r>
    <r>
      <rPr>
        <b/>
        <i/>
        <sz val="10"/>
        <rFont val="Arial"/>
        <family val="2"/>
      </rPr>
      <t>UTILITIES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</si>
</sst>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_);_(* \(#,##0\);_(* &quot;-&quot;??_);_(@_)"/>
    <numFmt numFmtId="165" formatCode="[$-409]dd\-mmm\-yy;@"/>
    <numFmt numFmtId="166" formatCode="&quot;On&quot;;&quot;On&quot;;&quot;Off&quot;"/>
    <numFmt numFmtId="167" formatCode="[$-409]d\-mmm\-yy;@"/>
    <numFmt numFmtId="168" formatCode="[$-1010409]d\ mmm\ yy;@"/>
    <numFmt numFmtId="169" formatCode="0.0"/>
    <numFmt numFmtId="170" formatCode="mmm\-yyyy"/>
    <numFmt numFmtId="171" formatCode="0.0000%"/>
    <numFmt numFmtId="172" formatCode="_-* #,##0.00_-;\-* #,##0.00_-;_-* &quot;-&quot;??_-;_-@_-"/>
    <numFmt numFmtId="173" formatCode="_-* #,##0_-;\-* #,##0_-;_-* &quot;-&quot;??_-;_-@_-"/>
  </numFmts>
  <fonts count="126" x14ac:knownFonts="1">
    <font>
      <sz val="11"/>
      <color theme="1"/>
      <name val="Calibri"/>
      <family val="2"/>
      <scheme val="minor"/>
    </font>
    <font>
      <sz val="10"/>
      <name val="Arial"/>
      <family val="2"/>
    </font>
    <font>
      <b/>
      <sz val="10"/>
      <name val="Arial"/>
      <family val="2"/>
    </font>
    <font>
      <i/>
      <sz val="10"/>
      <color rgb="FF006600"/>
      <name val="Arial"/>
      <family val="2"/>
    </font>
    <font>
      <sz val="10"/>
      <color theme="1"/>
      <name val="Calibri"/>
      <family val="2"/>
      <scheme val="minor"/>
    </font>
    <font>
      <b/>
      <i/>
      <sz val="10"/>
      <name val="Arial"/>
      <family val="2"/>
    </font>
    <font>
      <b/>
      <sz val="10"/>
      <color rgb="FF00B050"/>
      <name val="Arial"/>
      <family val="2"/>
    </font>
    <font>
      <sz val="10"/>
      <color rgb="FFFF0000"/>
      <name val="Arial"/>
      <family val="2"/>
    </font>
    <font>
      <i/>
      <sz val="10"/>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i/>
      <sz val="10"/>
      <color rgb="FF00B050"/>
      <name val="Arial"/>
      <family val="2"/>
    </font>
    <font>
      <sz val="10"/>
      <color theme="1"/>
      <name val="Arial"/>
      <family val="2"/>
    </font>
    <font>
      <b/>
      <sz val="10"/>
      <color rgb="FFFF0000"/>
      <name val="Arial"/>
      <family val="2"/>
    </font>
    <font>
      <b/>
      <sz val="10"/>
      <color theme="1"/>
      <name val="Arial"/>
      <family val="2"/>
    </font>
    <font>
      <i/>
      <sz val="10"/>
      <color theme="1"/>
      <name val="Arial"/>
      <family val="2"/>
    </font>
    <font>
      <b/>
      <sz val="10"/>
      <color rgb="FF000099"/>
      <name val="Arial"/>
      <family val="2"/>
    </font>
    <font>
      <sz val="12"/>
      <name val="Arial"/>
      <family val="2"/>
    </font>
    <font>
      <b/>
      <sz val="12"/>
      <color rgb="FF0070C0"/>
      <name val="Arial"/>
      <family val="2"/>
    </font>
    <font>
      <b/>
      <i/>
      <sz val="10"/>
      <color theme="1"/>
      <name val="Arial"/>
      <family val="2"/>
    </font>
    <font>
      <sz val="15"/>
      <name val="Arial"/>
      <family val="2"/>
    </font>
    <font>
      <b/>
      <sz val="15"/>
      <name val="Arial"/>
      <family val="2"/>
    </font>
    <font>
      <sz val="15"/>
      <color theme="1"/>
      <name val="Calibri"/>
      <family val="2"/>
      <scheme val="minor"/>
    </font>
    <font>
      <i/>
      <sz val="15"/>
      <name val="Arial"/>
      <family val="2"/>
    </font>
    <font>
      <b/>
      <sz val="15"/>
      <color rgb="FF006600"/>
      <name val="Arial"/>
      <family val="2"/>
    </font>
    <font>
      <b/>
      <sz val="15"/>
      <color rgb="FF00B050"/>
      <name val="Arial"/>
      <family val="2"/>
    </font>
    <font>
      <sz val="11"/>
      <color theme="1"/>
      <name val="Calibri"/>
      <family val="2"/>
      <scheme val="minor"/>
    </font>
    <font>
      <b/>
      <sz val="12"/>
      <color rgb="FF00B050"/>
      <name val="Arial"/>
      <family val="2"/>
    </font>
    <font>
      <b/>
      <u val="singleAccounting"/>
      <sz val="10"/>
      <color theme="1"/>
      <name val="Arial"/>
      <family val="2"/>
    </font>
    <font>
      <sz val="11"/>
      <name val="Arial"/>
      <family val="2"/>
    </font>
    <font>
      <b/>
      <sz val="11"/>
      <name val="Arial"/>
      <family val="2"/>
    </font>
    <font>
      <sz val="10"/>
      <name val=".VnArial"/>
      <family val="2"/>
    </font>
    <font>
      <b/>
      <sz val="18"/>
      <name val="Arial"/>
      <family val="2"/>
    </font>
    <font>
      <b/>
      <u/>
      <sz val="11"/>
      <name val="Arial"/>
      <family val="2"/>
    </font>
    <font>
      <u/>
      <sz val="11"/>
      <name val="Arial"/>
      <family val="2"/>
    </font>
    <font>
      <b/>
      <sz val="12"/>
      <name val="Arial"/>
      <family val="2"/>
    </font>
    <font>
      <b/>
      <sz val="16"/>
      <name val="Arial"/>
      <family val="2"/>
    </font>
    <font>
      <u/>
      <sz val="12"/>
      <name val="Arial"/>
      <family val="2"/>
    </font>
    <font>
      <b/>
      <u/>
      <sz val="12"/>
      <name val="Arial"/>
      <family val="2"/>
    </font>
    <font>
      <b/>
      <sz val="11"/>
      <color rgb="FF7030A0"/>
      <name val="Arial"/>
      <family val="2"/>
    </font>
    <font>
      <b/>
      <sz val="11"/>
      <color rgb="FFFF0000"/>
      <name val="Arial"/>
      <family val="2"/>
    </font>
    <font>
      <sz val="10"/>
      <name val="Arial"/>
      <family val="2"/>
    </font>
    <font>
      <sz val="11"/>
      <color rgb="FFFF0000"/>
      <name val="Arial"/>
      <family val="2"/>
    </font>
    <font>
      <sz val="11"/>
      <color theme="1"/>
      <name val="Arial"/>
      <family val="2"/>
    </font>
    <font>
      <b/>
      <sz val="10"/>
      <name val="Arial"/>
      <family val="2"/>
      <charset val="163"/>
    </font>
    <font>
      <sz val="10"/>
      <name val="Arial"/>
      <family val="2"/>
      <charset val="163"/>
    </font>
    <font>
      <b/>
      <i/>
      <sz val="10"/>
      <name val="Arial"/>
      <family val="2"/>
      <charset val="163"/>
    </font>
    <font>
      <sz val="10"/>
      <color theme="1"/>
      <name val="Arial"/>
      <family val="2"/>
      <charset val="163"/>
    </font>
    <font>
      <sz val="10"/>
      <color rgb="FFFF0000"/>
      <name val="Arial"/>
      <family val="2"/>
      <charset val="163"/>
    </font>
    <font>
      <b/>
      <sz val="9"/>
      <name val="Arial"/>
      <family val="2"/>
    </font>
    <font>
      <b/>
      <sz val="12"/>
      <color theme="0"/>
      <name val="Arial"/>
      <family val="2"/>
    </font>
    <font>
      <u/>
      <sz val="10"/>
      <color theme="10"/>
      <name val="Arial"/>
      <family val="2"/>
    </font>
    <font>
      <i/>
      <sz val="12"/>
      <name val="Arial"/>
      <family val="2"/>
    </font>
    <font>
      <b/>
      <vertAlign val="superscript"/>
      <sz val="10"/>
      <name val="Arial"/>
      <family val="2"/>
    </font>
    <font>
      <b/>
      <sz val="11"/>
      <color theme="1"/>
      <name val="Calibri"/>
      <family val="2"/>
      <scheme val="minor"/>
    </font>
    <font>
      <sz val="11"/>
      <color theme="1"/>
      <name val="Times New Roman"/>
      <family val="1"/>
    </font>
    <font>
      <b/>
      <sz val="16"/>
      <color theme="1"/>
      <name val="Times New Roman"/>
      <family val="1"/>
    </font>
    <font>
      <sz val="10"/>
      <color theme="4" tint="-0.499984740745262"/>
      <name val="Arial"/>
      <family val="2"/>
    </font>
    <font>
      <i/>
      <sz val="11"/>
      <color theme="1"/>
      <name val="Calibri"/>
      <family val="2"/>
      <scheme val="minor"/>
    </font>
    <font>
      <sz val="8"/>
      <color indexed="81"/>
      <name val="Tahoma"/>
      <family val="2"/>
    </font>
    <font>
      <b/>
      <sz val="8"/>
      <color indexed="81"/>
      <name val="Tahoma"/>
      <family val="2"/>
    </font>
    <font>
      <sz val="11"/>
      <color rgb="FF7030A0"/>
      <name val="Arial"/>
      <family val="2"/>
    </font>
    <font>
      <b/>
      <sz val="11"/>
      <color theme="1"/>
      <name val="Arial"/>
      <family val="2"/>
    </font>
    <font>
      <i/>
      <sz val="10"/>
      <color rgb="FF7030A0"/>
      <name val="Arial"/>
      <family val="2"/>
    </font>
    <font>
      <b/>
      <i/>
      <sz val="10"/>
      <color rgb="FF7030A0"/>
      <name val="Arial"/>
      <family val="2"/>
    </font>
    <font>
      <b/>
      <sz val="9"/>
      <color theme="1"/>
      <name val="Arial"/>
      <family val="2"/>
    </font>
    <font>
      <b/>
      <sz val="9"/>
      <color rgb="FFFF0000"/>
      <name val="Arial"/>
      <family val="2"/>
    </font>
    <font>
      <b/>
      <u/>
      <sz val="9"/>
      <color rgb="FF002060"/>
      <name val="Arial"/>
      <family val="2"/>
    </font>
    <font>
      <b/>
      <u/>
      <sz val="9"/>
      <name val="Arial"/>
      <family val="2"/>
    </font>
    <font>
      <sz val="9"/>
      <name val="Arial"/>
      <family val="2"/>
    </font>
    <font>
      <sz val="10"/>
      <color theme="0"/>
      <name val="Arial"/>
      <family val="2"/>
    </font>
    <font>
      <sz val="14"/>
      <color theme="1"/>
      <name val="Times New Roman"/>
      <family val="1"/>
    </font>
    <font>
      <b/>
      <i/>
      <sz val="18"/>
      <color theme="1"/>
      <name val="Times New Roman"/>
      <family val="1"/>
    </font>
    <font>
      <b/>
      <i/>
      <sz val="20"/>
      <color theme="1"/>
      <name val="Times New Roman"/>
      <family val="1"/>
    </font>
    <font>
      <sz val="20"/>
      <color theme="1"/>
      <name val="Times New Roman"/>
      <family val="1"/>
    </font>
    <font>
      <b/>
      <sz val="14"/>
      <color theme="1"/>
      <name val="Times New Roman"/>
      <family val="1"/>
    </font>
    <font>
      <b/>
      <u val="singleAccounting"/>
      <sz val="14"/>
      <color theme="1"/>
      <name val="Times New Roman"/>
      <family val="1"/>
    </font>
    <font>
      <b/>
      <sz val="10"/>
      <color theme="0"/>
      <name val="Arial"/>
      <family val="2"/>
    </font>
    <font>
      <b/>
      <u val="singleAccounting"/>
      <sz val="10"/>
      <color theme="0"/>
      <name val="Arial"/>
      <family val="2"/>
    </font>
    <font>
      <b/>
      <sz val="10"/>
      <color rgb="FF006600"/>
      <name val="Arial"/>
      <family val="2"/>
    </font>
    <font>
      <b/>
      <sz val="10"/>
      <color rgb="FF0070C0"/>
      <name val="Arial"/>
      <family val="2"/>
    </font>
    <font>
      <b/>
      <sz val="10"/>
      <color rgb="FF00B0F0"/>
      <name val="Arial"/>
      <family val="2"/>
    </font>
    <font>
      <b/>
      <sz val="12"/>
      <color rgb="FF00B0F0"/>
      <name val="Arial"/>
      <family val="2"/>
    </font>
    <font>
      <b/>
      <i/>
      <sz val="12"/>
      <color rgb="FF00B050"/>
      <name val="Arial"/>
      <family val="2"/>
    </font>
    <font>
      <b/>
      <sz val="12"/>
      <color rgb="FF006600"/>
      <name val="Arial"/>
      <family val="2"/>
    </font>
    <font>
      <sz val="12"/>
      <color theme="1"/>
      <name val="Arial"/>
      <family val="2"/>
    </font>
    <font>
      <b/>
      <u/>
      <sz val="10"/>
      <name val="Arial"/>
      <family val="2"/>
    </font>
    <font>
      <b/>
      <sz val="14"/>
      <color rgb="FF00B050"/>
      <name val="Arial"/>
      <family val="2"/>
    </font>
    <font>
      <b/>
      <i/>
      <sz val="10"/>
      <color rgb="FF006600"/>
      <name val="Arial"/>
      <family val="2"/>
    </font>
    <font>
      <b/>
      <sz val="10"/>
      <color theme="1"/>
      <name val="Calibri"/>
      <family val="2"/>
      <scheme val="minor"/>
    </font>
    <font>
      <b/>
      <i/>
      <sz val="14"/>
      <color rgb="FF00B050"/>
      <name val="Arial"/>
      <family val="2"/>
    </font>
    <font>
      <sz val="14"/>
      <name val="Arial"/>
      <family val="2"/>
    </font>
    <font>
      <i/>
      <sz val="14"/>
      <name val="Arial"/>
      <family val="2"/>
    </font>
    <font>
      <b/>
      <sz val="14"/>
      <color rgb="FF006600"/>
      <name val="Arial"/>
      <family val="2"/>
    </font>
    <font>
      <sz val="14"/>
      <color theme="1"/>
      <name val="Calibri"/>
      <family val="2"/>
      <scheme val="minor"/>
    </font>
    <font>
      <b/>
      <sz val="14"/>
      <name val="Arial"/>
      <family val="2"/>
    </font>
    <font>
      <b/>
      <sz val="14"/>
      <color rgb="FFFF0000"/>
      <name val="Arial"/>
      <family val="2"/>
    </font>
    <font>
      <b/>
      <u val="singleAccounting"/>
      <sz val="10"/>
      <name val="Arial"/>
      <family val="2"/>
    </font>
    <font>
      <b/>
      <sz val="18"/>
      <color rgb="FF00B050"/>
      <name val="Arial"/>
      <family val="2"/>
    </font>
    <font>
      <b/>
      <u/>
      <sz val="10"/>
      <color theme="1"/>
      <name val="Arial"/>
      <family val="2"/>
    </font>
    <font>
      <b/>
      <u/>
      <sz val="12"/>
      <color theme="1"/>
      <name val="Arial"/>
      <family val="2"/>
    </font>
    <font>
      <i/>
      <sz val="9"/>
      <color theme="0"/>
      <name val="Arial"/>
      <family val="2"/>
    </font>
    <font>
      <b/>
      <i/>
      <sz val="9"/>
      <color theme="0"/>
      <name val="Arial"/>
      <family val="2"/>
    </font>
    <font>
      <sz val="18"/>
      <color rgb="FF00B050"/>
      <name val="Arial"/>
      <family val="2"/>
    </font>
    <font>
      <b/>
      <sz val="18"/>
      <color rgb="FF00B050"/>
      <name val="Arial"/>
      <family val="2"/>
      <charset val="163"/>
    </font>
    <font>
      <b/>
      <sz val="10"/>
      <color rgb="FF00B050"/>
      <name val="Arial"/>
      <family val="2"/>
      <charset val="163"/>
    </font>
    <font>
      <sz val="10"/>
      <color rgb="FF00B050"/>
      <name val="Arial"/>
      <family val="2"/>
      <charset val="163"/>
    </font>
    <font>
      <b/>
      <u/>
      <sz val="10"/>
      <name val="Arial"/>
      <family val="2"/>
      <charset val="163"/>
    </font>
    <font>
      <u/>
      <sz val="10"/>
      <name val="Arial"/>
      <family val="2"/>
    </font>
    <font>
      <b/>
      <sz val="10"/>
      <color rgb="FF7030A0"/>
      <name val="Arial"/>
      <family val="2"/>
    </font>
    <font>
      <b/>
      <sz val="30"/>
      <color theme="8" tint="-0.499984740745262"/>
      <name val="Calibri"/>
      <family val="2"/>
      <scheme val="minor"/>
    </font>
    <font>
      <b/>
      <sz val="24"/>
      <color theme="8" tint="-0.499984740745262"/>
      <name val="Calibri"/>
      <family val="2"/>
      <scheme val="minor"/>
    </font>
    <font>
      <i/>
      <sz val="12"/>
      <color theme="1"/>
      <name val="Calibri"/>
      <family val="2"/>
      <scheme val="minor"/>
    </font>
    <font>
      <b/>
      <sz val="15"/>
      <color theme="1"/>
      <name val="Calibri"/>
      <family val="2"/>
      <scheme val="minor"/>
    </font>
    <font>
      <b/>
      <sz val="60"/>
      <color theme="1"/>
      <name val="Calibri"/>
      <family val="2"/>
      <scheme val="minor"/>
    </font>
    <font>
      <b/>
      <sz val="10"/>
      <name val="Wingdings 3"/>
      <family val="1"/>
      <charset val="2"/>
    </font>
    <font>
      <sz val="8"/>
      <name val="Arial"/>
      <family val="2"/>
    </font>
    <font>
      <b/>
      <sz val="8"/>
      <color rgb="FF0070C0"/>
      <name val="Arial"/>
      <family val="2"/>
    </font>
    <font>
      <b/>
      <sz val="8"/>
      <name val="Arial"/>
      <family val="2"/>
    </font>
    <font>
      <b/>
      <i/>
      <sz val="8"/>
      <name val="Arial"/>
      <family val="2"/>
    </font>
    <font>
      <sz val="8"/>
      <color theme="1"/>
      <name val="Arial"/>
      <family val="2"/>
    </font>
    <font>
      <sz val="8"/>
      <color theme="1"/>
      <name val="Calibri"/>
      <family val="2"/>
      <scheme val="minor"/>
    </font>
    <font>
      <b/>
      <sz val="8"/>
      <color rgb="FF00B050"/>
      <name val="Arial"/>
      <family val="2"/>
    </font>
    <font>
      <sz val="8"/>
      <color theme="8" tint="-0.249977111117893"/>
      <name val="Arial"/>
      <family val="2"/>
    </font>
    <font>
      <i/>
      <sz val="8"/>
      <color rgb="FF006600"/>
      <name val="Arial"/>
      <family val="2"/>
    </font>
  </fonts>
  <fills count="2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indexed="44"/>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auto="1"/>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indexed="64"/>
      </left>
      <right style="thin">
        <color indexed="64"/>
      </right>
      <top/>
      <bottom style="hair">
        <color indexed="64"/>
      </bottom>
      <diagonal/>
    </border>
    <border>
      <left/>
      <right style="thin">
        <color auto="1"/>
      </right>
      <top/>
      <bottom style="hair">
        <color auto="1"/>
      </bottom>
      <diagonal/>
    </border>
    <border>
      <left style="thin">
        <color indexed="64"/>
      </left>
      <right/>
      <top style="thin">
        <color indexed="64"/>
      </top>
      <bottom/>
      <diagonal/>
    </border>
  </borders>
  <cellStyleXfs count="27">
    <xf numFmtId="0" fontId="0" fillId="0" borderId="0"/>
    <xf numFmtId="0" fontId="1" fillId="0" borderId="0"/>
    <xf numFmtId="43" fontId="1" fillId="0" borderId="0" applyFont="0" applyFill="0" applyBorder="0" applyAlignment="0" applyProtection="0"/>
    <xf numFmtId="0" fontId="1" fillId="0" borderId="0"/>
    <xf numFmtId="43" fontId="27" fillId="0" borderId="0" applyFont="0" applyFill="0" applyBorder="0" applyAlignment="0" applyProtection="0"/>
    <xf numFmtId="9" fontId="27" fillId="0" borderId="0" applyFont="0" applyFill="0" applyBorder="0" applyAlignment="0" applyProtection="0"/>
    <xf numFmtId="43" fontId="1" fillId="0" borderId="0" applyProtection="0"/>
    <xf numFmtId="43" fontId="32" fillId="0" borderId="0" applyProtection="0"/>
    <xf numFmtId="0" fontId="1" fillId="0" borderId="0"/>
    <xf numFmtId="43" fontId="1" fillId="0" borderId="0" applyProtection="0"/>
    <xf numFmtId="43" fontId="1" fillId="0" borderId="0" applyProtection="0"/>
    <xf numFmtId="43" fontId="1" fillId="0" borderId="0" applyProtection="0"/>
    <xf numFmtId="43" fontId="1" fillId="0" borderId="0"/>
    <xf numFmtId="43" fontId="1" fillId="0" borderId="0" applyProtection="0"/>
    <xf numFmtId="43" fontId="1" fillId="0" borderId="0" applyProtection="0"/>
    <xf numFmtId="43" fontId="1" fillId="0" borderId="0" applyProtection="0"/>
    <xf numFmtId="0" fontId="42" fillId="0" borderId="0"/>
    <xf numFmtId="43" fontId="1" fillId="0" borderId="0" applyProtection="0"/>
    <xf numFmtId="0" fontId="1" fillId="0" borderId="0"/>
    <xf numFmtId="0" fontId="1" fillId="0" borderId="0"/>
    <xf numFmtId="166" fontId="1" fillId="0" borderId="0" applyFont="0" applyFill="0" applyBorder="0" applyAlignment="0" applyProtection="0"/>
    <xf numFmtId="0" fontId="32" fillId="0" borderId="0"/>
    <xf numFmtId="0" fontId="52" fillId="0" borderId="0" applyNumberFormat="0" applyFill="0" applyBorder="0" applyAlignment="0" applyProtection="0"/>
    <xf numFmtId="43" fontId="27" fillId="0" borderId="0" applyFont="0" applyFill="0" applyBorder="0" applyAlignment="0" applyProtection="0"/>
    <xf numFmtId="0" fontId="1" fillId="0" borderId="0"/>
    <xf numFmtId="172" fontId="27" fillId="0" borderId="0" applyFont="0" applyFill="0" applyBorder="0" applyAlignment="0" applyProtection="0"/>
    <xf numFmtId="0" fontId="1" fillId="0" borderId="0"/>
  </cellStyleXfs>
  <cellXfs count="1416">
    <xf numFmtId="0" fontId="0" fillId="0" borderId="0" xfId="0"/>
    <xf numFmtId="0" fontId="1" fillId="2" borderId="0" xfId="1" applyFill="1" applyAlignment="1">
      <alignment vertical="center"/>
    </xf>
    <xf numFmtId="164" fontId="1" fillId="2" borderId="0" xfId="2" applyNumberFormat="1" applyFill="1" applyAlignment="1">
      <alignment vertical="center"/>
    </xf>
    <xf numFmtId="164" fontId="2" fillId="2" borderId="0" xfId="2" applyNumberFormat="1" applyFont="1" applyFill="1" applyAlignment="1">
      <alignment vertical="center"/>
    </xf>
    <xf numFmtId="164" fontId="0" fillId="2" borderId="0" xfId="2" applyNumberFormat="1" applyFont="1" applyFill="1" applyAlignment="1">
      <alignment vertical="center"/>
    </xf>
    <xf numFmtId="164" fontId="1" fillId="2" borderId="0" xfId="2" applyNumberFormat="1" applyFont="1" applyFill="1" applyAlignment="1">
      <alignment vertical="center"/>
    </xf>
    <xf numFmtId="164" fontId="0" fillId="2" borderId="0" xfId="2" applyNumberFormat="1" applyFont="1" applyFill="1" applyAlignment="1">
      <alignment horizontal="right" vertical="center"/>
    </xf>
    <xf numFmtId="49" fontId="1" fillId="2" borderId="0" xfId="1" applyNumberFormat="1" applyFill="1" applyAlignment="1">
      <alignment vertical="center" wrapText="1"/>
    </xf>
    <xf numFmtId="0" fontId="1" fillId="2" borderId="0" xfId="1" applyNumberFormat="1" applyFill="1" applyAlignment="1">
      <alignment horizontal="left" vertical="center"/>
    </xf>
    <xf numFmtId="0" fontId="3" fillId="2" borderId="0" xfId="1" applyFont="1" applyFill="1" applyAlignment="1">
      <alignment horizontal="right" vertical="center" wrapText="1"/>
    </xf>
    <xf numFmtId="164" fontId="0" fillId="2" borderId="0" xfId="2" applyNumberFormat="1" applyFont="1" applyFill="1" applyBorder="1" applyAlignment="1">
      <alignment vertical="center"/>
    </xf>
    <xf numFmtId="164" fontId="0" fillId="2" borderId="0" xfId="2" applyNumberFormat="1" applyFont="1" applyFill="1" applyBorder="1" applyAlignment="1">
      <alignment horizontal="right" vertical="center"/>
    </xf>
    <xf numFmtId="164" fontId="1" fillId="2" borderId="0" xfId="2" applyNumberFormat="1" applyFont="1" applyFill="1" applyBorder="1" applyAlignment="1">
      <alignment horizontal="right" vertical="center"/>
    </xf>
    <xf numFmtId="49" fontId="1" fillId="2" borderId="0" xfId="2" applyNumberFormat="1" applyFont="1" applyFill="1" applyBorder="1" applyAlignment="1">
      <alignment vertical="center" wrapText="1"/>
    </xf>
    <xf numFmtId="164" fontId="1" fillId="2" borderId="0" xfId="2" applyNumberFormat="1" applyFont="1" applyFill="1" applyBorder="1" applyAlignment="1">
      <alignment horizontal="right" vertical="center" wrapText="1"/>
    </xf>
    <xf numFmtId="164" fontId="4" fillId="2" borderId="0" xfId="2" applyNumberFormat="1" applyFont="1" applyFill="1" applyAlignment="1">
      <alignment vertical="center"/>
    </xf>
    <xf numFmtId="164" fontId="4" fillId="2" borderId="0" xfId="2" applyNumberFormat="1" applyFont="1" applyFill="1" applyBorder="1" applyAlignment="1">
      <alignment vertical="center"/>
    </xf>
    <xf numFmtId="0" fontId="1" fillId="2" borderId="0" xfId="1" applyNumberFormat="1" applyFont="1" applyFill="1" applyAlignment="1">
      <alignment horizontal="left" vertical="center"/>
    </xf>
    <xf numFmtId="164" fontId="2" fillId="2" borderId="0" xfId="2" applyNumberFormat="1" applyFont="1" applyFill="1" applyBorder="1" applyAlignment="1">
      <alignment horizontal="right" vertical="center"/>
    </xf>
    <xf numFmtId="49" fontId="2" fillId="2" borderId="0" xfId="2" applyNumberFormat="1" applyFont="1" applyFill="1" applyBorder="1" applyAlignment="1">
      <alignment vertical="center" wrapText="1"/>
    </xf>
    <xf numFmtId="49" fontId="1" fillId="2" borderId="0" xfId="1" applyNumberFormat="1" applyFont="1" applyFill="1" applyBorder="1" applyAlignment="1">
      <alignment vertical="center" wrapText="1"/>
    </xf>
    <xf numFmtId="0" fontId="1" fillId="2" borderId="0" xfId="1" applyFont="1" applyFill="1" applyAlignment="1">
      <alignment vertical="center"/>
    </xf>
    <xf numFmtId="164" fontId="1" fillId="2" borderId="0" xfId="1" applyNumberFormat="1" applyFont="1" applyFill="1" applyAlignment="1">
      <alignment vertical="center"/>
    </xf>
    <xf numFmtId="164" fontId="2" fillId="2" borderId="1" xfId="2" applyNumberFormat="1" applyFont="1" applyFill="1" applyBorder="1" applyAlignment="1">
      <alignment horizontal="left" vertical="center"/>
    </xf>
    <xf numFmtId="0" fontId="2" fillId="2" borderId="1" xfId="2" applyNumberFormat="1" applyFont="1" applyFill="1" applyBorder="1" applyAlignment="1">
      <alignment horizontal="left" vertical="center"/>
    </xf>
    <xf numFmtId="164" fontId="2" fillId="2" borderId="1" xfId="2" applyNumberFormat="1" applyFont="1" applyFill="1" applyBorder="1" applyAlignment="1">
      <alignment horizontal="center" vertical="center"/>
    </xf>
    <xf numFmtId="164" fontId="2" fillId="2" borderId="1" xfId="2" applyNumberFormat="1" applyFont="1" applyFill="1" applyBorder="1" applyAlignment="1">
      <alignment vertical="center"/>
    </xf>
    <xf numFmtId="164" fontId="1" fillId="2" borderId="1" xfId="2" applyNumberFormat="1" applyFont="1" applyFill="1" applyBorder="1" applyAlignment="1">
      <alignment horizontal="left" vertical="center"/>
    </xf>
    <xf numFmtId="164" fontId="1" fillId="2" borderId="1" xfId="2" applyNumberFormat="1" applyFont="1" applyFill="1" applyBorder="1" applyAlignment="1">
      <alignment vertical="center"/>
    </xf>
    <xf numFmtId="49" fontId="1" fillId="2" borderId="1" xfId="1" applyNumberFormat="1" applyFont="1" applyFill="1" applyBorder="1" applyAlignment="1">
      <alignment vertical="center" wrapText="1"/>
    </xf>
    <xf numFmtId="0" fontId="1" fillId="2" borderId="1" xfId="1" applyNumberFormat="1" applyFont="1" applyFill="1" applyBorder="1" applyAlignment="1">
      <alignment horizontal="left" vertical="center"/>
    </xf>
    <xf numFmtId="164" fontId="6" fillId="2" borderId="1" xfId="2" applyNumberFormat="1" applyFont="1" applyFill="1" applyBorder="1" applyAlignment="1">
      <alignment vertical="center"/>
    </xf>
    <xf numFmtId="164" fontId="6" fillId="2" borderId="1" xfId="2" applyNumberFormat="1" applyFont="1" applyFill="1" applyBorder="1" applyAlignment="1">
      <alignment horizontal="left" vertical="center"/>
    </xf>
    <xf numFmtId="0" fontId="6" fillId="2" borderId="1" xfId="1" applyNumberFormat="1" applyFont="1" applyFill="1" applyBorder="1" applyAlignment="1">
      <alignment horizontal="left" vertical="center"/>
    </xf>
    <xf numFmtId="0" fontId="6" fillId="2" borderId="1" xfId="1" applyFont="1" applyFill="1" applyBorder="1" applyAlignment="1">
      <alignment horizontal="center" vertical="center"/>
    </xf>
    <xf numFmtId="164" fontId="7" fillId="3" borderId="0" xfId="2" applyNumberFormat="1" applyFont="1" applyFill="1" applyAlignment="1">
      <alignment vertical="center"/>
    </xf>
    <xf numFmtId="164" fontId="2" fillId="3" borderId="1" xfId="2" applyNumberFormat="1" applyFont="1" applyFill="1" applyBorder="1" applyAlignment="1">
      <alignment horizontal="center" vertical="center"/>
    </xf>
    <xf numFmtId="164" fontId="2" fillId="3" borderId="1" xfId="2" applyNumberFormat="1" applyFont="1" applyFill="1" applyBorder="1" applyAlignment="1">
      <alignment horizontal="left" vertical="center"/>
    </xf>
    <xf numFmtId="0" fontId="1" fillId="3" borderId="1" xfId="1" applyNumberFormat="1" applyFont="1" applyFill="1" applyBorder="1" applyAlignment="1">
      <alignment horizontal="left" vertical="center"/>
    </xf>
    <xf numFmtId="0" fontId="1" fillId="2" borderId="0" xfId="1" applyFont="1" applyFill="1" applyBorder="1" applyAlignment="1">
      <alignment vertical="center"/>
    </xf>
    <xf numFmtId="164" fontId="2" fillId="2" borderId="0" xfId="2" applyNumberFormat="1" applyFont="1" applyFill="1" applyBorder="1" applyAlignment="1">
      <alignment vertical="center"/>
    </xf>
    <xf numFmtId="164" fontId="2" fillId="2" borderId="2" xfId="2" applyNumberFormat="1" applyFont="1" applyFill="1" applyBorder="1" applyAlignment="1">
      <alignment horizontal="center" vertical="center"/>
    </xf>
    <xf numFmtId="49" fontId="2" fillId="2" borderId="2" xfId="1" applyNumberFormat="1" applyFont="1" applyFill="1" applyBorder="1" applyAlignment="1">
      <alignment vertical="center" wrapText="1"/>
    </xf>
    <xf numFmtId="0" fontId="1" fillId="2" borderId="2" xfId="1" applyNumberFormat="1" applyFont="1" applyFill="1" applyBorder="1" applyAlignment="1">
      <alignment horizontal="left" vertical="center"/>
    </xf>
    <xf numFmtId="0" fontId="1" fillId="3" borderId="0" xfId="1" applyFont="1" applyFill="1" applyAlignment="1">
      <alignment vertical="center"/>
    </xf>
    <xf numFmtId="49" fontId="2" fillId="3" borderId="1" xfId="1" applyNumberFormat="1" applyFont="1" applyFill="1" applyBorder="1" applyAlignment="1">
      <alignment vertical="center" wrapText="1"/>
    </xf>
    <xf numFmtId="164" fontId="2" fillId="2" borderId="2" xfId="2" applyNumberFormat="1" applyFont="1" applyFill="1" applyBorder="1" applyAlignment="1">
      <alignment horizontal="left" vertical="center"/>
    </xf>
    <xf numFmtId="49" fontId="2" fillId="2" borderId="2" xfId="2" applyNumberFormat="1" applyFont="1" applyFill="1" applyBorder="1" applyAlignment="1">
      <alignment horizontal="center" vertical="center" wrapText="1"/>
    </xf>
    <xf numFmtId="0" fontId="2" fillId="2" borderId="2" xfId="2" applyNumberFormat="1" applyFont="1" applyFill="1" applyBorder="1" applyAlignment="1">
      <alignment horizontal="left" vertical="center"/>
    </xf>
    <xf numFmtId="164" fontId="2" fillId="4" borderId="1" xfId="2" applyNumberFormat="1" applyFont="1" applyFill="1" applyBorder="1" applyAlignment="1">
      <alignment horizontal="left" vertical="center"/>
    </xf>
    <xf numFmtId="49" fontId="2" fillId="4" borderId="1" xfId="2" applyNumberFormat="1" applyFont="1" applyFill="1" applyBorder="1" applyAlignment="1">
      <alignment horizontal="center" vertical="center" wrapText="1"/>
    </xf>
    <xf numFmtId="0" fontId="2" fillId="4" borderId="1" xfId="2" applyNumberFormat="1" applyFont="1" applyFill="1" applyBorder="1" applyAlignment="1">
      <alignment horizontal="left" vertical="center"/>
    </xf>
    <xf numFmtId="164" fontId="2" fillId="4" borderId="1" xfId="2" applyNumberFormat="1" applyFont="1" applyFill="1" applyBorder="1" applyAlignment="1">
      <alignment horizontal="center" vertical="center"/>
    </xf>
    <xf numFmtId="0" fontId="9" fillId="2" borderId="0" xfId="1" applyFont="1" applyFill="1" applyAlignment="1">
      <alignment vertical="center"/>
    </xf>
    <xf numFmtId="164" fontId="10" fillId="2" borderId="0" xfId="2" applyNumberFormat="1" applyFont="1" applyFill="1" applyAlignment="1">
      <alignment vertical="center"/>
    </xf>
    <xf numFmtId="164" fontId="9" fillId="2" borderId="1" xfId="2" applyNumberFormat="1" applyFont="1" applyFill="1" applyBorder="1" applyAlignment="1">
      <alignment horizontal="left" vertical="center"/>
    </xf>
    <xf numFmtId="49" fontId="9" fillId="2" borderId="1" xfId="2" applyNumberFormat="1" applyFont="1" applyFill="1" applyBorder="1" applyAlignment="1">
      <alignment vertical="center" wrapText="1"/>
    </xf>
    <xf numFmtId="0" fontId="9" fillId="2" borderId="1" xfId="1" applyNumberFormat="1" applyFont="1" applyFill="1" applyBorder="1" applyAlignment="1">
      <alignment horizontal="left" vertical="center"/>
    </xf>
    <xf numFmtId="0" fontId="6" fillId="2" borderId="0" xfId="1" applyFont="1" applyFill="1" applyAlignment="1">
      <alignment vertical="center"/>
    </xf>
    <xf numFmtId="164" fontId="2" fillId="2" borderId="2" xfId="2" applyNumberFormat="1" applyFont="1" applyFill="1" applyBorder="1" applyAlignment="1">
      <alignment vertical="center"/>
    </xf>
    <xf numFmtId="164" fontId="0" fillId="2" borderId="2" xfId="2" applyNumberFormat="1" applyFont="1" applyFill="1" applyBorder="1" applyAlignment="1">
      <alignment vertical="center"/>
    </xf>
    <xf numFmtId="164" fontId="1" fillId="2" borderId="2" xfId="2" applyNumberFormat="1" applyFont="1" applyFill="1" applyBorder="1" applyAlignment="1">
      <alignment vertical="center"/>
    </xf>
    <xf numFmtId="164" fontId="1" fillId="2" borderId="2" xfId="2" applyNumberFormat="1" applyFont="1" applyFill="1" applyBorder="1" applyAlignment="1">
      <alignment horizontal="left" vertical="center"/>
    </xf>
    <xf numFmtId="49" fontId="1" fillId="2" borderId="2" xfId="2" applyNumberFormat="1" applyFont="1" applyFill="1" applyBorder="1" applyAlignment="1">
      <alignment vertical="center" wrapText="1"/>
    </xf>
    <xf numFmtId="49" fontId="1" fillId="2" borderId="1" xfId="2" applyNumberFormat="1" applyFont="1" applyFill="1" applyBorder="1" applyAlignment="1">
      <alignment vertical="center" wrapText="1"/>
    </xf>
    <xf numFmtId="164" fontId="9" fillId="2" borderId="0" xfId="2" applyNumberFormat="1" applyFont="1" applyFill="1" applyAlignment="1">
      <alignment vertical="center"/>
    </xf>
    <xf numFmtId="0" fontId="1" fillId="2" borderId="0" xfId="1" applyFont="1" applyFill="1" applyAlignment="1">
      <alignment horizontal="left" vertical="center"/>
    </xf>
    <xf numFmtId="164" fontId="6" fillId="2" borderId="1" xfId="2" applyNumberFormat="1" applyFont="1" applyFill="1" applyBorder="1" applyAlignment="1">
      <alignment horizontal="center" vertical="center"/>
    </xf>
    <xf numFmtId="49" fontId="6" fillId="2" borderId="1" xfId="1" applyNumberFormat="1" applyFont="1" applyFill="1" applyBorder="1" applyAlignment="1">
      <alignment vertical="center" wrapText="1"/>
    </xf>
    <xf numFmtId="49" fontId="1" fillId="2" borderId="2" xfId="1" applyNumberFormat="1" applyFont="1" applyFill="1" applyBorder="1" applyAlignment="1">
      <alignment vertical="center" wrapText="1"/>
    </xf>
    <xf numFmtId="49" fontId="9" fillId="2" borderId="1" xfId="1" applyNumberFormat="1" applyFont="1" applyFill="1" applyBorder="1" applyAlignment="1">
      <alignment vertical="center" wrapText="1"/>
    </xf>
    <xf numFmtId="49" fontId="2" fillId="2" borderId="2" xfId="2" applyNumberFormat="1" applyFont="1" applyFill="1" applyBorder="1" applyAlignment="1">
      <alignment vertical="center" wrapText="1"/>
    </xf>
    <xf numFmtId="0" fontId="1" fillId="2" borderId="1" xfId="2" applyNumberFormat="1" applyFont="1" applyFill="1" applyBorder="1" applyAlignment="1">
      <alignment horizontal="left" vertical="center"/>
    </xf>
    <xf numFmtId="164" fontId="13" fillId="2" borderId="1" xfId="2" applyNumberFormat="1" applyFont="1" applyFill="1" applyBorder="1" applyAlignment="1">
      <alignment vertical="center"/>
    </xf>
    <xf numFmtId="164" fontId="0" fillId="2" borderId="1" xfId="2" applyNumberFormat="1" applyFont="1" applyFill="1" applyBorder="1" applyAlignment="1">
      <alignment vertical="center"/>
    </xf>
    <xf numFmtId="49" fontId="2" fillId="2" borderId="1" xfId="2" applyNumberFormat="1" applyFont="1" applyFill="1" applyBorder="1" applyAlignment="1">
      <alignment vertical="center" wrapText="1"/>
    </xf>
    <xf numFmtId="164" fontId="14" fillId="2" borderId="1" xfId="2" applyNumberFormat="1" applyFont="1" applyFill="1" applyBorder="1" applyAlignment="1">
      <alignment horizontal="left" vertical="center"/>
    </xf>
    <xf numFmtId="0" fontId="13" fillId="2" borderId="0" xfId="1" applyFont="1" applyFill="1" applyAlignment="1">
      <alignment vertical="center"/>
    </xf>
    <xf numFmtId="164" fontId="15" fillId="2" borderId="0" xfId="2" applyNumberFormat="1" applyFont="1" applyFill="1" applyAlignment="1">
      <alignment vertical="center"/>
    </xf>
    <xf numFmtId="164" fontId="15" fillId="2" borderId="1" xfId="2" applyNumberFormat="1" applyFont="1" applyFill="1" applyBorder="1" applyAlignment="1">
      <alignment horizontal="left" vertical="center"/>
    </xf>
    <xf numFmtId="164" fontId="13" fillId="2" borderId="1" xfId="2" applyNumberFormat="1" applyFont="1" applyFill="1" applyBorder="1" applyAlignment="1">
      <alignment horizontal="left" vertical="center"/>
    </xf>
    <xf numFmtId="49" fontId="13" fillId="2" borderId="1" xfId="2" applyNumberFormat="1" applyFont="1" applyFill="1" applyBorder="1" applyAlignment="1">
      <alignment vertical="center" wrapText="1"/>
    </xf>
    <xf numFmtId="0" fontId="13" fillId="2" borderId="1" xfId="1" applyNumberFormat="1" applyFont="1" applyFill="1" applyBorder="1" applyAlignment="1">
      <alignment horizontal="left" vertical="center"/>
    </xf>
    <xf numFmtId="164" fontId="13" fillId="2" borderId="1" xfId="2" applyNumberFormat="1" applyFont="1" applyFill="1" applyBorder="1" applyAlignment="1">
      <alignment horizontal="center" vertical="center"/>
    </xf>
    <xf numFmtId="0" fontId="15" fillId="2" borderId="0" xfId="1" applyFont="1" applyFill="1" applyAlignment="1">
      <alignment vertical="center"/>
    </xf>
    <xf numFmtId="0" fontId="13" fillId="2" borderId="1" xfId="1" applyFont="1" applyFill="1" applyBorder="1" applyAlignment="1">
      <alignment horizontal="left" vertical="center" wrapText="1"/>
    </xf>
    <xf numFmtId="3" fontId="13" fillId="2" borderId="1" xfId="1" applyNumberFormat="1" applyFont="1" applyFill="1" applyBorder="1" applyAlignment="1">
      <alignment horizontal="left" vertical="center"/>
    </xf>
    <xf numFmtId="164" fontId="6" fillId="2" borderId="0" xfId="2" applyNumberFormat="1" applyFont="1" applyFill="1" applyAlignment="1">
      <alignment vertical="center"/>
    </xf>
    <xf numFmtId="164" fontId="1" fillId="2" borderId="0" xfId="2" applyNumberFormat="1" applyFill="1" applyBorder="1" applyAlignment="1">
      <alignment vertical="center"/>
    </xf>
    <xf numFmtId="164" fontId="0" fillId="2" borderId="3" xfId="2" applyNumberFormat="1" applyFont="1" applyFill="1" applyBorder="1" applyAlignment="1">
      <alignment vertical="center"/>
    </xf>
    <xf numFmtId="164" fontId="17" fillId="2" borderId="3" xfId="2" applyNumberFormat="1" applyFont="1" applyFill="1" applyBorder="1" applyAlignment="1">
      <alignment horizontal="left" vertical="center"/>
    </xf>
    <xf numFmtId="0" fontId="17" fillId="2" borderId="3" xfId="1" applyFont="1" applyFill="1" applyBorder="1" applyAlignment="1">
      <alignment vertical="center"/>
    </xf>
    <xf numFmtId="0" fontId="17" fillId="2" borderId="3" xfId="1" applyFont="1" applyFill="1" applyBorder="1" applyAlignment="1">
      <alignment vertical="center" wrapText="1"/>
    </xf>
    <xf numFmtId="0" fontId="17" fillId="2" borderId="3" xfId="1" applyNumberFormat="1" applyFont="1" applyFill="1" applyBorder="1" applyAlignment="1">
      <alignment horizontal="left" vertical="center"/>
    </xf>
    <xf numFmtId="0" fontId="17" fillId="2" borderId="3" xfId="1" applyFont="1" applyFill="1" applyBorder="1" applyAlignment="1">
      <alignment horizontal="center" vertical="center"/>
    </xf>
    <xf numFmtId="164" fontId="1" fillId="2" borderId="4" xfId="2" applyNumberFormat="1" applyFont="1" applyFill="1" applyBorder="1" applyAlignment="1">
      <alignment horizontal="center" vertical="center" wrapText="1"/>
    </xf>
    <xf numFmtId="49" fontId="1" fillId="2" borderId="4" xfId="1" applyNumberFormat="1" applyFont="1" applyFill="1" applyBorder="1" applyAlignment="1">
      <alignment vertical="center" wrapText="1"/>
    </xf>
    <xf numFmtId="0" fontId="1" fillId="2" borderId="4" xfId="1" applyNumberFormat="1" applyFont="1" applyFill="1" applyBorder="1" applyAlignment="1">
      <alignment horizontal="left" vertical="center"/>
    </xf>
    <xf numFmtId="164" fontId="7" fillId="2" borderId="0" xfId="2" applyNumberFormat="1" applyFont="1" applyFill="1" applyAlignment="1">
      <alignment vertical="center"/>
    </xf>
    <xf numFmtId="0" fontId="13" fillId="2" borderId="0" xfId="1" applyFont="1" applyFill="1" applyBorder="1" applyAlignment="1">
      <alignment vertical="center"/>
    </xf>
    <xf numFmtId="164" fontId="13" fillId="2" borderId="0" xfId="2" applyNumberFormat="1" applyFont="1" applyFill="1" applyBorder="1" applyAlignment="1">
      <alignment vertical="center"/>
    </xf>
    <xf numFmtId="164" fontId="13" fillId="2" borderId="2" xfId="2" applyNumberFormat="1" applyFont="1" applyFill="1" applyBorder="1" applyAlignment="1">
      <alignment vertical="center"/>
    </xf>
    <xf numFmtId="164" fontId="13" fillId="2" borderId="2" xfId="2" applyNumberFormat="1" applyFont="1" applyFill="1" applyBorder="1" applyAlignment="1">
      <alignment horizontal="center" vertical="center" wrapText="1"/>
    </xf>
    <xf numFmtId="49" fontId="13" fillId="2" borderId="2" xfId="1" applyNumberFormat="1" applyFont="1" applyFill="1" applyBorder="1" applyAlignment="1">
      <alignment vertical="center" wrapText="1"/>
    </xf>
    <xf numFmtId="0" fontId="13" fillId="2" borderId="2" xfId="1" applyNumberFormat="1" applyFont="1" applyFill="1" applyBorder="1" applyAlignment="1">
      <alignment horizontal="left" vertical="center"/>
    </xf>
    <xf numFmtId="164" fontId="13" fillId="2" borderId="0" xfId="2" applyNumberFormat="1" applyFont="1" applyFill="1" applyAlignment="1">
      <alignment vertical="center"/>
    </xf>
    <xf numFmtId="164" fontId="13" fillId="2" borderId="1" xfId="2" applyNumberFormat="1" applyFont="1" applyFill="1" applyBorder="1" applyAlignment="1">
      <alignment horizontal="center" vertical="center" wrapText="1"/>
    </xf>
    <xf numFmtId="49" fontId="13" fillId="2" borderId="1" xfId="1" applyNumberFormat="1" applyFont="1" applyFill="1" applyBorder="1" applyAlignment="1">
      <alignment vertical="center" wrapText="1"/>
    </xf>
    <xf numFmtId="164" fontId="17" fillId="2" borderId="2" xfId="2" applyNumberFormat="1" applyFont="1" applyFill="1" applyBorder="1" applyAlignment="1">
      <alignment horizontal="left" vertical="center"/>
    </xf>
    <xf numFmtId="0" fontId="1" fillId="2" borderId="0" xfId="1" applyNumberFormat="1" applyFont="1" applyFill="1" applyAlignment="1">
      <alignment vertical="center"/>
    </xf>
    <xf numFmtId="0" fontId="2" fillId="3" borderId="1" xfId="2" applyNumberFormat="1" applyFont="1" applyFill="1" applyBorder="1" applyAlignment="1">
      <alignment horizontal="center" vertical="center" wrapText="1"/>
    </xf>
    <xf numFmtId="0" fontId="21" fillId="2" borderId="0" xfId="1" applyFont="1" applyFill="1" applyAlignment="1">
      <alignment vertical="center"/>
    </xf>
    <xf numFmtId="164" fontId="22" fillId="2" borderId="0" xfId="2" applyNumberFormat="1" applyFont="1" applyFill="1" applyAlignment="1">
      <alignment horizontal="centerContinuous" vertical="center"/>
    </xf>
    <xf numFmtId="164" fontId="23" fillId="2" borderId="0" xfId="2" applyNumberFormat="1" applyFont="1" applyFill="1" applyAlignment="1">
      <alignment horizontal="centerContinuous" vertical="center"/>
    </xf>
    <xf numFmtId="164" fontId="24" fillId="2" borderId="0" xfId="2" applyNumberFormat="1" applyFont="1" applyFill="1" applyAlignment="1">
      <alignment horizontal="centerContinuous" vertical="center"/>
    </xf>
    <xf numFmtId="164" fontId="25" fillId="2" borderId="0" xfId="2" applyNumberFormat="1" applyFont="1" applyFill="1" applyAlignment="1">
      <alignment horizontal="centerContinuous" vertical="center"/>
    </xf>
    <xf numFmtId="49" fontId="21" fillId="2" borderId="0" xfId="1" applyNumberFormat="1" applyFont="1" applyFill="1" applyAlignment="1">
      <alignment horizontal="centerContinuous" vertical="center" wrapText="1"/>
    </xf>
    <xf numFmtId="0" fontId="26" fillId="2" borderId="0" xfId="1" applyNumberFormat="1" applyFont="1" applyFill="1" applyAlignment="1">
      <alignment horizontal="left" vertical="center"/>
    </xf>
    <xf numFmtId="0" fontId="26" fillId="2" borderId="0" xfId="1" applyFont="1" applyFill="1" applyAlignment="1">
      <alignment horizontal="centerContinuous" vertical="center"/>
    </xf>
    <xf numFmtId="43" fontId="28" fillId="2" borderId="0" xfId="4" applyFont="1" applyFill="1" applyAlignment="1">
      <alignment vertical="center"/>
    </xf>
    <xf numFmtId="43" fontId="13" fillId="2" borderId="0" xfId="4" applyFont="1" applyFill="1"/>
    <xf numFmtId="0" fontId="13" fillId="2" borderId="0" xfId="0" applyFont="1" applyFill="1"/>
    <xf numFmtId="43" fontId="15" fillId="6" borderId="1" xfId="4" applyFont="1" applyFill="1" applyBorder="1" applyAlignment="1">
      <alignment horizontal="center"/>
    </xf>
    <xf numFmtId="43" fontId="13" fillId="6" borderId="7" xfId="4" applyFont="1" applyFill="1" applyBorder="1"/>
    <xf numFmtId="43" fontId="15" fillId="2" borderId="7" xfId="4" applyFont="1" applyFill="1" applyBorder="1"/>
    <xf numFmtId="43" fontId="15" fillId="6" borderId="7" xfId="4" applyFont="1" applyFill="1" applyBorder="1"/>
    <xf numFmtId="43" fontId="13" fillId="2" borderId="7" xfId="4" applyFont="1" applyFill="1" applyBorder="1"/>
    <xf numFmtId="164" fontId="13" fillId="2" borderId="7" xfId="4" applyNumberFormat="1" applyFont="1" applyFill="1" applyBorder="1"/>
    <xf numFmtId="43" fontId="15" fillId="6" borderId="5" xfId="4" applyFont="1" applyFill="1" applyBorder="1"/>
    <xf numFmtId="164" fontId="29" fillId="6" borderId="5" xfId="4" applyNumberFormat="1" applyFont="1" applyFill="1" applyBorder="1"/>
    <xf numFmtId="164" fontId="13" fillId="2" borderId="0" xfId="4" applyNumberFormat="1" applyFont="1" applyFill="1"/>
    <xf numFmtId="0" fontId="15" fillId="2" borderId="7" xfId="4" applyNumberFormat="1" applyFont="1" applyFill="1" applyBorder="1" applyAlignment="1">
      <alignment horizontal="left" wrapText="1"/>
    </xf>
    <xf numFmtId="49" fontId="15" fillId="2" borderId="9" xfId="1" applyNumberFormat="1" applyFont="1" applyFill="1" applyBorder="1" applyAlignment="1">
      <alignment vertical="center" wrapText="1"/>
    </xf>
    <xf numFmtId="0" fontId="15" fillId="2" borderId="10" xfId="4" applyNumberFormat="1" applyFont="1" applyFill="1" applyBorder="1" applyAlignment="1">
      <alignment horizontal="left" wrapText="1"/>
    </xf>
    <xf numFmtId="43" fontId="15" fillId="2" borderId="8" xfId="4" applyFont="1" applyFill="1" applyBorder="1" applyAlignment="1">
      <alignment horizontal="center"/>
    </xf>
    <xf numFmtId="49" fontId="15" fillId="6" borderId="1" xfId="1" applyNumberFormat="1" applyFont="1" applyFill="1" applyBorder="1" applyAlignment="1">
      <alignment vertical="center" wrapText="1"/>
    </xf>
    <xf numFmtId="43" fontId="15" fillId="2" borderId="13" xfId="4" applyFont="1" applyFill="1" applyBorder="1"/>
    <xf numFmtId="0" fontId="15" fillId="2" borderId="11" xfId="4" applyNumberFormat="1" applyFont="1" applyFill="1" applyBorder="1" applyAlignment="1">
      <alignment horizontal="left" wrapText="1"/>
    </xf>
    <xf numFmtId="43" fontId="13" fillId="2" borderId="12" xfId="4" applyFont="1" applyFill="1" applyBorder="1"/>
    <xf numFmtId="0" fontId="15" fillId="6" borderId="5" xfId="4" applyNumberFormat="1" applyFont="1" applyFill="1" applyBorder="1" applyAlignment="1">
      <alignment wrapText="1"/>
    </xf>
    <xf numFmtId="0" fontId="15" fillId="6" borderId="11" xfId="4" applyNumberFormat="1" applyFont="1" applyFill="1" applyBorder="1" applyAlignment="1">
      <alignment wrapText="1"/>
    </xf>
    <xf numFmtId="164" fontId="29" fillId="6" borderId="8" xfId="4" applyNumberFormat="1" applyFont="1" applyFill="1" applyBorder="1"/>
    <xf numFmtId="0" fontId="31" fillId="7" borderId="0" xfId="6" applyNumberFormat="1" applyFont="1" applyFill="1" applyBorder="1" applyAlignment="1">
      <alignment horizontal="center" vertical="center" wrapText="1"/>
    </xf>
    <xf numFmtId="164" fontId="30" fillId="7" borderId="0" xfId="6" applyNumberFormat="1" applyFont="1" applyFill="1" applyBorder="1" applyAlignment="1">
      <alignment horizontal="left" vertical="center" wrapText="1"/>
    </xf>
    <xf numFmtId="43" fontId="30" fillId="0" borderId="0" xfId="6" applyNumberFormat="1" applyFont="1" applyFill="1" applyBorder="1" applyAlignment="1">
      <alignment vertical="center" wrapText="1"/>
    </xf>
    <xf numFmtId="164" fontId="30" fillId="0" borderId="1" xfId="7" applyNumberFormat="1" applyFont="1" applyFill="1" applyBorder="1" applyAlignment="1">
      <alignment horizontal="left" vertical="center" wrapText="1"/>
    </xf>
    <xf numFmtId="164" fontId="30" fillId="0" borderId="14" xfId="7" applyNumberFormat="1" applyFont="1" applyFill="1" applyBorder="1" applyAlignment="1">
      <alignment horizontal="left" vertical="center" wrapText="1"/>
    </xf>
    <xf numFmtId="0" fontId="30" fillId="0" borderId="15" xfId="13" applyNumberFormat="1" applyFont="1" applyFill="1" applyBorder="1" applyAlignment="1">
      <alignment horizontal="center" vertical="center"/>
    </xf>
    <xf numFmtId="164" fontId="30" fillId="0" borderId="15" xfId="11" applyNumberFormat="1" applyFont="1" applyBorder="1" applyAlignment="1">
      <alignment horizontal="left" vertical="center"/>
    </xf>
    <xf numFmtId="43" fontId="30" fillId="0" borderId="15" xfId="13" applyFont="1" applyFill="1" applyBorder="1" applyAlignment="1">
      <alignment vertical="center" wrapText="1"/>
    </xf>
    <xf numFmtId="43" fontId="30" fillId="0" borderId="15" xfId="6" applyNumberFormat="1" applyFont="1" applyFill="1" applyBorder="1" applyAlignment="1">
      <alignment horizontal="left" vertical="center" wrapText="1"/>
    </xf>
    <xf numFmtId="0" fontId="30" fillId="0" borderId="15" xfId="6" applyNumberFormat="1" applyFont="1" applyFill="1" applyBorder="1" applyAlignment="1">
      <alignment horizontal="center" vertical="center" wrapText="1"/>
    </xf>
    <xf numFmtId="164" fontId="30" fillId="0" borderId="15" xfId="7" applyNumberFormat="1" applyFont="1" applyFill="1" applyBorder="1" applyAlignment="1">
      <alignment horizontal="right" vertical="center" wrapText="1"/>
    </xf>
    <xf numFmtId="164" fontId="30" fillId="0" borderId="15" xfId="7" applyNumberFormat="1" applyFont="1" applyFill="1" applyBorder="1" applyAlignment="1">
      <alignment horizontal="left" vertical="center" wrapText="1"/>
    </xf>
    <xf numFmtId="43" fontId="30" fillId="0" borderId="14" xfId="6" applyNumberFormat="1" applyFont="1" applyFill="1" applyBorder="1" applyAlignment="1">
      <alignment horizontal="left" vertical="center" wrapText="1"/>
    </xf>
    <xf numFmtId="0" fontId="30" fillId="0" borderId="15" xfId="6" quotePrefix="1" applyNumberFormat="1" applyFont="1" applyFill="1" applyBorder="1" applyAlignment="1">
      <alignment horizontal="center" vertical="center" wrapText="1"/>
    </xf>
    <xf numFmtId="0" fontId="30" fillId="0" borderId="14" xfId="6" quotePrefix="1" applyNumberFormat="1" applyFont="1" applyFill="1" applyBorder="1" applyAlignment="1">
      <alignment horizontal="center" vertical="center" wrapText="1"/>
    </xf>
    <xf numFmtId="43" fontId="31" fillId="0" borderId="0" xfId="6" applyNumberFormat="1" applyFont="1" applyFill="1" applyBorder="1" applyAlignment="1">
      <alignment vertical="center" wrapText="1"/>
    </xf>
    <xf numFmtId="0" fontId="31" fillId="0" borderId="0" xfId="6" applyNumberFormat="1" applyFont="1" applyFill="1" applyBorder="1" applyAlignment="1">
      <alignment horizontal="center" vertical="center" wrapText="1"/>
    </xf>
    <xf numFmtId="43" fontId="31" fillId="0" borderId="0" xfId="6" applyNumberFormat="1" applyFont="1" applyFill="1" applyBorder="1" applyAlignment="1">
      <alignment horizontal="left" vertical="center" wrapText="1"/>
    </xf>
    <xf numFmtId="164" fontId="31" fillId="0" borderId="0" xfId="6" applyNumberFormat="1" applyFont="1" applyFill="1" applyBorder="1" applyAlignment="1">
      <alignment horizontal="left" vertical="center" wrapText="1"/>
    </xf>
    <xf numFmtId="164" fontId="34" fillId="0" borderId="0" xfId="6" applyNumberFormat="1" applyFont="1" applyFill="1" applyBorder="1" applyAlignment="1">
      <alignment horizontal="left" vertical="center" wrapText="1"/>
    </xf>
    <xf numFmtId="164" fontId="30" fillId="0" borderId="0" xfId="6" applyNumberFormat="1" applyFont="1" applyFill="1" applyBorder="1" applyAlignment="1">
      <alignment horizontal="left" vertical="center" wrapText="1"/>
    </xf>
    <xf numFmtId="164" fontId="30" fillId="0" borderId="0" xfId="15" applyNumberFormat="1" applyFont="1" applyFill="1" applyBorder="1" applyAlignment="1">
      <alignment horizontal="left" vertical="center" wrapText="1"/>
    </xf>
    <xf numFmtId="164" fontId="30" fillId="7" borderId="0" xfId="9" applyNumberFormat="1" applyFont="1" applyFill="1" applyBorder="1" applyAlignment="1">
      <alignment horizontal="left" vertical="center" wrapText="1"/>
    </xf>
    <xf numFmtId="43" fontId="18" fillId="7" borderId="0" xfId="6" applyNumberFormat="1" applyFont="1" applyFill="1" applyBorder="1" applyAlignment="1">
      <alignment vertical="center" wrapText="1"/>
    </xf>
    <xf numFmtId="43" fontId="38" fillId="7" borderId="0" xfId="7" applyNumberFormat="1" applyFont="1" applyFill="1" applyBorder="1" applyAlignment="1">
      <alignment horizontal="center" vertical="center" wrapText="1"/>
    </xf>
    <xf numFmtId="43" fontId="39" fillId="7" borderId="0" xfId="7" applyNumberFormat="1" applyFont="1" applyFill="1" applyBorder="1" applyAlignment="1">
      <alignment horizontal="center" vertical="center" wrapText="1"/>
    </xf>
    <xf numFmtId="164" fontId="36" fillId="7" borderId="0" xfId="6" applyNumberFormat="1" applyFont="1" applyFill="1" applyBorder="1" applyAlignment="1">
      <alignment horizontal="center" vertical="center" wrapText="1"/>
    </xf>
    <xf numFmtId="164" fontId="36" fillId="7" borderId="0" xfId="6" applyNumberFormat="1" applyFont="1" applyFill="1" applyBorder="1" applyAlignment="1">
      <alignment horizontal="left" vertical="center" wrapText="1"/>
    </xf>
    <xf numFmtId="43" fontId="18" fillId="7" borderId="0" xfId="6" applyNumberFormat="1" applyFont="1" applyFill="1" applyBorder="1" applyAlignment="1">
      <alignment horizontal="center" vertical="center" wrapText="1"/>
    </xf>
    <xf numFmtId="164" fontId="40" fillId="12" borderId="6" xfId="10" applyNumberFormat="1" applyFont="1" applyFill="1" applyBorder="1" applyAlignment="1">
      <alignment horizontal="center" vertical="center" wrapText="1"/>
    </xf>
    <xf numFmtId="43" fontId="18" fillId="0" borderId="0" xfId="6" applyNumberFormat="1" applyFont="1" applyFill="1" applyBorder="1" applyAlignment="1">
      <alignment vertical="center" wrapText="1"/>
    </xf>
    <xf numFmtId="164" fontId="31" fillId="3" borderId="5" xfId="7" applyNumberFormat="1" applyFont="1" applyFill="1" applyBorder="1" applyAlignment="1">
      <alignment horizontal="center" vertical="center" wrapText="1"/>
    </xf>
    <xf numFmtId="43" fontId="31" fillId="0" borderId="0" xfId="6" applyNumberFormat="1" applyFont="1" applyFill="1" applyBorder="1" applyAlignment="1">
      <alignment horizontal="center" vertical="center" wrapText="1"/>
    </xf>
    <xf numFmtId="164" fontId="31" fillId="0" borderId="15" xfId="7" applyNumberFormat="1" applyFont="1" applyFill="1" applyBorder="1" applyAlignment="1">
      <alignment horizontal="left" vertical="center" wrapText="1"/>
    </xf>
    <xf numFmtId="43" fontId="31" fillId="0" borderId="4" xfId="6" applyNumberFormat="1" applyFont="1" applyFill="1" applyBorder="1" applyAlignment="1">
      <alignment vertical="center" wrapText="1"/>
    </xf>
    <xf numFmtId="43" fontId="31" fillId="0" borderId="4" xfId="6" applyNumberFormat="1" applyFont="1" applyFill="1" applyBorder="1" applyAlignment="1">
      <alignment horizontal="center" vertical="center" wrapText="1"/>
    </xf>
    <xf numFmtId="164" fontId="30" fillId="0" borderId="0" xfId="10" applyNumberFormat="1" applyFont="1" applyFill="1" applyBorder="1" applyAlignment="1">
      <alignment horizontal="center"/>
    </xf>
    <xf numFmtId="164" fontId="30" fillId="0" borderId="0" xfId="10" applyNumberFormat="1" applyFont="1" applyFill="1" applyBorder="1" applyAlignment="1">
      <alignment horizontal="left"/>
    </xf>
    <xf numFmtId="164" fontId="34" fillId="0" borderId="0" xfId="6" applyNumberFormat="1" applyFont="1" applyFill="1" applyBorder="1" applyAlignment="1">
      <alignment horizontal="center" vertical="center" wrapText="1"/>
    </xf>
    <xf numFmtId="43" fontId="36" fillId="0" borderId="0" xfId="6" applyNumberFormat="1" applyFont="1" applyFill="1" applyBorder="1" applyAlignment="1">
      <alignment horizontal="center" vertical="center" wrapText="1"/>
    </xf>
    <xf numFmtId="43" fontId="36" fillId="0" borderId="0" xfId="6" applyNumberFormat="1" applyFont="1" applyFill="1" applyBorder="1" applyAlignment="1">
      <alignment horizontal="left" vertical="center" wrapText="1"/>
    </xf>
    <xf numFmtId="164" fontId="39" fillId="0" borderId="0" xfId="6" applyNumberFormat="1" applyFont="1" applyFill="1" applyBorder="1" applyAlignment="1">
      <alignment horizontal="center" vertical="center" wrapText="1"/>
    </xf>
    <xf numFmtId="164" fontId="39" fillId="0" borderId="0" xfId="6" applyNumberFormat="1" applyFont="1" applyFill="1" applyBorder="1" applyAlignment="1">
      <alignment horizontal="left" vertical="center" wrapText="1"/>
    </xf>
    <xf numFmtId="43" fontId="36" fillId="7" borderId="0" xfId="6" applyNumberFormat="1" applyFont="1" applyFill="1" applyBorder="1" applyAlignment="1">
      <alignment horizontal="center" vertical="center" wrapText="1"/>
    </xf>
    <xf numFmtId="164" fontId="2" fillId="14" borderId="1" xfId="2" applyNumberFormat="1" applyFont="1" applyFill="1" applyBorder="1" applyAlignment="1">
      <alignment horizontal="left" vertical="center"/>
    </xf>
    <xf numFmtId="164" fontId="1" fillId="14" borderId="1" xfId="2" applyNumberFormat="1" applyFont="1" applyFill="1" applyBorder="1" applyAlignment="1">
      <alignment horizontal="center" vertical="center" wrapText="1"/>
    </xf>
    <xf numFmtId="164" fontId="1" fillId="14" borderId="1" xfId="2" applyNumberFormat="1" applyFont="1" applyFill="1" applyBorder="1" applyAlignment="1">
      <alignment horizontal="left" vertical="center"/>
    </xf>
    <xf numFmtId="164" fontId="21" fillId="2" borderId="0" xfId="4" applyNumberFormat="1" applyFont="1" applyFill="1" applyAlignment="1">
      <alignment horizontal="centerContinuous" vertical="center" wrapText="1"/>
    </xf>
    <xf numFmtId="164" fontId="1" fillId="2" borderId="4" xfId="4" applyNumberFormat="1" applyFont="1" applyFill="1" applyBorder="1" applyAlignment="1">
      <alignment vertical="center" wrapText="1"/>
    </xf>
    <xf numFmtId="164" fontId="17" fillId="2" borderId="3" xfId="4" applyNumberFormat="1" applyFont="1" applyFill="1" applyBorder="1" applyAlignment="1">
      <alignment vertical="center" wrapText="1"/>
    </xf>
    <xf numFmtId="164" fontId="2" fillId="2" borderId="2" xfId="4" applyNumberFormat="1" applyFont="1" applyFill="1" applyBorder="1" applyAlignment="1">
      <alignment vertical="center" wrapText="1"/>
    </xf>
    <xf numFmtId="164" fontId="1" fillId="2" borderId="2" xfId="4" applyNumberFormat="1" applyFont="1" applyFill="1" applyBorder="1" applyAlignment="1">
      <alignment vertical="center" wrapText="1"/>
    </xf>
    <xf numFmtId="164" fontId="2" fillId="2" borderId="2" xfId="4" applyNumberFormat="1" applyFont="1" applyFill="1" applyBorder="1" applyAlignment="1">
      <alignment horizontal="center" vertical="center" wrapText="1"/>
    </xf>
    <xf numFmtId="164" fontId="1" fillId="2" borderId="0" xfId="4" applyNumberFormat="1" applyFont="1" applyFill="1" applyBorder="1" applyAlignment="1">
      <alignment vertical="center" wrapText="1"/>
    </xf>
    <xf numFmtId="164" fontId="2" fillId="2" borderId="0" xfId="4" applyNumberFormat="1" applyFont="1" applyFill="1" applyBorder="1" applyAlignment="1">
      <alignment vertical="center" wrapText="1"/>
    </xf>
    <xf numFmtId="164" fontId="1" fillId="2" borderId="0" xfId="4" applyNumberFormat="1" applyFont="1" applyFill="1" applyAlignment="1">
      <alignment vertical="center" wrapText="1"/>
    </xf>
    <xf numFmtId="164" fontId="1" fillId="13" borderId="1" xfId="4" applyNumberFormat="1" applyFont="1" applyFill="1" applyBorder="1" applyAlignment="1">
      <alignment horizontal="center" vertical="center" wrapText="1"/>
    </xf>
    <xf numFmtId="164" fontId="6" fillId="13" borderId="1" xfId="4" applyNumberFormat="1" applyFont="1" applyFill="1" applyBorder="1" applyAlignment="1">
      <alignment vertical="center" wrapText="1"/>
    </xf>
    <xf numFmtId="164" fontId="13" fillId="13" borderId="1" xfId="4" applyNumberFormat="1" applyFont="1" applyFill="1" applyBorder="1" applyAlignment="1">
      <alignment vertical="center" wrapText="1"/>
    </xf>
    <xf numFmtId="164" fontId="2" fillId="13" borderId="1" xfId="4" applyNumberFormat="1" applyFont="1" applyFill="1" applyBorder="1" applyAlignment="1">
      <alignment vertical="center" wrapText="1"/>
    </xf>
    <xf numFmtId="164" fontId="1" fillId="13" borderId="1" xfId="4" applyNumberFormat="1" applyFont="1" applyFill="1" applyBorder="1" applyAlignment="1">
      <alignment vertical="center" wrapText="1"/>
    </xf>
    <xf numFmtId="164" fontId="9" fillId="13" borderId="1" xfId="4" applyNumberFormat="1" applyFont="1" applyFill="1" applyBorder="1" applyAlignment="1">
      <alignment vertical="center" wrapText="1"/>
    </xf>
    <xf numFmtId="9" fontId="1" fillId="2" borderId="4" xfId="5" applyFont="1" applyFill="1" applyBorder="1" applyAlignment="1">
      <alignment horizontal="right" vertical="center" wrapText="1"/>
    </xf>
    <xf numFmtId="9" fontId="17" fillId="2" borderId="3" xfId="5" applyFont="1" applyFill="1" applyBorder="1" applyAlignment="1">
      <alignment horizontal="right" vertical="center"/>
    </xf>
    <xf numFmtId="9" fontId="2" fillId="2" borderId="2" xfId="5" applyFont="1" applyFill="1" applyBorder="1" applyAlignment="1">
      <alignment horizontal="right" vertical="center"/>
    </xf>
    <xf numFmtId="9" fontId="1" fillId="2" borderId="2" xfId="5" applyFont="1" applyFill="1" applyBorder="1" applyAlignment="1">
      <alignment horizontal="right" vertical="center"/>
    </xf>
    <xf numFmtId="0" fontId="2" fillId="15" borderId="1" xfId="2" applyNumberFormat="1" applyFont="1" applyFill="1" applyBorder="1" applyAlignment="1">
      <alignment horizontal="center" vertical="center" wrapText="1"/>
    </xf>
    <xf numFmtId="164" fontId="13" fillId="15" borderId="1" xfId="2" applyNumberFormat="1" applyFont="1" applyFill="1" applyBorder="1" applyAlignment="1">
      <alignment horizontal="center" vertical="center" wrapText="1"/>
    </xf>
    <xf numFmtId="9" fontId="13" fillId="15" borderId="1" xfId="5" applyFont="1" applyFill="1" applyBorder="1" applyAlignment="1">
      <alignment horizontal="right" vertical="center" wrapText="1"/>
    </xf>
    <xf numFmtId="164" fontId="13" fillId="15" borderId="1" xfId="2" applyNumberFormat="1" applyFont="1" applyFill="1" applyBorder="1" applyAlignment="1">
      <alignment horizontal="center" vertical="center"/>
    </xf>
    <xf numFmtId="9" fontId="2" fillId="15" borderId="1" xfId="5" applyFont="1" applyFill="1" applyBorder="1" applyAlignment="1">
      <alignment horizontal="right" vertical="center"/>
    </xf>
    <xf numFmtId="164" fontId="6" fillId="15" borderId="1" xfId="2" applyNumberFormat="1" applyFont="1" applyFill="1" applyBorder="1" applyAlignment="1">
      <alignment vertical="center"/>
    </xf>
    <xf numFmtId="9" fontId="6" fillId="15" borderId="1" xfId="5" applyFont="1" applyFill="1" applyBorder="1" applyAlignment="1">
      <alignment horizontal="right" vertical="center"/>
    </xf>
    <xf numFmtId="164" fontId="15" fillId="15" borderId="1" xfId="2" applyNumberFormat="1" applyFont="1" applyFill="1" applyBorder="1" applyAlignment="1">
      <alignment horizontal="left" vertical="center"/>
    </xf>
    <xf numFmtId="9" fontId="15" fillId="15" borderId="1" xfId="5" applyFont="1" applyFill="1" applyBorder="1" applyAlignment="1">
      <alignment horizontal="right" vertical="center"/>
    </xf>
    <xf numFmtId="164" fontId="13" fillId="15" borderId="1" xfId="2" applyNumberFormat="1" applyFont="1" applyFill="1" applyBorder="1" applyAlignment="1">
      <alignment horizontal="left" vertical="center"/>
    </xf>
    <xf numFmtId="9" fontId="13" fillId="15" borderId="1" xfId="5" applyFont="1" applyFill="1" applyBorder="1" applyAlignment="1">
      <alignment horizontal="right" vertical="center"/>
    </xf>
    <xf numFmtId="164" fontId="13" fillId="15" borderId="1" xfId="2" applyNumberFormat="1" applyFont="1" applyFill="1" applyBorder="1" applyAlignment="1">
      <alignment vertical="center"/>
    </xf>
    <xf numFmtId="164" fontId="2" fillId="15" borderId="1" xfId="2" applyNumberFormat="1" applyFont="1" applyFill="1" applyBorder="1" applyAlignment="1">
      <alignment horizontal="left" vertical="center"/>
    </xf>
    <xf numFmtId="164" fontId="1" fillId="15" borderId="1" xfId="2" applyNumberFormat="1" applyFont="1" applyFill="1" applyBorder="1" applyAlignment="1">
      <alignment horizontal="left" vertical="center"/>
    </xf>
    <xf numFmtId="9" fontId="1" fillId="15" borderId="1" xfId="5" applyFont="1" applyFill="1" applyBorder="1" applyAlignment="1">
      <alignment horizontal="right" vertical="center"/>
    </xf>
    <xf numFmtId="164" fontId="0" fillId="15" borderId="1" xfId="2" applyNumberFormat="1" applyFont="1" applyFill="1" applyBorder="1" applyAlignment="1">
      <alignment vertical="center"/>
    </xf>
    <xf numFmtId="9" fontId="0" fillId="15" borderId="1" xfId="5" applyFont="1" applyFill="1" applyBorder="1" applyAlignment="1">
      <alignment horizontal="right" vertical="center"/>
    </xf>
    <xf numFmtId="164" fontId="1" fillId="15" borderId="1" xfId="2" applyNumberFormat="1" applyFont="1" applyFill="1" applyBorder="1" applyAlignment="1">
      <alignment vertical="center"/>
    </xf>
    <xf numFmtId="164" fontId="9" fillId="15" borderId="1" xfId="2" applyNumberFormat="1" applyFont="1" applyFill="1" applyBorder="1" applyAlignment="1">
      <alignment vertical="center"/>
    </xf>
    <xf numFmtId="9" fontId="9" fillId="15" borderId="1" xfId="5" applyFont="1" applyFill="1" applyBorder="1" applyAlignment="1">
      <alignment horizontal="right" vertical="center"/>
    </xf>
    <xf numFmtId="164" fontId="9" fillId="15" borderId="1" xfId="2" applyNumberFormat="1" applyFont="1" applyFill="1" applyBorder="1" applyAlignment="1">
      <alignment horizontal="left" vertical="center"/>
    </xf>
    <xf numFmtId="0" fontId="19" fillId="5" borderId="2" xfId="2" applyNumberFormat="1" applyFont="1" applyFill="1" applyBorder="1" applyAlignment="1">
      <alignment horizontal="centerContinuous" vertical="center"/>
    </xf>
    <xf numFmtId="0" fontId="19" fillId="5" borderId="2" xfId="2" applyNumberFormat="1" applyFont="1" applyFill="1" applyBorder="1" applyAlignment="1">
      <alignment horizontal="centerContinuous" vertical="center" wrapText="1"/>
    </xf>
    <xf numFmtId="0" fontId="19" fillId="5" borderId="8" xfId="2" applyNumberFormat="1" applyFont="1" applyFill="1" applyBorder="1" applyAlignment="1">
      <alignment horizontal="centerContinuous" vertical="center"/>
    </xf>
    <xf numFmtId="3" fontId="45" fillId="0" borderId="0" xfId="0" applyNumberFormat="1" applyFont="1" applyFill="1" applyBorder="1" applyAlignment="1">
      <alignment horizontal="center" vertical="center"/>
    </xf>
    <xf numFmtId="3" fontId="45" fillId="0" borderId="0" xfId="0" applyNumberFormat="1" applyFont="1" applyFill="1" applyBorder="1" applyAlignment="1">
      <alignment horizontal="left" vertical="center"/>
    </xf>
    <xf numFmtId="3" fontId="45" fillId="0" borderId="0" xfId="0" applyNumberFormat="1" applyFont="1" applyFill="1" applyBorder="1" applyAlignment="1">
      <alignment vertical="center"/>
    </xf>
    <xf numFmtId="0" fontId="46" fillId="0" borderId="0" xfId="0" applyFont="1" applyFill="1" applyBorder="1" applyAlignment="1">
      <alignment vertical="center"/>
    </xf>
    <xf numFmtId="165" fontId="46" fillId="0" borderId="0" xfId="0" applyNumberFormat="1" applyFont="1" applyFill="1" applyBorder="1" applyAlignment="1">
      <alignment horizontal="center" vertical="center"/>
    </xf>
    <xf numFmtId="164" fontId="46"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46" fillId="0" borderId="0" xfId="0" applyNumberFormat="1" applyFont="1" applyFill="1" applyBorder="1" applyAlignment="1">
      <alignment vertical="center"/>
    </xf>
    <xf numFmtId="0" fontId="46" fillId="2" borderId="1" xfId="0" quotePrefix="1" applyFont="1" applyFill="1" applyBorder="1" applyAlignment="1">
      <alignment horizontal="center" vertical="center"/>
    </xf>
    <xf numFmtId="3" fontId="46" fillId="2" borderId="1" xfId="18" quotePrefix="1" applyNumberFormat="1" applyFont="1" applyFill="1" applyBorder="1" applyAlignment="1">
      <alignment horizontal="left" vertical="center"/>
    </xf>
    <xf numFmtId="164" fontId="46" fillId="2" borderId="0" xfId="0" applyNumberFormat="1" applyFont="1" applyFill="1" applyBorder="1" applyAlignment="1">
      <alignment vertical="center"/>
    </xf>
    <xf numFmtId="3" fontId="46" fillId="2" borderId="0" xfId="0" applyNumberFormat="1" applyFont="1" applyFill="1" applyBorder="1" applyAlignment="1">
      <alignment vertical="center"/>
    </xf>
    <xf numFmtId="0" fontId="46" fillId="2" borderId="0" xfId="0" applyFont="1" applyFill="1" applyBorder="1" applyAlignment="1">
      <alignment vertical="center"/>
    </xf>
    <xf numFmtId="0" fontId="46" fillId="2" borderId="0" xfId="0" applyFont="1" applyFill="1" applyAlignment="1">
      <alignment vertical="center"/>
    </xf>
    <xf numFmtId="0" fontId="46" fillId="16" borderId="0" xfId="0" applyFont="1" applyFill="1" applyAlignment="1">
      <alignment vertical="center"/>
    </xf>
    <xf numFmtId="165" fontId="46" fillId="0" borderId="1" xfId="18" quotePrefix="1" applyNumberFormat="1" applyFont="1" applyFill="1" applyBorder="1" applyAlignment="1">
      <alignment horizontal="center" vertical="center"/>
    </xf>
    <xf numFmtId="164" fontId="46" fillId="2" borderId="1" xfId="4" quotePrefix="1" applyNumberFormat="1" applyFont="1" applyFill="1" applyBorder="1" applyAlignment="1">
      <alignment horizontal="left" vertical="center"/>
    </xf>
    <xf numFmtId="3" fontId="46" fillId="0" borderId="1" xfId="19" applyNumberFormat="1" applyFont="1" applyFill="1" applyBorder="1" applyAlignment="1">
      <alignment horizontal="center" vertical="center"/>
    </xf>
    <xf numFmtId="164" fontId="46" fillId="0" borderId="1" xfId="20" applyNumberFormat="1" applyFont="1" applyFill="1" applyBorder="1" applyAlignment="1">
      <alignment vertical="center"/>
    </xf>
    <xf numFmtId="164" fontId="46" fillId="0" borderId="1" xfId="4" applyNumberFormat="1" applyFont="1" applyFill="1" applyBorder="1" applyAlignment="1">
      <alignment vertical="center"/>
    </xf>
    <xf numFmtId="164" fontId="46" fillId="0" borderId="1" xfId="19" applyNumberFormat="1" applyFont="1" applyFill="1" applyBorder="1" applyAlignment="1">
      <alignment horizontal="center" vertical="center"/>
    </xf>
    <xf numFmtId="164" fontId="46" fillId="0" borderId="1" xfId="0" applyNumberFormat="1" applyFont="1" applyFill="1" applyBorder="1" applyAlignment="1">
      <alignment vertical="center"/>
    </xf>
    <xf numFmtId="0" fontId="48" fillId="2" borderId="0" xfId="0" applyFont="1" applyFill="1" applyBorder="1" applyAlignment="1">
      <alignment vertical="center"/>
    </xf>
    <xf numFmtId="3" fontId="46" fillId="0" borderId="0" xfId="18" applyNumberFormat="1" applyFont="1" applyFill="1" applyBorder="1" applyAlignment="1">
      <alignment horizontal="center" vertical="center"/>
    </xf>
    <xf numFmtId="0" fontId="46" fillId="0" borderId="0" xfId="0" quotePrefix="1" applyFont="1" applyFill="1" applyBorder="1" applyAlignment="1">
      <alignment horizontal="center" vertical="center"/>
    </xf>
    <xf numFmtId="3" fontId="46" fillId="0" borderId="0" xfId="18" applyNumberFormat="1" applyFont="1" applyFill="1" applyBorder="1" applyAlignment="1">
      <alignment horizontal="left" vertical="center"/>
    </xf>
    <xf numFmtId="164" fontId="46" fillId="0" borderId="0" xfId="4" applyNumberFormat="1" applyFont="1" applyFill="1" applyBorder="1" applyAlignment="1">
      <alignment horizontal="center" vertical="center"/>
    </xf>
    <xf numFmtId="3" fontId="46" fillId="0" borderId="0" xfId="19" applyNumberFormat="1" applyFont="1" applyFill="1" applyBorder="1" applyAlignment="1">
      <alignment horizontal="center" vertical="center"/>
    </xf>
    <xf numFmtId="164" fontId="46" fillId="0" borderId="0" xfId="20" applyNumberFormat="1" applyFont="1" applyFill="1" applyBorder="1" applyAlignment="1">
      <alignment vertical="center"/>
    </xf>
    <xf numFmtId="164" fontId="46" fillId="0" borderId="0" xfId="4" applyNumberFormat="1" applyFont="1" applyFill="1" applyBorder="1" applyAlignment="1">
      <alignment vertical="center"/>
    </xf>
    <xf numFmtId="3" fontId="46" fillId="0" borderId="0" xfId="19" applyNumberFormat="1" applyFont="1" applyFill="1" applyBorder="1" applyAlignment="1">
      <alignment horizontal="left" vertical="center"/>
    </xf>
    <xf numFmtId="164" fontId="46" fillId="0" borderId="0" xfId="0" applyNumberFormat="1" applyFont="1" applyFill="1" applyBorder="1" applyAlignment="1">
      <alignment vertical="center"/>
    </xf>
    <xf numFmtId="0" fontId="46" fillId="0" borderId="0" xfId="0" applyFont="1" applyFill="1" applyAlignment="1">
      <alignment vertical="center"/>
    </xf>
    <xf numFmtId="0" fontId="46" fillId="0" borderId="0" xfId="0" applyFont="1" applyFill="1" applyAlignment="1">
      <alignment horizontal="center"/>
    </xf>
    <xf numFmtId="3" fontId="46" fillId="0" borderId="0" xfId="0" applyNumberFormat="1" applyFont="1" applyFill="1" applyAlignment="1">
      <alignment horizontal="center"/>
    </xf>
    <xf numFmtId="0" fontId="46" fillId="0" borderId="0" xfId="0" applyFont="1" applyFill="1"/>
    <xf numFmtId="0" fontId="46" fillId="0" borderId="0" xfId="0" applyFont="1" applyFill="1" applyAlignment="1">
      <alignment horizontal="left"/>
    </xf>
    <xf numFmtId="3" fontId="45" fillId="0" borderId="0" xfId="18" applyNumberFormat="1" applyFont="1" applyFill="1" applyBorder="1" applyAlignment="1">
      <alignment horizontal="center" vertical="center"/>
    </xf>
    <xf numFmtId="0" fontId="45" fillId="0" borderId="0" xfId="0" quotePrefix="1" applyFont="1" applyFill="1" applyBorder="1" applyAlignment="1">
      <alignment horizontal="center" vertical="center"/>
    </xf>
    <xf numFmtId="0" fontId="45" fillId="0" borderId="0" xfId="0" applyFont="1" applyFill="1" applyAlignment="1"/>
    <xf numFmtId="0" fontId="45" fillId="0" borderId="0" xfId="0" applyFont="1" applyFill="1" applyAlignment="1">
      <alignment horizontal="left"/>
    </xf>
    <xf numFmtId="0" fontId="45" fillId="0" borderId="0" xfId="0" applyFont="1" applyFill="1" applyAlignment="1">
      <alignment horizontal="center"/>
    </xf>
    <xf numFmtId="0" fontId="45" fillId="0" borderId="0" xfId="0" applyFont="1" applyFill="1"/>
    <xf numFmtId="0" fontId="45" fillId="0" borderId="0" xfId="0" applyFont="1" applyFill="1" applyAlignment="1">
      <alignment vertical="center"/>
    </xf>
    <xf numFmtId="164" fontId="45" fillId="0" borderId="0" xfId="0" applyNumberFormat="1" applyFont="1" applyFill="1" applyBorder="1" applyAlignment="1">
      <alignment vertical="center"/>
    </xf>
    <xf numFmtId="0" fontId="45" fillId="0" borderId="0" xfId="0" applyFont="1" applyFill="1" applyBorder="1" applyAlignment="1">
      <alignment vertical="center"/>
    </xf>
    <xf numFmtId="0" fontId="46" fillId="0" borderId="0" xfId="0" applyFont="1" applyFill="1" applyAlignment="1"/>
    <xf numFmtId="0" fontId="46" fillId="0" borderId="0" xfId="0" applyFont="1" applyFill="1" applyAlignment="1">
      <alignment horizontal="center" vertical="center"/>
    </xf>
    <xf numFmtId="0" fontId="46" fillId="0" borderId="0" xfId="0" applyFont="1" applyFill="1" applyAlignment="1">
      <alignment horizontal="left" vertical="center"/>
    </xf>
    <xf numFmtId="0" fontId="1" fillId="2" borderId="0" xfId="3" applyFont="1" applyFill="1" applyBorder="1" applyAlignment="1">
      <alignment vertical="center"/>
    </xf>
    <xf numFmtId="0" fontId="2" fillId="2" borderId="0" xfId="3" applyFont="1" applyFill="1" applyBorder="1" applyAlignment="1">
      <alignment vertical="center"/>
    </xf>
    <xf numFmtId="164" fontId="15" fillId="2" borderId="5" xfId="4" applyNumberFormat="1" applyFont="1" applyFill="1" applyBorder="1"/>
    <xf numFmtId="0" fontId="0" fillId="0" borderId="17" xfId="0" quotePrefix="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5" xfId="0" quotePrefix="1"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center" vertical="center"/>
    </xf>
    <xf numFmtId="3" fontId="0" fillId="0" borderId="15" xfId="0" applyNumberFormat="1" applyBorder="1" applyAlignment="1">
      <alignment horizontal="center" vertical="center"/>
    </xf>
    <xf numFmtId="14" fontId="0" fillId="0" borderId="18" xfId="0" applyNumberFormat="1" applyBorder="1" applyAlignment="1">
      <alignment horizontal="center" vertical="center"/>
    </xf>
    <xf numFmtId="0" fontId="56" fillId="0" borderId="0" xfId="0" applyFont="1" applyAlignment="1"/>
    <xf numFmtId="0" fontId="56" fillId="0" borderId="0" xfId="0" applyFont="1" applyAlignment="1">
      <alignment horizontal="centerContinuous"/>
    </xf>
    <xf numFmtId="0" fontId="0" fillId="0" borderId="0" xfId="0" applyAlignment="1">
      <alignment horizontal="centerContinuous"/>
    </xf>
    <xf numFmtId="0" fontId="57" fillId="0" borderId="0" xfId="0" applyFont="1" applyAlignment="1">
      <alignment horizontal="centerContinuous" wrapText="1"/>
    </xf>
    <xf numFmtId="3" fontId="0" fillId="0" borderId="20" xfId="0" applyNumberFormat="1" applyBorder="1" applyAlignment="1">
      <alignment horizontal="center" vertical="center"/>
    </xf>
    <xf numFmtId="0" fontId="0" fillId="0" borderId="21" xfId="0" applyBorder="1" applyAlignment="1">
      <alignment horizontal="center" vertical="center"/>
    </xf>
    <xf numFmtId="0" fontId="55" fillId="19" borderId="1" xfId="0" applyFont="1" applyFill="1" applyBorder="1" applyAlignment="1">
      <alignment horizontal="center" vertical="center"/>
    </xf>
    <xf numFmtId="0" fontId="55" fillId="19" borderId="1" xfId="0" applyFont="1" applyFill="1" applyBorder="1" applyAlignment="1">
      <alignment horizontal="center" vertical="center" wrapText="1"/>
    </xf>
    <xf numFmtId="0" fontId="55" fillId="19" borderId="5" xfId="0" applyFont="1" applyFill="1" applyBorder="1" applyAlignment="1">
      <alignment horizontal="center" vertical="center"/>
    </xf>
    <xf numFmtId="0" fontId="55" fillId="19" borderId="5" xfId="0" applyFont="1" applyFill="1" applyBorder="1" applyAlignment="1">
      <alignment horizontal="center" vertical="center" wrapText="1"/>
    </xf>
    <xf numFmtId="0" fontId="0" fillId="0" borderId="15" xfId="0" applyBorder="1" applyAlignment="1">
      <alignment horizontal="left" vertical="center" wrapText="1"/>
    </xf>
    <xf numFmtId="164" fontId="0" fillId="0" borderId="21" xfId="4" applyNumberFormat="1" applyFont="1" applyBorder="1" applyAlignment="1">
      <alignment horizontal="center" vertical="center"/>
    </xf>
    <xf numFmtId="164" fontId="0" fillId="0" borderId="18" xfId="4" applyNumberFormat="1" applyFont="1" applyBorder="1" applyAlignment="1">
      <alignment horizontal="center" vertical="center"/>
    </xf>
    <xf numFmtId="0" fontId="0" fillId="0" borderId="17" xfId="0" applyBorder="1" applyAlignment="1">
      <alignment horizontal="left" vertical="center" wrapText="1"/>
    </xf>
    <xf numFmtId="0" fontId="0" fillId="0" borderId="14" xfId="0" quotePrefix="1" applyBorder="1" applyAlignment="1">
      <alignment horizontal="center" vertical="center"/>
    </xf>
    <xf numFmtId="0" fontId="0" fillId="0" borderId="14" xfId="0" applyBorder="1" applyAlignment="1">
      <alignment horizontal="left" vertical="center" wrapText="1"/>
    </xf>
    <xf numFmtId="0" fontId="0" fillId="0" borderId="14" xfId="0" applyBorder="1" applyAlignment="1">
      <alignment horizontal="center" vertical="center"/>
    </xf>
    <xf numFmtId="164" fontId="0" fillId="0" borderId="19" xfId="4" applyNumberFormat="1" applyFont="1" applyBorder="1" applyAlignment="1">
      <alignment horizontal="center" vertical="center"/>
    </xf>
    <xf numFmtId="0" fontId="0" fillId="0" borderId="19" xfId="0" applyBorder="1" applyAlignment="1">
      <alignment horizontal="center" vertical="center"/>
    </xf>
    <xf numFmtId="0" fontId="0" fillId="20" borderId="14" xfId="0" quotePrefix="1" applyFill="1" applyBorder="1" applyAlignment="1">
      <alignment horizontal="center" vertical="center"/>
    </xf>
    <xf numFmtId="0" fontId="0" fillId="20" borderId="14" xfId="0" applyFill="1" applyBorder="1" applyAlignment="1">
      <alignment horizontal="center" vertical="center"/>
    </xf>
    <xf numFmtId="14" fontId="0" fillId="20" borderId="19" xfId="0" applyNumberFormat="1" applyFill="1" applyBorder="1" applyAlignment="1">
      <alignment horizontal="center" vertical="center"/>
    </xf>
    <xf numFmtId="0" fontId="0" fillId="20" borderId="19" xfId="0" applyFill="1" applyBorder="1" applyAlignment="1">
      <alignment horizontal="center" vertical="center"/>
    </xf>
    <xf numFmtId="0" fontId="55" fillId="20" borderId="14" xfId="0" applyFont="1" applyFill="1" applyBorder="1" applyAlignment="1">
      <alignment horizontal="left" vertical="center" wrapText="1"/>
    </xf>
    <xf numFmtId="164" fontId="55" fillId="20" borderId="19" xfId="4" applyNumberFormat="1" applyFont="1" applyFill="1" applyBorder="1" applyAlignment="1">
      <alignment horizontal="center" vertical="center"/>
    </xf>
    <xf numFmtId="164" fontId="1" fillId="2" borderId="1" xfId="2" applyNumberFormat="1" applyFont="1" applyFill="1" applyBorder="1" applyAlignment="1">
      <alignment horizontal="left" vertical="center" wrapText="1"/>
    </xf>
    <xf numFmtId="164" fontId="30" fillId="0" borderId="15" xfId="6" quotePrefix="1" applyNumberFormat="1" applyFont="1" applyFill="1" applyBorder="1" applyAlignment="1">
      <alignment horizontal="center" vertical="center" wrapText="1"/>
    </xf>
    <xf numFmtId="164" fontId="58" fillId="13" borderId="1" xfId="4" applyNumberFormat="1" applyFont="1" applyFill="1" applyBorder="1" applyAlignment="1">
      <alignment vertical="center" wrapText="1"/>
    </xf>
    <xf numFmtId="164" fontId="58" fillId="15" borderId="1" xfId="2" applyNumberFormat="1" applyFont="1" applyFill="1" applyBorder="1" applyAlignment="1">
      <alignment vertical="center"/>
    </xf>
    <xf numFmtId="43" fontId="30" fillId="0" borderId="0" xfId="6" applyNumberFormat="1" applyFont="1" applyFill="1" applyBorder="1" applyAlignment="1">
      <alignment horizontal="left" vertical="center" wrapText="1"/>
    </xf>
    <xf numFmtId="0" fontId="0" fillId="0" borderId="14" xfId="0" applyBorder="1" applyAlignment="1">
      <alignment horizontal="center" vertical="center" wrapText="1"/>
    </xf>
    <xf numFmtId="0" fontId="55" fillId="8" borderId="1" xfId="0" applyFont="1" applyFill="1" applyBorder="1" applyAlignment="1">
      <alignment horizontal="center" vertical="center"/>
    </xf>
    <xf numFmtId="0" fontId="55" fillId="8" borderId="1" xfId="0" applyFont="1" applyFill="1" applyBorder="1" applyAlignment="1">
      <alignment horizontal="center" vertical="center" wrapText="1"/>
    </xf>
    <xf numFmtId="0" fontId="55" fillId="8" borderId="5" xfId="0" applyFont="1" applyFill="1" applyBorder="1" applyAlignment="1">
      <alignment horizontal="center" vertical="center"/>
    </xf>
    <xf numFmtId="0" fontId="0" fillId="8" borderId="14" xfId="0" quotePrefix="1" applyFill="1" applyBorder="1" applyAlignment="1">
      <alignment horizontal="center" vertical="center"/>
    </xf>
    <xf numFmtId="0" fontId="55" fillId="8" borderId="14" xfId="0" applyFont="1" applyFill="1" applyBorder="1" applyAlignment="1">
      <alignment horizontal="left" vertical="center" wrapText="1"/>
    </xf>
    <xf numFmtId="0" fontId="0" fillId="8" borderId="14" xfId="0" applyFill="1" applyBorder="1" applyAlignment="1">
      <alignment horizontal="center" vertical="center"/>
    </xf>
    <xf numFmtId="164" fontId="55" fillId="8" borderId="19" xfId="4" applyNumberFormat="1" applyFont="1" applyFill="1" applyBorder="1" applyAlignment="1">
      <alignment horizontal="center" vertical="center"/>
    </xf>
    <xf numFmtId="164" fontId="30" fillId="0" borderId="15" xfId="14" applyNumberFormat="1" applyFont="1" applyFill="1" applyBorder="1" applyAlignment="1">
      <alignment horizontal="left" vertical="center" wrapText="1"/>
    </xf>
    <xf numFmtId="43" fontId="30" fillId="0" borderId="20" xfId="6" applyNumberFormat="1" applyFont="1" applyFill="1" applyBorder="1" applyAlignment="1">
      <alignment horizontal="left" vertical="center" wrapText="1"/>
    </xf>
    <xf numFmtId="43" fontId="30" fillId="0" borderId="15" xfId="6" applyNumberFormat="1" applyFont="1" applyFill="1" applyBorder="1" applyAlignment="1">
      <alignment vertical="center" wrapText="1"/>
    </xf>
    <xf numFmtId="0" fontId="30" fillId="0" borderId="20" xfId="6" quotePrefix="1" applyNumberFormat="1" applyFont="1" applyFill="1" applyBorder="1" applyAlignment="1">
      <alignment horizontal="center" vertical="center" wrapText="1"/>
    </xf>
    <xf numFmtId="164" fontId="30" fillId="0" borderId="20" xfId="7" applyNumberFormat="1" applyFont="1" applyFill="1" applyBorder="1" applyAlignment="1">
      <alignment horizontal="left" vertical="center" wrapText="1"/>
    </xf>
    <xf numFmtId="164" fontId="31" fillId="0" borderId="1" xfId="7" applyNumberFormat="1" applyFont="1" applyFill="1" applyBorder="1" applyAlignment="1">
      <alignment horizontal="center" vertical="center" wrapText="1"/>
    </xf>
    <xf numFmtId="164" fontId="17" fillId="2" borderId="2" xfId="4" applyNumberFormat="1" applyFont="1" applyFill="1" applyBorder="1" applyAlignment="1">
      <alignment vertical="center" wrapText="1"/>
    </xf>
    <xf numFmtId="164" fontId="2" fillId="3" borderId="1" xfId="4" applyNumberFormat="1" applyFont="1" applyFill="1" applyBorder="1" applyAlignment="1">
      <alignment vertical="center" wrapText="1"/>
    </xf>
    <xf numFmtId="0" fontId="14" fillId="14" borderId="1" xfId="2" applyNumberFormat="1" applyFont="1" applyFill="1" applyBorder="1" applyAlignment="1">
      <alignment horizontal="center" vertical="center" wrapText="1"/>
    </xf>
    <xf numFmtId="164" fontId="14" fillId="13" borderId="1" xfId="4" applyNumberFormat="1" applyFont="1" applyFill="1" applyBorder="1" applyAlignment="1">
      <alignment horizontal="center" vertical="center" wrapText="1"/>
    </xf>
    <xf numFmtId="164" fontId="15" fillId="8" borderId="1" xfId="4" applyNumberFormat="1" applyFont="1" applyFill="1" applyBorder="1" applyAlignment="1">
      <alignment horizontal="center" vertical="center"/>
    </xf>
    <xf numFmtId="164" fontId="13" fillId="8" borderId="1" xfId="4" applyNumberFormat="1" applyFont="1" applyFill="1" applyBorder="1" applyAlignment="1">
      <alignment vertical="center" wrapText="1"/>
    </xf>
    <xf numFmtId="164" fontId="2" fillId="8" borderId="1" xfId="4" applyNumberFormat="1" applyFont="1" applyFill="1" applyBorder="1" applyAlignment="1">
      <alignment vertical="center" wrapText="1"/>
    </xf>
    <xf numFmtId="164" fontId="6" fillId="8" borderId="1" xfId="4" applyNumberFormat="1" applyFont="1" applyFill="1" applyBorder="1" applyAlignment="1">
      <alignment vertical="center" wrapText="1"/>
    </xf>
    <xf numFmtId="164" fontId="13" fillId="8" borderId="1" xfId="4" applyNumberFormat="1" applyFont="1" applyFill="1" applyBorder="1" applyAlignment="1">
      <alignment horizontal="left" vertical="center" wrapText="1"/>
    </xf>
    <xf numFmtId="164" fontId="1" fillId="8" borderId="1" xfId="4" applyNumberFormat="1" applyFont="1" applyFill="1" applyBorder="1" applyAlignment="1">
      <alignment vertical="center" wrapText="1"/>
    </xf>
    <xf numFmtId="164" fontId="9" fillId="8" borderId="1" xfId="4" applyNumberFormat="1" applyFont="1" applyFill="1" applyBorder="1" applyAlignment="1">
      <alignment vertical="center" wrapText="1"/>
    </xf>
    <xf numFmtId="164" fontId="1" fillId="13" borderId="1" xfId="4" applyNumberFormat="1" applyFont="1" applyFill="1" applyBorder="1" applyAlignment="1">
      <alignment horizontal="left" vertical="center"/>
    </xf>
    <xf numFmtId="164" fontId="2" fillId="2" borderId="2" xfId="4" applyNumberFormat="1" applyFont="1" applyFill="1" applyBorder="1" applyAlignment="1">
      <alignment horizontal="left" vertical="center"/>
    </xf>
    <xf numFmtId="0" fontId="17" fillId="2" borderId="2" xfId="1" applyFont="1" applyFill="1" applyBorder="1" applyAlignment="1">
      <alignment vertical="center"/>
    </xf>
    <xf numFmtId="9" fontId="2" fillId="3" borderId="1" xfId="5" applyFont="1" applyFill="1" applyBorder="1" applyAlignment="1">
      <alignment horizontal="right" vertical="center"/>
    </xf>
    <xf numFmtId="164" fontId="2" fillId="3" borderId="1" xfId="4" applyNumberFormat="1" applyFont="1" applyFill="1" applyBorder="1" applyAlignment="1">
      <alignment horizontal="center" vertical="center" wrapText="1"/>
    </xf>
    <xf numFmtId="0" fontId="15" fillId="2" borderId="1" xfId="1" applyFont="1" applyFill="1" applyBorder="1" applyAlignment="1">
      <alignment horizontal="center" vertical="center"/>
    </xf>
    <xf numFmtId="0" fontId="15" fillId="2" borderId="2" xfId="1" applyFont="1" applyFill="1" applyBorder="1" applyAlignment="1">
      <alignment horizontal="center" vertical="center"/>
    </xf>
    <xf numFmtId="0" fontId="2" fillId="3" borderId="1" xfId="1" applyFont="1" applyFill="1" applyBorder="1" applyAlignment="1">
      <alignment horizontal="center" vertical="center"/>
    </xf>
    <xf numFmtId="0" fontId="2" fillId="2" borderId="4" xfId="1" applyFont="1" applyFill="1" applyBorder="1" applyAlignment="1">
      <alignment horizontal="center" vertical="center"/>
    </xf>
    <xf numFmtId="0" fontId="2" fillId="2" borderId="1" xfId="1" applyFont="1" applyFill="1" applyBorder="1" applyAlignment="1">
      <alignment horizontal="center" vertical="center"/>
    </xf>
    <xf numFmtId="0" fontId="10"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0" xfId="1" applyFont="1" applyFill="1" applyAlignment="1">
      <alignment horizontal="center" vertical="center"/>
    </xf>
    <xf numFmtId="43" fontId="31" fillId="11" borderId="1" xfId="14" applyNumberFormat="1" applyFont="1" applyFill="1" applyBorder="1" applyAlignment="1">
      <alignment horizontal="left" vertical="center" wrapText="1"/>
    </xf>
    <xf numFmtId="43" fontId="40" fillId="12" borderId="6" xfId="6" applyNumberFormat="1" applyFont="1" applyFill="1" applyBorder="1" applyAlignment="1">
      <alignment horizontal="center" vertical="center" wrapText="1"/>
    </xf>
    <xf numFmtId="0" fontId="18" fillId="7" borderId="0" xfId="6" applyNumberFormat="1" applyFont="1" applyFill="1" applyBorder="1" applyAlignment="1">
      <alignment vertical="center" wrapText="1"/>
    </xf>
    <xf numFmtId="0" fontId="18" fillId="0" borderId="0" xfId="6" applyNumberFormat="1" applyFont="1" applyFill="1" applyBorder="1" applyAlignment="1">
      <alignment vertical="center" wrapText="1"/>
    </xf>
    <xf numFmtId="43" fontId="43" fillId="0" borderId="0" xfId="6" applyNumberFormat="1" applyFont="1" applyFill="1" applyBorder="1" applyAlignment="1">
      <alignment horizontal="left" vertical="center"/>
    </xf>
    <xf numFmtId="0" fontId="30" fillId="0" borderId="16" xfId="13" applyNumberFormat="1" applyFont="1" applyFill="1" applyBorder="1" applyAlignment="1">
      <alignment horizontal="center" vertical="center"/>
    </xf>
    <xf numFmtId="164" fontId="30" fillId="0" borderId="16" xfId="7" applyNumberFormat="1" applyFont="1" applyFill="1" applyBorder="1" applyAlignment="1">
      <alignment horizontal="left" vertical="center" wrapText="1"/>
    </xf>
    <xf numFmtId="164" fontId="30" fillId="0" borderId="7" xfId="7" applyNumberFormat="1" applyFont="1" applyFill="1" applyBorder="1" applyAlignment="1">
      <alignment horizontal="left" vertical="center" wrapText="1"/>
    </xf>
    <xf numFmtId="43" fontId="30" fillId="0" borderId="15" xfId="11" applyNumberFormat="1" applyFont="1" applyFill="1" applyBorder="1" applyAlignment="1">
      <alignment horizontal="left" vertical="center" wrapText="1"/>
    </xf>
    <xf numFmtId="43" fontId="30" fillId="7" borderId="0" xfId="6" applyNumberFormat="1" applyFont="1" applyFill="1" applyBorder="1" applyAlignment="1">
      <alignment horizontal="left" vertical="center" wrapText="1"/>
    </xf>
    <xf numFmtId="164" fontId="30" fillId="0" borderId="15" xfId="13" applyNumberFormat="1" applyFont="1" applyFill="1" applyBorder="1" applyAlignment="1">
      <alignment horizontal="center" vertical="center"/>
    </xf>
    <xf numFmtId="43" fontId="30" fillId="0" borderId="15" xfId="14" applyNumberFormat="1" applyFont="1" applyFill="1" applyBorder="1" applyAlignment="1">
      <alignment horizontal="left" vertical="center" wrapText="1"/>
    </xf>
    <xf numFmtId="43" fontId="30" fillId="7" borderId="15" xfId="6" applyNumberFormat="1" applyFont="1" applyFill="1" applyBorder="1" applyAlignment="1">
      <alignment horizontal="left" vertical="center" wrapText="1"/>
    </xf>
    <xf numFmtId="164" fontId="30" fillId="0" borderId="15" xfId="7" applyNumberFormat="1" applyFont="1" applyFill="1" applyBorder="1" applyAlignment="1">
      <alignment horizontal="center" vertical="center" wrapText="1"/>
    </xf>
    <xf numFmtId="164" fontId="43" fillId="0" borderId="15" xfId="7" applyNumberFormat="1" applyFont="1" applyFill="1" applyBorder="1" applyAlignment="1">
      <alignment horizontal="center" vertical="center" wrapText="1"/>
    </xf>
    <xf numFmtId="164" fontId="62" fillId="12" borderId="6" xfId="10" applyNumberFormat="1" applyFont="1" applyFill="1" applyBorder="1" applyAlignment="1">
      <alignment horizontal="center" vertical="center" wrapText="1"/>
    </xf>
    <xf numFmtId="164" fontId="30" fillId="3" borderId="5" xfId="7" applyNumberFormat="1" applyFont="1" applyFill="1" applyBorder="1" applyAlignment="1">
      <alignment horizontal="left" vertical="center" wrapText="1"/>
    </xf>
    <xf numFmtId="164" fontId="41" fillId="13" borderId="15" xfId="7" applyNumberFormat="1" applyFont="1" applyFill="1" applyBorder="1" applyAlignment="1">
      <alignment horizontal="center" vertical="center" wrapText="1"/>
    </xf>
    <xf numFmtId="164" fontId="30" fillId="13" borderId="15" xfId="7" applyNumberFormat="1" applyFont="1" applyFill="1" applyBorder="1" applyAlignment="1">
      <alignment horizontal="left" vertical="center" wrapText="1"/>
    </xf>
    <xf numFmtId="43" fontId="31" fillId="9" borderId="15" xfId="6" applyNumberFormat="1" applyFont="1" applyFill="1" applyBorder="1" applyAlignment="1">
      <alignment horizontal="center" vertical="center"/>
    </xf>
    <xf numFmtId="0" fontId="31" fillId="9" borderId="15" xfId="16" applyFont="1" applyFill="1" applyBorder="1" applyAlignment="1">
      <alignment vertical="center"/>
    </xf>
    <xf numFmtId="0" fontId="30" fillId="0" borderId="15" xfId="6" applyNumberFormat="1" applyFont="1" applyFill="1" applyBorder="1" applyAlignment="1">
      <alignment horizontal="right" vertical="center" wrapText="1"/>
    </xf>
    <xf numFmtId="43" fontId="30" fillId="0" borderId="15" xfId="11" applyNumberFormat="1" applyFont="1" applyFill="1" applyBorder="1" applyAlignment="1">
      <alignment horizontal="left" vertical="center" wrapText="1" indent="1"/>
    </xf>
    <xf numFmtId="164" fontId="31" fillId="9" borderId="15" xfId="6" quotePrefix="1" applyNumberFormat="1" applyFont="1" applyFill="1" applyBorder="1" applyAlignment="1">
      <alignment horizontal="center" vertical="center" wrapText="1"/>
    </xf>
    <xf numFmtId="43" fontId="31" fillId="9" borderId="15" xfId="6" applyNumberFormat="1" applyFont="1" applyFill="1" applyBorder="1" applyAlignment="1">
      <alignment horizontal="left" vertical="center" wrapText="1"/>
    </xf>
    <xf numFmtId="164" fontId="43" fillId="7" borderId="15" xfId="6" applyNumberFormat="1" applyFont="1" applyFill="1" applyBorder="1" applyAlignment="1">
      <alignment horizontal="center" vertical="center" wrapText="1"/>
    </xf>
    <xf numFmtId="164" fontId="30" fillId="7" borderId="15" xfId="7" applyNumberFormat="1" applyFont="1" applyFill="1" applyBorder="1" applyAlignment="1">
      <alignment horizontal="left" vertical="center" wrapText="1"/>
    </xf>
    <xf numFmtId="164" fontId="31" fillId="9" borderId="15" xfId="6" applyNumberFormat="1" applyFont="1" applyFill="1" applyBorder="1" applyAlignment="1">
      <alignment horizontal="center" vertical="center" wrapText="1"/>
    </xf>
    <xf numFmtId="43" fontId="44" fillId="7" borderId="15" xfId="6" applyNumberFormat="1" applyFont="1" applyFill="1" applyBorder="1" applyAlignment="1">
      <alignment horizontal="left" vertical="center" wrapText="1"/>
    </xf>
    <xf numFmtId="43" fontId="31" fillId="11" borderId="15" xfId="14" applyNumberFormat="1" applyFont="1" applyFill="1" applyBorder="1" applyAlignment="1">
      <alignment horizontal="center" vertical="center" wrapText="1"/>
    </xf>
    <xf numFmtId="43" fontId="31" fillId="11" borderId="15" xfId="14" applyNumberFormat="1" applyFont="1" applyFill="1" applyBorder="1" applyAlignment="1">
      <alignment vertical="center" wrapText="1"/>
    </xf>
    <xf numFmtId="164" fontId="43" fillId="11" borderId="15" xfId="7" applyNumberFormat="1" applyFont="1" applyFill="1" applyBorder="1" applyAlignment="1">
      <alignment horizontal="right" vertical="center" wrapText="1"/>
    </xf>
    <xf numFmtId="43" fontId="44" fillId="0" borderId="15" xfId="6" applyNumberFormat="1" applyFont="1" applyFill="1" applyBorder="1" applyAlignment="1">
      <alignment horizontal="left" vertical="center" wrapText="1"/>
    </xf>
    <xf numFmtId="164" fontId="18" fillId="7" borderId="15" xfId="6" applyNumberFormat="1" applyFont="1" applyFill="1" applyBorder="1" applyAlignment="1">
      <alignment horizontal="left" vertical="center" wrapText="1"/>
    </xf>
    <xf numFmtId="43" fontId="37" fillId="7" borderId="0" xfId="7" applyNumberFormat="1" applyFont="1" applyFill="1" applyBorder="1" applyAlignment="1">
      <alignment horizontal="centerContinuous" vertical="center"/>
    </xf>
    <xf numFmtId="0" fontId="18" fillId="7" borderId="0" xfId="6" applyNumberFormat="1" applyFont="1" applyFill="1" applyBorder="1" applyAlignment="1">
      <alignment horizontal="centerContinuous" vertical="center" wrapText="1"/>
    </xf>
    <xf numFmtId="43" fontId="40" fillId="12" borderId="6" xfId="6" applyNumberFormat="1" applyFont="1" applyFill="1" applyBorder="1" applyAlignment="1">
      <alignment vertical="center" wrapText="1"/>
    </xf>
    <xf numFmtId="43" fontId="31" fillId="3" borderId="5" xfId="6" applyNumberFormat="1" applyFont="1" applyFill="1" applyBorder="1" applyAlignment="1">
      <alignment vertical="center" wrapText="1"/>
    </xf>
    <xf numFmtId="43" fontId="31" fillId="13" borderId="15" xfId="6" applyNumberFormat="1" applyFont="1" applyFill="1" applyBorder="1" applyAlignment="1">
      <alignment vertical="center" wrapText="1"/>
    </xf>
    <xf numFmtId="43" fontId="31" fillId="13" borderId="15" xfId="6" applyNumberFormat="1" applyFont="1" applyFill="1" applyBorder="1" applyAlignment="1">
      <alignment vertical="center"/>
    </xf>
    <xf numFmtId="43" fontId="36" fillId="7" borderId="0" xfId="7" applyNumberFormat="1" applyFont="1" applyFill="1" applyBorder="1" applyAlignment="1">
      <alignment horizontal="center" vertical="center"/>
    </xf>
    <xf numFmtId="43" fontId="31" fillId="13" borderId="15" xfId="6" applyNumberFormat="1" applyFont="1" applyFill="1" applyBorder="1" applyAlignment="1">
      <alignment horizontal="center" vertical="center" wrapText="1"/>
    </xf>
    <xf numFmtId="43" fontId="31" fillId="0" borderId="15" xfId="6" applyNumberFormat="1" applyFont="1" applyFill="1" applyBorder="1" applyAlignment="1">
      <alignment horizontal="center" vertical="center" wrapText="1"/>
    </xf>
    <xf numFmtId="43" fontId="31" fillId="3" borderId="5" xfId="6" applyNumberFormat="1" applyFont="1" applyFill="1" applyBorder="1" applyAlignment="1">
      <alignment horizontal="center" vertical="center" wrapText="1"/>
    </xf>
    <xf numFmtId="43" fontId="33" fillId="7" borderId="0" xfId="7" applyNumberFormat="1" applyFont="1" applyFill="1" applyBorder="1" applyAlignment="1">
      <alignment horizontal="centerContinuous" vertical="center"/>
    </xf>
    <xf numFmtId="164" fontId="36" fillId="0" borderId="0" xfId="6" applyNumberFormat="1" applyFont="1" applyFill="1" applyBorder="1" applyAlignment="1">
      <alignment horizontal="centerContinuous" vertical="center" wrapText="1"/>
    </xf>
    <xf numFmtId="164" fontId="30" fillId="13" borderId="15" xfId="7" applyNumberFormat="1" applyFont="1" applyFill="1" applyBorder="1" applyAlignment="1">
      <alignment vertical="center" wrapText="1"/>
    </xf>
    <xf numFmtId="164" fontId="30" fillId="0" borderId="15" xfId="7" applyNumberFormat="1" applyFont="1" applyFill="1" applyBorder="1" applyAlignment="1">
      <alignment vertical="center" wrapText="1"/>
    </xf>
    <xf numFmtId="164" fontId="30" fillId="7" borderId="15" xfId="7" applyNumberFormat="1" applyFont="1" applyFill="1" applyBorder="1" applyAlignment="1">
      <alignment vertical="center" wrapText="1"/>
    </xf>
    <xf numFmtId="43" fontId="30" fillId="7" borderId="15" xfId="6" applyNumberFormat="1" applyFont="1" applyFill="1" applyBorder="1" applyAlignment="1">
      <alignment vertical="center" wrapText="1"/>
    </xf>
    <xf numFmtId="164" fontId="36" fillId="7" borderId="15" xfId="6" applyNumberFormat="1" applyFont="1" applyFill="1" applyBorder="1" applyAlignment="1">
      <alignment vertical="center" wrapText="1"/>
    </xf>
    <xf numFmtId="164" fontId="31" fillId="3" borderId="5" xfId="7" applyNumberFormat="1" applyFont="1" applyFill="1" applyBorder="1" applyAlignment="1">
      <alignment vertical="center" wrapText="1"/>
    </xf>
    <xf numFmtId="0" fontId="31" fillId="0" borderId="15" xfId="6" applyNumberFormat="1" applyFont="1" applyFill="1" applyBorder="1" applyAlignment="1">
      <alignment horizontal="center" vertical="center" wrapText="1"/>
    </xf>
    <xf numFmtId="43" fontId="30" fillId="0" borderId="15" xfId="12" applyFont="1" applyBorder="1" applyAlignment="1">
      <alignment horizontal="left" vertical="center"/>
    </xf>
    <xf numFmtId="43" fontId="43" fillId="7" borderId="0" xfId="6" applyNumberFormat="1" applyFont="1" applyFill="1" applyBorder="1" applyAlignment="1">
      <alignment horizontal="left" vertical="center"/>
    </xf>
    <xf numFmtId="0" fontId="43" fillId="0" borderId="0" xfId="17" applyNumberFormat="1" applyFont="1" applyFill="1" applyBorder="1" applyAlignment="1">
      <alignment horizontal="left" vertical="center"/>
    </xf>
    <xf numFmtId="43" fontId="30" fillId="0" borderId="15" xfId="13" applyFont="1" applyFill="1" applyBorder="1" applyAlignment="1">
      <alignment horizontal="left" vertical="center"/>
    </xf>
    <xf numFmtId="164" fontId="43" fillId="0" borderId="0" xfId="6" applyNumberFormat="1" applyFont="1" applyFill="1" applyBorder="1" applyAlignment="1">
      <alignment horizontal="left" vertical="center"/>
    </xf>
    <xf numFmtId="43" fontId="30" fillId="0" borderId="0" xfId="13" applyFont="1" applyFill="1" applyAlignment="1">
      <alignment horizontal="left" vertical="center"/>
    </xf>
    <xf numFmtId="164" fontId="43" fillId="0" borderId="0" xfId="7" applyNumberFormat="1" applyFont="1" applyFill="1" applyBorder="1" applyAlignment="1">
      <alignment horizontal="left" vertical="center"/>
    </xf>
    <xf numFmtId="43" fontId="30" fillId="2" borderId="15" xfId="13" applyFont="1" applyFill="1" applyBorder="1" applyAlignment="1">
      <alignment horizontal="left" vertical="center" wrapText="1"/>
    </xf>
    <xf numFmtId="43" fontId="43" fillId="0" borderId="0" xfId="13" applyFont="1" applyFill="1" applyBorder="1" applyAlignment="1">
      <alignment horizontal="left" vertical="center"/>
    </xf>
    <xf numFmtId="43" fontId="30" fillId="0" borderId="15" xfId="13" applyFont="1" applyFill="1" applyBorder="1" applyAlignment="1">
      <alignment horizontal="left" vertical="center" wrapText="1"/>
    </xf>
    <xf numFmtId="164" fontId="30" fillId="0" borderId="15" xfId="11" applyNumberFormat="1" applyFont="1" applyFill="1" applyBorder="1" applyAlignment="1">
      <alignment horizontal="left" vertical="center" wrapText="1"/>
    </xf>
    <xf numFmtId="164" fontId="43" fillId="0" borderId="15" xfId="14" applyNumberFormat="1" applyFont="1" applyFill="1" applyBorder="1" applyAlignment="1">
      <alignment horizontal="left" vertical="center" wrapText="1"/>
    </xf>
    <xf numFmtId="43" fontId="31" fillId="0" borderId="15" xfId="11" applyNumberFormat="1" applyFont="1" applyFill="1" applyBorder="1" applyAlignment="1">
      <alignment horizontal="left" vertical="center" wrapText="1"/>
    </xf>
    <xf numFmtId="43" fontId="30" fillId="0" borderId="15" xfId="12" applyFont="1" applyFill="1" applyBorder="1" applyAlignment="1">
      <alignment horizontal="left" vertical="center"/>
    </xf>
    <xf numFmtId="164" fontId="43" fillId="0" borderId="15" xfId="7" applyNumberFormat="1" applyFont="1" applyFill="1" applyBorder="1" applyAlignment="1">
      <alignment horizontal="left" vertical="center" wrapText="1"/>
    </xf>
    <xf numFmtId="164" fontId="31" fillId="0" borderId="15" xfId="6" applyNumberFormat="1" applyFont="1" applyFill="1" applyBorder="1" applyAlignment="1">
      <alignment horizontal="left" vertical="center" wrapText="1"/>
    </xf>
    <xf numFmtId="43" fontId="30" fillId="0" borderId="14" xfId="14" applyNumberFormat="1" applyFont="1" applyFill="1" applyBorder="1" applyAlignment="1">
      <alignment horizontal="left" vertical="center" wrapText="1"/>
    </xf>
    <xf numFmtId="43" fontId="30" fillId="0" borderId="14" xfId="13" applyFont="1" applyFill="1" applyBorder="1" applyAlignment="1">
      <alignment horizontal="left" vertical="center" wrapText="1"/>
    </xf>
    <xf numFmtId="164" fontId="35" fillId="0" borderId="0" xfId="6" applyNumberFormat="1" applyFont="1" applyFill="1" applyBorder="1" applyAlignment="1">
      <alignment horizontal="left" vertical="center" wrapText="1"/>
    </xf>
    <xf numFmtId="0" fontId="30" fillId="0" borderId="15" xfId="11" applyNumberFormat="1" applyFont="1" applyFill="1" applyBorder="1" applyAlignment="1">
      <alignment horizontal="center" vertical="center" wrapText="1"/>
    </xf>
    <xf numFmtId="43" fontId="44" fillId="0" borderId="15" xfId="11" applyNumberFormat="1" applyFont="1" applyFill="1" applyBorder="1" applyAlignment="1">
      <alignment horizontal="left" vertical="center" wrapText="1"/>
    </xf>
    <xf numFmtId="43" fontId="31" fillId="4" borderId="1" xfId="6" applyNumberFormat="1" applyFont="1" applyFill="1" applyBorder="1" applyAlignment="1">
      <alignment horizontal="center" vertical="center" wrapText="1"/>
    </xf>
    <xf numFmtId="0" fontId="31" fillId="4" borderId="1" xfId="6" applyNumberFormat="1" applyFont="1" applyFill="1" applyBorder="1" applyAlignment="1">
      <alignment horizontal="center" vertical="center" wrapText="1"/>
    </xf>
    <xf numFmtId="3" fontId="31" fillId="4" borderId="1" xfId="8" applyNumberFormat="1" applyFont="1" applyFill="1" applyBorder="1" applyAlignment="1">
      <alignment horizontal="center" vertical="center" wrapText="1"/>
    </xf>
    <xf numFmtId="164" fontId="31" fillId="4" borderId="1" xfId="9" applyNumberFormat="1" applyFont="1" applyFill="1" applyBorder="1" applyAlignment="1">
      <alignment horizontal="center" vertical="center" wrapText="1"/>
    </xf>
    <xf numFmtId="43" fontId="33" fillId="7" borderId="3" xfId="7" applyNumberFormat="1" applyFont="1" applyFill="1" applyBorder="1" applyAlignment="1">
      <alignment horizontal="centerContinuous" vertical="center"/>
    </xf>
    <xf numFmtId="0" fontId="31" fillId="7" borderId="3" xfId="7" applyNumberFormat="1" applyFont="1" applyFill="1" applyBorder="1" applyAlignment="1">
      <alignment horizontal="centerContinuous" vertical="center"/>
    </xf>
    <xf numFmtId="43" fontId="31" fillId="7" borderId="3" xfId="7" applyNumberFormat="1" applyFont="1" applyFill="1" applyBorder="1" applyAlignment="1">
      <alignment horizontal="centerContinuous" vertical="center"/>
    </xf>
    <xf numFmtId="43" fontId="30" fillId="0" borderId="16" xfId="6" applyNumberFormat="1" applyFont="1" applyFill="1" applyBorder="1" applyAlignment="1">
      <alignment horizontal="left" vertical="center" wrapText="1"/>
    </xf>
    <xf numFmtId="0" fontId="30" fillId="0" borderId="16" xfId="6" quotePrefix="1" applyNumberFormat="1" applyFont="1" applyFill="1" applyBorder="1" applyAlignment="1">
      <alignment horizontal="center" vertical="center" wrapText="1"/>
    </xf>
    <xf numFmtId="43" fontId="30" fillId="0" borderId="16" xfId="14" applyNumberFormat="1" applyFont="1" applyFill="1" applyBorder="1" applyAlignment="1">
      <alignment horizontal="left" vertical="center" wrapText="1"/>
    </xf>
    <xf numFmtId="43" fontId="30" fillId="0" borderId="16" xfId="13" applyFont="1" applyFill="1" applyBorder="1" applyAlignment="1">
      <alignment horizontal="left" vertical="center" wrapText="1"/>
    </xf>
    <xf numFmtId="43" fontId="30" fillId="0" borderId="20" xfId="13" applyFont="1" applyFill="1" applyBorder="1" applyAlignment="1">
      <alignment horizontal="left" vertical="center"/>
    </xf>
    <xf numFmtId="0" fontId="30" fillId="0" borderId="20" xfId="13" applyNumberFormat="1" applyFont="1" applyFill="1" applyBorder="1" applyAlignment="1">
      <alignment horizontal="center" vertical="center"/>
    </xf>
    <xf numFmtId="43" fontId="30" fillId="0" borderId="20" xfId="11" applyNumberFormat="1" applyFont="1" applyFill="1" applyBorder="1" applyAlignment="1">
      <alignment horizontal="left" vertical="center" wrapText="1"/>
    </xf>
    <xf numFmtId="164" fontId="30" fillId="0" borderId="20" xfId="14" applyNumberFormat="1" applyFont="1" applyFill="1" applyBorder="1" applyAlignment="1">
      <alignment horizontal="left" vertical="center" wrapText="1"/>
    </xf>
    <xf numFmtId="43" fontId="30" fillId="0" borderId="20" xfId="13" applyFont="1" applyFill="1" applyBorder="1" applyAlignment="1">
      <alignment horizontal="left" vertical="center" wrapText="1"/>
    </xf>
    <xf numFmtId="43" fontId="30" fillId="0" borderId="1" xfId="13" applyFont="1" applyFill="1" applyBorder="1" applyAlignment="1">
      <alignment horizontal="left" vertical="center" wrapText="1"/>
    </xf>
    <xf numFmtId="43" fontId="31" fillId="6" borderId="1" xfId="6" applyNumberFormat="1" applyFont="1" applyFill="1" applyBorder="1" applyAlignment="1">
      <alignment horizontal="left" vertical="center" wrapText="1"/>
    </xf>
    <xf numFmtId="0" fontId="31" fillId="6" borderId="1" xfId="6" quotePrefix="1" applyNumberFormat="1" applyFont="1" applyFill="1" applyBorder="1" applyAlignment="1">
      <alignment horizontal="center" vertical="center" wrapText="1"/>
    </xf>
    <xf numFmtId="43" fontId="31" fillId="6" borderId="1" xfId="14" applyNumberFormat="1" applyFont="1" applyFill="1" applyBorder="1" applyAlignment="1">
      <alignment horizontal="left" vertical="center" wrapText="1"/>
    </xf>
    <xf numFmtId="43" fontId="30" fillId="0" borderId="16" xfId="13" applyFont="1" applyFill="1" applyBorder="1" applyAlignment="1">
      <alignment horizontal="left" vertical="center"/>
    </xf>
    <xf numFmtId="164" fontId="30" fillId="0" borderId="16" xfId="14" applyNumberFormat="1" applyFont="1" applyFill="1" applyBorder="1" applyAlignment="1">
      <alignment horizontal="left" vertical="center" wrapText="1"/>
    </xf>
    <xf numFmtId="43" fontId="30" fillId="0" borderId="20" xfId="14" applyNumberFormat="1" applyFont="1" applyFill="1" applyBorder="1" applyAlignment="1">
      <alignment horizontal="left" vertical="center" wrapText="1"/>
    </xf>
    <xf numFmtId="43" fontId="31" fillId="11" borderId="1" xfId="11" applyNumberFormat="1" applyFont="1" applyFill="1" applyBorder="1" applyAlignment="1">
      <alignment horizontal="left" vertical="center" wrapText="1"/>
    </xf>
    <xf numFmtId="0" fontId="31" fillId="11" borderId="1" xfId="11" applyNumberFormat="1" applyFont="1" applyFill="1" applyBorder="1" applyAlignment="1">
      <alignment horizontal="center" vertical="center" wrapText="1"/>
    </xf>
    <xf numFmtId="164" fontId="43" fillId="0" borderId="1" xfId="7" applyNumberFormat="1" applyFont="1" applyFill="1" applyBorder="1" applyAlignment="1">
      <alignment horizontal="left" vertical="center" wrapText="1"/>
    </xf>
    <xf numFmtId="164" fontId="31" fillId="0" borderId="16" xfId="6" applyNumberFormat="1" applyFont="1" applyFill="1" applyBorder="1" applyAlignment="1">
      <alignment horizontal="left" vertical="center" wrapText="1"/>
    </xf>
    <xf numFmtId="0" fontId="31" fillId="11" borderId="1" xfId="14" applyNumberFormat="1" applyFont="1" applyFill="1" applyBorder="1" applyAlignment="1">
      <alignment horizontal="center" vertical="center" wrapText="1"/>
    </xf>
    <xf numFmtId="164" fontId="30" fillId="0" borderId="16" xfId="11" applyNumberFormat="1" applyFont="1" applyBorder="1" applyAlignment="1">
      <alignment horizontal="left" vertical="center"/>
    </xf>
    <xf numFmtId="164" fontId="30" fillId="0" borderId="20" xfId="2" applyNumberFormat="1" applyFont="1" applyFill="1" applyBorder="1" applyAlignment="1">
      <alignment horizontal="left" vertical="center" wrapText="1"/>
    </xf>
    <xf numFmtId="0" fontId="30" fillId="0" borderId="16" xfId="6" applyNumberFormat="1" applyFont="1" applyFill="1" applyBorder="1" applyAlignment="1">
      <alignment horizontal="center" vertical="center" wrapText="1"/>
    </xf>
    <xf numFmtId="0" fontId="31" fillId="0" borderId="20" xfId="6" applyNumberFormat="1" applyFont="1" applyFill="1" applyBorder="1" applyAlignment="1">
      <alignment horizontal="center" vertical="center" wrapText="1"/>
    </xf>
    <xf numFmtId="43" fontId="31" fillId="0" borderId="20" xfId="11" applyNumberFormat="1" applyFont="1" applyFill="1" applyBorder="1" applyAlignment="1">
      <alignment horizontal="left" vertical="center" wrapText="1"/>
    </xf>
    <xf numFmtId="164" fontId="31" fillId="0" borderId="20" xfId="7" applyNumberFormat="1" applyFont="1" applyFill="1" applyBorder="1" applyAlignment="1">
      <alignment horizontal="left" vertical="center" wrapText="1"/>
    </xf>
    <xf numFmtId="43" fontId="30" fillId="0" borderId="16" xfId="11" applyNumberFormat="1" applyFont="1" applyFill="1" applyBorder="1" applyAlignment="1">
      <alignment horizontal="left" vertical="center" wrapText="1"/>
    </xf>
    <xf numFmtId="0" fontId="30" fillId="0" borderId="20" xfId="11" applyNumberFormat="1" applyFont="1" applyFill="1" applyBorder="1" applyAlignment="1">
      <alignment horizontal="center" vertical="center" wrapText="1"/>
    </xf>
    <xf numFmtId="43" fontId="43" fillId="7" borderId="20" xfId="6" applyNumberFormat="1" applyFont="1" applyFill="1" applyBorder="1" applyAlignment="1">
      <alignment horizontal="left" vertical="center" wrapText="1"/>
    </xf>
    <xf numFmtId="164" fontId="30" fillId="0" borderId="20" xfId="11" applyNumberFormat="1" applyFont="1" applyBorder="1" applyAlignment="1">
      <alignment horizontal="left" vertical="center"/>
    </xf>
    <xf numFmtId="43" fontId="30" fillId="7" borderId="16" xfId="6" applyNumberFormat="1" applyFont="1" applyFill="1" applyBorder="1" applyAlignment="1">
      <alignment horizontal="left" vertical="center" wrapText="1"/>
    </xf>
    <xf numFmtId="0" fontId="30" fillId="7" borderId="16" xfId="6" applyNumberFormat="1" applyFont="1" applyFill="1" applyBorder="1" applyAlignment="1">
      <alignment horizontal="center" vertical="center" wrapText="1"/>
    </xf>
    <xf numFmtId="164" fontId="30" fillId="7" borderId="16" xfId="6" applyNumberFormat="1" applyFont="1" applyFill="1" applyBorder="1" applyAlignment="1">
      <alignment horizontal="left" vertical="center" wrapText="1"/>
    </xf>
    <xf numFmtId="43" fontId="31" fillId="0" borderId="7" xfId="6" applyNumberFormat="1" applyFont="1" applyFill="1" applyBorder="1" applyAlignment="1">
      <alignment horizontal="left" vertical="center" wrapText="1"/>
    </xf>
    <xf numFmtId="0" fontId="30" fillId="0" borderId="7" xfId="6" applyNumberFormat="1" applyFont="1" applyFill="1" applyBorder="1" applyAlignment="1">
      <alignment horizontal="center" vertical="center" wrapText="1"/>
    </xf>
    <xf numFmtId="43" fontId="30" fillId="0" borderId="7" xfId="11" applyNumberFormat="1" applyFont="1" applyFill="1" applyBorder="1" applyAlignment="1">
      <alignment horizontal="left" vertical="center" wrapText="1"/>
    </xf>
    <xf numFmtId="0" fontId="31" fillId="6" borderId="1" xfId="6" applyNumberFormat="1" applyFont="1" applyFill="1" applyBorder="1" applyAlignment="1">
      <alignment horizontal="center" vertical="center"/>
    </xf>
    <xf numFmtId="0" fontId="31" fillId="6" borderId="1" xfId="16" applyFont="1" applyFill="1" applyBorder="1" applyAlignment="1">
      <alignment horizontal="left" vertical="center"/>
    </xf>
    <xf numFmtId="164" fontId="30" fillId="0" borderId="20" xfId="6" applyNumberFormat="1" applyFont="1" applyFill="1" applyBorder="1" applyAlignment="1">
      <alignment horizontal="left" vertical="center" wrapText="1"/>
    </xf>
    <xf numFmtId="43" fontId="31" fillId="10" borderId="1" xfId="6" applyNumberFormat="1" applyFont="1" applyFill="1" applyBorder="1" applyAlignment="1">
      <alignment horizontal="left" vertical="center" wrapText="1"/>
    </xf>
    <xf numFmtId="0" fontId="31" fillId="10" borderId="1" xfId="6" applyNumberFormat="1" applyFont="1" applyFill="1" applyBorder="1" applyAlignment="1">
      <alignment horizontal="center" vertical="center"/>
    </xf>
    <xf numFmtId="164" fontId="41" fillId="2" borderId="1" xfId="6" applyNumberFormat="1" applyFont="1" applyFill="1" applyBorder="1" applyAlignment="1">
      <alignment horizontal="left" vertical="center"/>
    </xf>
    <xf numFmtId="43" fontId="31" fillId="6" borderId="1" xfId="11" applyNumberFormat="1" applyFont="1" applyFill="1" applyBorder="1" applyAlignment="1">
      <alignment horizontal="left" vertical="center" wrapText="1"/>
    </xf>
    <xf numFmtId="0" fontId="31" fillId="6" borderId="1" xfId="12" applyNumberFormat="1" applyFont="1" applyFill="1" applyBorder="1" applyAlignment="1">
      <alignment horizontal="center" vertical="center"/>
    </xf>
    <xf numFmtId="43" fontId="31" fillId="6" borderId="1" xfId="12" applyFont="1" applyFill="1" applyBorder="1" applyAlignment="1">
      <alignment horizontal="left" vertical="center"/>
    </xf>
    <xf numFmtId="164" fontId="43" fillId="2" borderId="1" xfId="7" applyNumberFormat="1" applyFont="1" applyFill="1" applyBorder="1" applyAlignment="1">
      <alignment horizontal="left" vertical="center" wrapText="1"/>
    </xf>
    <xf numFmtId="43" fontId="63" fillId="2" borderId="15" xfId="14" applyNumberFormat="1" applyFont="1" applyFill="1" applyBorder="1" applyAlignment="1">
      <alignment horizontal="center" vertical="center" wrapText="1"/>
    </xf>
    <xf numFmtId="0" fontId="31" fillId="0" borderId="15" xfId="11" applyNumberFormat="1" applyFont="1" applyFill="1" applyBorder="1" applyAlignment="1">
      <alignment horizontal="center" vertical="center" wrapText="1"/>
    </xf>
    <xf numFmtId="164" fontId="31" fillId="0" borderId="15" xfId="11" applyNumberFormat="1" applyFont="1" applyBorder="1" applyAlignment="1">
      <alignment horizontal="left" vertical="center"/>
    </xf>
    <xf numFmtId="164" fontId="31" fillId="0" borderId="16" xfId="11" applyNumberFormat="1" applyFont="1" applyBorder="1" applyAlignment="1">
      <alignment horizontal="left" vertical="center"/>
    </xf>
    <xf numFmtId="164" fontId="31" fillId="0" borderId="15" xfId="14" applyNumberFormat="1" applyFont="1" applyFill="1" applyBorder="1" applyAlignment="1">
      <alignment horizontal="left" vertical="center" wrapText="1"/>
    </xf>
    <xf numFmtId="164" fontId="31" fillId="0" borderId="16" xfId="14" applyNumberFormat="1" applyFont="1" applyFill="1" applyBorder="1" applyAlignment="1">
      <alignment horizontal="left" vertical="center" wrapText="1"/>
    </xf>
    <xf numFmtId="43" fontId="31" fillId="0" borderId="15" xfId="13" applyFont="1" applyFill="1" applyBorder="1" applyAlignment="1">
      <alignment horizontal="left" vertical="center" wrapText="1"/>
    </xf>
    <xf numFmtId="0" fontId="19" fillId="5" borderId="9" xfId="2" applyNumberFormat="1" applyFont="1" applyFill="1" applyBorder="1" applyAlignment="1">
      <alignment horizontal="center" vertical="center"/>
    </xf>
    <xf numFmtId="49" fontId="64" fillId="2" borderId="1" xfId="2" applyNumberFormat="1" applyFont="1" applyFill="1" applyBorder="1" applyAlignment="1">
      <alignment vertical="center" wrapText="1"/>
    </xf>
    <xf numFmtId="164" fontId="64" fillId="8" borderId="1" xfId="4" applyNumberFormat="1" applyFont="1" applyFill="1" applyBorder="1" applyAlignment="1">
      <alignment vertical="center" wrapText="1"/>
    </xf>
    <xf numFmtId="49" fontId="65" fillId="2" borderId="1" xfId="2" applyNumberFormat="1" applyFont="1" applyFill="1" applyBorder="1" applyAlignment="1">
      <alignment vertical="center" wrapText="1"/>
    </xf>
    <xf numFmtId="0" fontId="66" fillId="0" borderId="0" xfId="0" applyFont="1" applyAlignment="1"/>
    <xf numFmtId="49" fontId="15" fillId="0" borderId="0" xfId="0" applyNumberFormat="1" applyFont="1" applyAlignment="1"/>
    <xf numFmtId="0" fontId="15" fillId="0" borderId="0" xfId="0" applyFont="1" applyAlignment="1">
      <alignment wrapText="1"/>
    </xf>
    <xf numFmtId="14" fontId="13" fillId="0" borderId="0" xfId="0" applyNumberFormat="1" applyFont="1" applyAlignment="1">
      <alignment wrapText="1"/>
    </xf>
    <xf numFmtId="0" fontId="13" fillId="0" borderId="0" xfId="0" applyFont="1" applyAlignment="1">
      <alignment wrapText="1"/>
    </xf>
    <xf numFmtId="164" fontId="1" fillId="0" borderId="0" xfId="4" applyNumberFormat="1" applyFont="1" applyAlignment="1">
      <alignment wrapText="1"/>
    </xf>
    <xf numFmtId="164" fontId="13" fillId="0" borderId="0" xfId="4" applyNumberFormat="1" applyFont="1" applyAlignment="1">
      <alignment wrapText="1"/>
    </xf>
    <xf numFmtId="0" fontId="67" fillId="0" borderId="0" xfId="0" applyFont="1" applyAlignment="1">
      <alignment horizontal="left"/>
    </xf>
    <xf numFmtId="49" fontId="13" fillId="0" borderId="0" xfId="0" applyNumberFormat="1" applyFont="1" applyAlignment="1">
      <alignment wrapText="1"/>
    </xf>
    <xf numFmtId="0" fontId="15" fillId="0" borderId="0" xfId="0" applyFont="1" applyAlignment="1"/>
    <xf numFmtId="0" fontId="68" fillId="14" borderId="17" xfId="0" applyFont="1" applyFill="1" applyBorder="1" applyAlignment="1">
      <alignment horizontal="center" vertical="center" wrapText="1"/>
    </xf>
    <xf numFmtId="49" fontId="68" fillId="14" borderId="17" xfId="0" applyNumberFormat="1" applyFont="1" applyFill="1" applyBorder="1" applyAlignment="1">
      <alignment horizontal="center" vertical="center" wrapText="1"/>
    </xf>
    <xf numFmtId="14" fontId="68" fillId="14" borderId="17" xfId="0" applyNumberFormat="1" applyFont="1" applyFill="1" applyBorder="1" applyAlignment="1">
      <alignment horizontal="center" vertical="center" wrapText="1"/>
    </xf>
    <xf numFmtId="164" fontId="69" fillId="14" borderId="17" xfId="4" applyNumberFormat="1" applyFont="1" applyFill="1" applyBorder="1" applyAlignment="1">
      <alignment horizontal="center" vertical="center" wrapText="1"/>
    </xf>
    <xf numFmtId="164" fontId="68" fillId="14" borderId="17" xfId="4" applyNumberFormat="1" applyFont="1" applyFill="1" applyBorder="1" applyAlignment="1">
      <alignment horizontal="center" vertical="center" wrapText="1"/>
    </xf>
    <xf numFmtId="164" fontId="68" fillId="14" borderId="0" xfId="4" applyNumberFormat="1" applyFont="1" applyFill="1" applyAlignment="1">
      <alignment horizontal="center" vertical="center" wrapText="1"/>
    </xf>
    <xf numFmtId="0" fontId="68" fillId="14" borderId="0" xfId="0" applyFont="1" applyFill="1" applyAlignment="1">
      <alignment horizontal="center" vertical="center" wrapText="1"/>
    </xf>
    <xf numFmtId="0" fontId="66" fillId="0" borderId="15" xfId="0" applyFont="1" applyBorder="1" applyAlignment="1">
      <alignment wrapText="1"/>
    </xf>
    <xf numFmtId="49" fontId="13" fillId="0" borderId="15" xfId="0" applyNumberFormat="1" applyFont="1" applyBorder="1" applyAlignment="1">
      <alignment wrapText="1"/>
    </xf>
    <xf numFmtId="0" fontId="13" fillId="0" borderId="15" xfId="0" applyFont="1" applyBorder="1" applyAlignment="1">
      <alignment wrapText="1"/>
    </xf>
    <xf numFmtId="14" fontId="13" fillId="0" borderId="15" xfId="0" applyNumberFormat="1" applyFont="1" applyBorder="1" applyAlignment="1">
      <alignment wrapText="1"/>
    </xf>
    <xf numFmtId="164" fontId="1" fillId="0" borderId="15" xfId="4" applyNumberFormat="1" applyFont="1" applyBorder="1" applyAlignment="1">
      <alignment wrapText="1"/>
    </xf>
    <xf numFmtId="164" fontId="13" fillId="0" borderId="15" xfId="4" applyNumberFormat="1" applyFont="1" applyBorder="1" applyAlignment="1">
      <alignment wrapText="1"/>
    </xf>
    <xf numFmtId="0" fontId="70" fillId="0" borderId="15" xfId="0" applyFont="1" applyBorder="1" applyAlignment="1">
      <alignment wrapText="1"/>
    </xf>
    <xf numFmtId="49" fontId="1" fillId="0" borderId="15" xfId="0" quotePrefix="1" applyNumberFormat="1" applyFont="1" applyBorder="1" applyAlignment="1">
      <alignment wrapText="1"/>
    </xf>
    <xf numFmtId="0" fontId="1" fillId="0" borderId="15" xfId="0" applyFont="1" applyBorder="1" applyAlignment="1">
      <alignment wrapText="1"/>
    </xf>
    <xf numFmtId="14" fontId="1" fillId="0" borderId="15" xfId="0" applyNumberFormat="1" applyFont="1" applyBorder="1" applyAlignment="1">
      <alignment wrapText="1"/>
    </xf>
    <xf numFmtId="49" fontId="1" fillId="0" borderId="15" xfId="0" applyNumberFormat="1" applyFont="1" applyBorder="1" applyAlignment="1">
      <alignment wrapText="1"/>
    </xf>
    <xf numFmtId="0" fontId="70" fillId="0" borderId="16" xfId="0" applyFont="1" applyBorder="1" applyAlignment="1">
      <alignment wrapText="1"/>
    </xf>
    <xf numFmtId="49" fontId="1" fillId="0" borderId="16" xfId="0" applyNumberFormat="1" applyFont="1" applyBorder="1" applyAlignment="1">
      <alignment wrapText="1"/>
    </xf>
    <xf numFmtId="0" fontId="1" fillId="0" borderId="16" xfId="0" applyFont="1" applyBorder="1" applyAlignment="1">
      <alignment wrapText="1"/>
    </xf>
    <xf numFmtId="14" fontId="1" fillId="0" borderId="16" xfId="0" applyNumberFormat="1" applyFont="1" applyBorder="1" applyAlignment="1">
      <alignment wrapText="1"/>
    </xf>
    <xf numFmtId="164" fontId="1" fillId="0" borderId="16" xfId="4" applyNumberFormat="1" applyFont="1" applyBorder="1" applyAlignment="1">
      <alignment wrapText="1"/>
    </xf>
    <xf numFmtId="0" fontId="50" fillId="22" borderId="1" xfId="0" applyFont="1" applyFill="1" applyBorder="1" applyAlignment="1">
      <alignment wrapText="1"/>
    </xf>
    <xf numFmtId="49" fontId="2" fillId="22" borderId="1" xfId="0" applyNumberFormat="1" applyFont="1" applyFill="1" applyBorder="1" applyAlignment="1">
      <alignment wrapText="1"/>
    </xf>
    <xf numFmtId="0" fontId="2" fillId="22" borderId="1" xfId="0" applyFont="1" applyFill="1" applyBorder="1" applyAlignment="1">
      <alignment wrapText="1"/>
    </xf>
    <xf numFmtId="14" fontId="2" fillId="22" borderId="1" xfId="0" applyNumberFormat="1" applyFont="1" applyFill="1" applyBorder="1" applyAlignment="1">
      <alignment wrapText="1"/>
    </xf>
    <xf numFmtId="164" fontId="2" fillId="22" borderId="1" xfId="4" applyNumberFormat="1" applyFont="1" applyFill="1" applyBorder="1" applyAlignment="1">
      <alignment wrapText="1"/>
    </xf>
    <xf numFmtId="164" fontId="13" fillId="0" borderId="0" xfId="4" applyNumberFormat="1" applyFont="1" applyBorder="1" applyAlignment="1">
      <alignment wrapText="1"/>
    </xf>
    <xf numFmtId="0" fontId="13" fillId="0" borderId="0" xfId="0" applyFont="1" applyBorder="1" applyAlignment="1">
      <alignment wrapText="1"/>
    </xf>
    <xf numFmtId="0" fontId="50" fillId="0" borderId="7" xfId="0" applyFont="1" applyBorder="1" applyAlignment="1">
      <alignment wrapText="1"/>
    </xf>
    <xf numFmtId="49" fontId="2" fillId="0" borderId="7" xfId="0" applyNumberFormat="1" applyFont="1" applyBorder="1" applyAlignment="1">
      <alignment wrapText="1"/>
    </xf>
    <xf numFmtId="0" fontId="2" fillId="0" borderId="7" xfId="0" applyFont="1" applyBorder="1" applyAlignment="1">
      <alignment wrapText="1"/>
    </xf>
    <xf numFmtId="14" fontId="2" fillId="0" borderId="7" xfId="0" applyNumberFormat="1" applyFont="1" applyBorder="1" applyAlignment="1">
      <alignment wrapText="1"/>
    </xf>
    <xf numFmtId="164" fontId="2" fillId="0" borderId="7" xfId="4" applyNumberFormat="1" applyFont="1" applyBorder="1" applyAlignment="1">
      <alignment wrapText="1"/>
    </xf>
    <xf numFmtId="164" fontId="1" fillId="0" borderId="15" xfId="4" applyNumberFormat="1" applyFont="1" applyFill="1" applyBorder="1" applyAlignment="1">
      <alignment wrapText="1"/>
    </xf>
    <xf numFmtId="0" fontId="70" fillId="0" borderId="20" xfId="0" applyFont="1" applyBorder="1" applyAlignment="1">
      <alignment wrapText="1"/>
    </xf>
    <xf numFmtId="49" fontId="1" fillId="0" borderId="20" xfId="0" applyNumberFormat="1" applyFont="1" applyBorder="1" applyAlignment="1">
      <alignment wrapText="1"/>
    </xf>
    <xf numFmtId="0" fontId="1" fillId="0" borderId="20" xfId="0" applyFont="1" applyBorder="1" applyAlignment="1">
      <alignment wrapText="1"/>
    </xf>
    <xf numFmtId="14" fontId="1" fillId="0" borderId="20" xfId="0" applyNumberFormat="1" applyFont="1" applyBorder="1" applyAlignment="1">
      <alignment wrapText="1"/>
    </xf>
    <xf numFmtId="164" fontId="1" fillId="0" borderId="20" xfId="4" applyNumberFormat="1" applyFont="1" applyBorder="1" applyAlignment="1">
      <alignment wrapText="1"/>
    </xf>
    <xf numFmtId="0" fontId="70" fillId="0" borderId="15" xfId="0" applyFont="1" applyFill="1" applyBorder="1" applyAlignment="1">
      <alignment wrapText="1"/>
    </xf>
    <xf numFmtId="49" fontId="1" fillId="0" borderId="15" xfId="0" applyNumberFormat="1" applyFont="1" applyFill="1" applyBorder="1" applyAlignment="1">
      <alignment wrapText="1"/>
    </xf>
    <xf numFmtId="0" fontId="1" fillId="0" borderId="15" xfId="0" applyFont="1" applyFill="1" applyBorder="1" applyAlignment="1">
      <alignment wrapText="1"/>
    </xf>
    <xf numFmtId="14" fontId="1" fillId="0" borderId="15" xfId="0" applyNumberFormat="1" applyFont="1" applyFill="1" applyBorder="1" applyAlignment="1">
      <alignment wrapText="1"/>
    </xf>
    <xf numFmtId="164" fontId="13" fillId="0" borderId="0" xfId="4" applyNumberFormat="1" applyFont="1" applyFill="1" applyAlignment="1">
      <alignment wrapText="1"/>
    </xf>
    <xf numFmtId="0" fontId="13" fillId="0" borderId="0" xfId="0" applyFont="1" applyFill="1" applyAlignment="1">
      <alignment wrapText="1"/>
    </xf>
    <xf numFmtId="0" fontId="1" fillId="0" borderId="15" xfId="0" applyNumberFormat="1" applyFont="1" applyBorder="1" applyAlignment="1">
      <alignment wrapText="1"/>
    </xf>
    <xf numFmtId="164" fontId="1" fillId="0" borderId="15" xfId="23" applyNumberFormat="1" applyFont="1" applyBorder="1" applyAlignment="1">
      <alignment wrapText="1"/>
    </xf>
    <xf numFmtId="164" fontId="1" fillId="5" borderId="15" xfId="4" applyNumberFormat="1" applyFont="1" applyFill="1" applyBorder="1" applyAlignment="1">
      <alignment wrapText="1"/>
    </xf>
    <xf numFmtId="0" fontId="1" fillId="0" borderId="16" xfId="0" applyFont="1" applyFill="1" applyBorder="1" applyAlignment="1">
      <alignment wrapText="1"/>
    </xf>
    <xf numFmtId="164" fontId="1" fillId="0" borderId="16" xfId="4" applyNumberFormat="1" applyFont="1" applyFill="1" applyBorder="1" applyAlignment="1">
      <alignment wrapText="1"/>
    </xf>
    <xf numFmtId="0" fontId="50" fillId="0" borderId="1" xfId="0" applyFont="1" applyBorder="1" applyAlignment="1">
      <alignment wrapText="1"/>
    </xf>
    <xf numFmtId="49" fontId="2" fillId="0" borderId="1" xfId="0" applyNumberFormat="1" applyFont="1" applyBorder="1" applyAlignment="1">
      <alignment wrapText="1"/>
    </xf>
    <xf numFmtId="0" fontId="2" fillId="0" borderId="1" xfId="0" applyFont="1" applyBorder="1" applyAlignment="1">
      <alignment wrapText="1"/>
    </xf>
    <xf numFmtId="14" fontId="2" fillId="0" borderId="1" xfId="0" applyNumberFormat="1" applyFont="1" applyBorder="1" applyAlignment="1">
      <alignment wrapText="1"/>
    </xf>
    <xf numFmtId="0" fontId="2" fillId="0" borderId="1" xfId="0" applyFont="1" applyFill="1" applyBorder="1" applyAlignment="1">
      <alignment wrapText="1"/>
    </xf>
    <xf numFmtId="164" fontId="2" fillId="0" borderId="1" xfId="4" applyNumberFormat="1" applyFont="1" applyBorder="1" applyAlignment="1">
      <alignment wrapText="1"/>
    </xf>
    <xf numFmtId="164" fontId="2" fillId="0" borderId="1" xfId="4" applyNumberFormat="1" applyFont="1" applyFill="1" applyBorder="1" applyAlignment="1">
      <alignment wrapText="1"/>
    </xf>
    <xf numFmtId="0" fontId="2" fillId="0" borderId="20" xfId="0" applyFont="1" applyFill="1" applyBorder="1" applyAlignment="1">
      <alignment wrapText="1"/>
    </xf>
    <xf numFmtId="164" fontId="1" fillId="0" borderId="20" xfId="4" applyNumberFormat="1" applyFont="1" applyFill="1" applyBorder="1" applyAlignment="1">
      <alignment wrapText="1"/>
    </xf>
    <xf numFmtId="164" fontId="7" fillId="0" borderId="15" xfId="4" applyNumberFormat="1" applyFont="1" applyFill="1" applyBorder="1" applyAlignment="1">
      <alignment wrapText="1"/>
    </xf>
    <xf numFmtId="164" fontId="13" fillId="0" borderId="0" xfId="4" applyNumberFormat="1" applyFont="1" applyAlignment="1"/>
    <xf numFmtId="171" fontId="13" fillId="0" borderId="0" xfId="5" applyNumberFormat="1" applyFont="1" applyAlignment="1">
      <alignment wrapText="1"/>
    </xf>
    <xf numFmtId="0" fontId="66" fillId="19" borderId="15" xfId="0" applyFont="1" applyFill="1" applyBorder="1" applyAlignment="1">
      <alignment wrapText="1"/>
    </xf>
    <xf numFmtId="49" fontId="15" fillId="19" borderId="15" xfId="0" applyNumberFormat="1" applyFont="1" applyFill="1" applyBorder="1" applyAlignment="1">
      <alignment wrapText="1"/>
    </xf>
    <xf numFmtId="0" fontId="15" fillId="19" borderId="15" xfId="0" applyFont="1" applyFill="1" applyBorder="1" applyAlignment="1">
      <alignment wrapText="1"/>
    </xf>
    <xf numFmtId="14" fontId="15" fillId="19" borderId="15" xfId="0" applyNumberFormat="1" applyFont="1" applyFill="1" applyBorder="1" applyAlignment="1">
      <alignment wrapText="1"/>
    </xf>
    <xf numFmtId="17" fontId="15" fillId="19" borderId="15" xfId="0" applyNumberFormat="1" applyFont="1" applyFill="1" applyBorder="1" applyAlignment="1">
      <alignment wrapText="1"/>
    </xf>
    <xf numFmtId="164" fontId="2" fillId="19" borderId="15" xfId="4" applyNumberFormat="1" applyFont="1" applyFill="1" applyBorder="1" applyAlignment="1">
      <alignment wrapText="1"/>
    </xf>
    <xf numFmtId="164" fontId="15" fillId="19" borderId="15" xfId="4" applyNumberFormat="1" applyFont="1" applyFill="1" applyBorder="1" applyAlignment="1">
      <alignment wrapText="1"/>
    </xf>
    <xf numFmtId="164" fontId="15" fillId="19" borderId="0" xfId="4" applyNumberFormat="1" applyFont="1" applyFill="1" applyAlignment="1">
      <alignment wrapText="1"/>
    </xf>
    <xf numFmtId="0" fontId="15" fillId="19" borderId="0" xfId="0" applyFont="1" applyFill="1" applyAlignment="1">
      <alignment wrapText="1"/>
    </xf>
    <xf numFmtId="0" fontId="66" fillId="0" borderId="0" xfId="0" applyFont="1" applyAlignment="1">
      <alignment wrapText="1"/>
    </xf>
    <xf numFmtId="164" fontId="71" fillId="0" borderId="0" xfId="4" applyNumberFormat="1" applyFont="1" applyAlignment="1">
      <alignment wrapText="1"/>
    </xf>
    <xf numFmtId="164" fontId="64" fillId="14" borderId="1" xfId="2" applyNumberFormat="1" applyFont="1" applyFill="1" applyBorder="1" applyAlignment="1">
      <alignment horizontal="left" vertical="center"/>
    </xf>
    <xf numFmtId="164" fontId="64" fillId="13" borderId="1" xfId="4" applyNumberFormat="1" applyFont="1" applyFill="1" applyBorder="1" applyAlignment="1">
      <alignment vertical="center" wrapText="1"/>
    </xf>
    <xf numFmtId="164" fontId="64" fillId="15" borderId="1" xfId="2" applyNumberFormat="1" applyFont="1" applyFill="1" applyBorder="1" applyAlignment="1">
      <alignment vertical="center"/>
    </xf>
    <xf numFmtId="9" fontId="64" fillId="15" borderId="1" xfId="5" applyFont="1" applyFill="1" applyBorder="1" applyAlignment="1">
      <alignment horizontal="right" vertical="center"/>
    </xf>
    <xf numFmtId="164" fontId="64" fillId="15" borderId="1" xfId="2" applyNumberFormat="1" applyFont="1" applyFill="1" applyBorder="1" applyAlignment="1">
      <alignment horizontal="left" vertical="center"/>
    </xf>
    <xf numFmtId="0" fontId="72" fillId="0" borderId="0" xfId="0" applyFont="1"/>
    <xf numFmtId="0" fontId="72" fillId="0" borderId="0" xfId="0" applyFont="1" applyAlignment="1"/>
    <xf numFmtId="0" fontId="72" fillId="0" borderId="0" xfId="24" applyFont="1" applyFill="1" applyAlignment="1">
      <alignment horizontal="center"/>
    </xf>
    <xf numFmtId="0" fontId="73" fillId="0" borderId="0" xfId="24" applyFont="1" applyFill="1" applyAlignment="1">
      <alignment vertical="center"/>
    </xf>
    <xf numFmtId="0" fontId="73" fillId="0" borderId="0" xfId="24" applyFont="1" applyFill="1" applyAlignment="1"/>
    <xf numFmtId="0" fontId="74" fillId="0" borderId="0" xfId="24" applyFont="1" applyFill="1" applyAlignment="1">
      <alignment horizontal="center"/>
    </xf>
    <xf numFmtId="0" fontId="72" fillId="0" borderId="0" xfId="0" applyFont="1" applyAlignment="1">
      <alignment horizontal="left"/>
    </xf>
    <xf numFmtId="14" fontId="72" fillId="0" borderId="0" xfId="0" applyNumberFormat="1" applyFont="1"/>
    <xf numFmtId="0" fontId="75" fillId="0" borderId="0" xfId="24" applyFont="1" applyFill="1" applyAlignment="1">
      <alignment horizontal="center"/>
    </xf>
    <xf numFmtId="0" fontId="0" fillId="0" borderId="0" xfId="0" applyAlignment="1">
      <alignment wrapText="1"/>
    </xf>
    <xf numFmtId="3" fontId="72" fillId="14" borderId="1" xfId="0" applyNumberFormat="1" applyFont="1" applyFill="1" applyBorder="1" applyAlignment="1">
      <alignment horizontal="center" vertical="center" wrapText="1"/>
    </xf>
    <xf numFmtId="0" fontId="72" fillId="2" borderId="1" xfId="0" applyFont="1" applyFill="1" applyBorder="1" applyAlignment="1">
      <alignment horizontal="left" vertical="center" wrapText="1"/>
    </xf>
    <xf numFmtId="173" fontId="72" fillId="2" borderId="1" xfId="25" applyNumberFormat="1" applyFont="1" applyFill="1" applyBorder="1" applyAlignment="1">
      <alignment horizontal="right" vertical="center" wrapText="1"/>
    </xf>
    <xf numFmtId="0" fontId="72" fillId="0" borderId="1" xfId="0" applyFont="1" applyBorder="1" applyAlignment="1">
      <alignment horizontal="left" vertical="center" wrapText="1"/>
    </xf>
    <xf numFmtId="173" fontId="72" fillId="0" borderId="1" xfId="25" applyNumberFormat="1" applyFont="1" applyBorder="1" applyAlignment="1">
      <alignment horizontal="right" vertical="center" wrapText="1"/>
    </xf>
    <xf numFmtId="0" fontId="72" fillId="0" borderId="1" xfId="0" quotePrefix="1" applyFont="1" applyBorder="1" applyAlignment="1">
      <alignment horizontal="left" vertical="center" wrapText="1"/>
    </xf>
    <xf numFmtId="173" fontId="0" fillId="0" borderId="1" xfId="25" applyNumberFormat="1" applyFont="1" applyBorder="1" applyAlignment="1">
      <alignment horizontal="right" vertical="center" wrapText="1"/>
    </xf>
    <xf numFmtId="173" fontId="77" fillId="0" borderId="1" xfId="0" applyNumberFormat="1" applyFont="1" applyBorder="1" applyAlignment="1">
      <alignment horizontal="right" vertical="center" wrapText="1"/>
    </xf>
    <xf numFmtId="3" fontId="77" fillId="0" borderId="1" xfId="0" applyNumberFormat="1" applyFont="1" applyBorder="1" applyAlignment="1">
      <alignment horizontal="right" vertical="center" wrapText="1"/>
    </xf>
    <xf numFmtId="0" fontId="72" fillId="0" borderId="0" xfId="0" applyFont="1" applyAlignment="1">
      <alignment wrapText="1"/>
    </xf>
    <xf numFmtId="0" fontId="56" fillId="0" borderId="0" xfId="0" applyFont="1"/>
    <xf numFmtId="164" fontId="9" fillId="2" borderId="1" xfId="2" applyNumberFormat="1" applyFont="1" applyFill="1" applyBorder="1" applyAlignment="1">
      <alignment horizontal="left" vertical="center" wrapText="1"/>
    </xf>
    <xf numFmtId="164" fontId="58" fillId="14" borderId="1" xfId="2" applyNumberFormat="1" applyFont="1" applyFill="1" applyBorder="1" applyAlignment="1">
      <alignment horizontal="left" vertical="center"/>
    </xf>
    <xf numFmtId="164" fontId="15" fillId="0" borderId="0" xfId="4" applyNumberFormat="1" applyFont="1" applyAlignment="1">
      <alignment wrapText="1"/>
    </xf>
    <xf numFmtId="0" fontId="72" fillId="21" borderId="1" xfId="0" applyFont="1" applyFill="1" applyBorder="1" applyAlignment="1">
      <alignment horizontal="left" vertical="center" wrapText="1"/>
    </xf>
    <xf numFmtId="173" fontId="72" fillId="21" borderId="1" xfId="25" applyNumberFormat="1" applyFont="1" applyFill="1" applyBorder="1" applyAlignment="1">
      <alignment horizontal="right" vertical="center" wrapText="1"/>
    </xf>
    <xf numFmtId="0" fontId="43" fillId="14" borderId="15" xfId="6" applyNumberFormat="1" applyFont="1" applyFill="1" applyBorder="1" applyAlignment="1">
      <alignment horizontal="center" vertical="center" wrapText="1"/>
    </xf>
    <xf numFmtId="164" fontId="30" fillId="23" borderId="15" xfId="7" applyNumberFormat="1" applyFont="1" applyFill="1" applyBorder="1" applyAlignment="1">
      <alignment horizontal="left" vertical="center" wrapText="1"/>
    </xf>
    <xf numFmtId="0" fontId="43" fillId="2" borderId="15" xfId="6" applyNumberFormat="1" applyFont="1" applyFill="1" applyBorder="1" applyAlignment="1">
      <alignment horizontal="center" vertical="center" wrapText="1"/>
    </xf>
    <xf numFmtId="0" fontId="30" fillId="0" borderId="15" xfId="13" quotePrefix="1" applyNumberFormat="1" applyFont="1" applyFill="1" applyBorder="1" applyAlignment="1">
      <alignment horizontal="center" vertical="center"/>
    </xf>
    <xf numFmtId="164" fontId="30" fillId="2" borderId="15" xfId="7" applyNumberFormat="1" applyFont="1" applyFill="1" applyBorder="1" applyAlignment="1">
      <alignment horizontal="left" vertical="center" wrapText="1"/>
    </xf>
    <xf numFmtId="164" fontId="30" fillId="23" borderId="15" xfId="6" applyNumberFormat="1" applyFont="1" applyFill="1" applyBorder="1" applyAlignment="1">
      <alignment horizontal="left" vertical="center" wrapText="1"/>
    </xf>
    <xf numFmtId="164" fontId="30" fillId="23" borderId="15" xfId="11" applyNumberFormat="1" applyFont="1" applyFill="1" applyBorder="1" applyAlignment="1">
      <alignment horizontal="left" vertical="center" wrapText="1"/>
    </xf>
    <xf numFmtId="164" fontId="30" fillId="23" borderId="15" xfId="2" applyNumberFormat="1" applyFont="1" applyFill="1" applyBorder="1" applyAlignment="1">
      <alignment horizontal="left" vertical="center" wrapText="1"/>
    </xf>
    <xf numFmtId="164" fontId="30" fillId="23" borderId="15" xfId="14" applyNumberFormat="1" applyFont="1" applyFill="1" applyBorder="1" applyAlignment="1">
      <alignment horizontal="left" vertical="center" wrapText="1"/>
    </xf>
    <xf numFmtId="164" fontId="30" fillId="23" borderId="15" xfId="7" applyNumberFormat="1" applyFont="1" applyFill="1" applyBorder="1" applyAlignment="1">
      <alignment horizontal="center" vertical="center" wrapText="1"/>
    </xf>
    <xf numFmtId="43" fontId="13" fillId="13" borderId="1" xfId="4" applyNumberFormat="1" applyFont="1" applyFill="1" applyBorder="1" applyAlignment="1">
      <alignment vertical="center" wrapText="1"/>
    </xf>
    <xf numFmtId="43" fontId="9" fillId="13" borderId="1" xfId="4" applyNumberFormat="1" applyFont="1" applyFill="1" applyBorder="1" applyAlignment="1">
      <alignment vertical="center" wrapText="1"/>
    </xf>
    <xf numFmtId="164" fontId="6" fillId="2" borderId="1" xfId="2" applyNumberFormat="1" applyFont="1" applyFill="1" applyBorder="1" applyAlignment="1">
      <alignment horizontal="center" vertical="center" wrapText="1"/>
    </xf>
    <xf numFmtId="164" fontId="2" fillId="2" borderId="2" xfId="2" applyNumberFormat="1" applyFont="1" applyFill="1" applyBorder="1" applyAlignment="1">
      <alignment horizontal="center" vertical="center" wrapText="1"/>
    </xf>
    <xf numFmtId="0" fontId="1" fillId="0" borderId="1" xfId="3" applyFont="1" applyFill="1" applyBorder="1" applyAlignment="1">
      <alignment horizontal="center" vertical="center"/>
    </xf>
    <xf numFmtId="0" fontId="1" fillId="0" borderId="0" xfId="3" applyFont="1" applyFill="1" applyBorder="1" applyAlignment="1">
      <alignment vertical="center"/>
    </xf>
    <xf numFmtId="0" fontId="6" fillId="2" borderId="0" xfId="1" applyFont="1" applyFill="1" applyAlignment="1">
      <alignment horizontal="centerContinuous" vertical="center"/>
    </xf>
    <xf numFmtId="0" fontId="6" fillId="2" borderId="0" xfId="1" applyNumberFormat="1" applyFont="1" applyFill="1" applyAlignment="1">
      <alignment horizontal="left" vertical="center"/>
    </xf>
    <xf numFmtId="49" fontId="1" fillId="2" borderId="0" xfId="1" applyNumberFormat="1" applyFont="1" applyFill="1" applyAlignment="1">
      <alignment horizontal="centerContinuous" vertical="center" wrapText="1"/>
    </xf>
    <xf numFmtId="164" fontId="1" fillId="2" borderId="0" xfId="4" applyNumberFormat="1" applyFont="1" applyFill="1" applyAlignment="1">
      <alignment horizontal="centerContinuous" vertical="center" wrapText="1"/>
    </xf>
    <xf numFmtId="164" fontId="80" fillId="2" borderId="0" xfId="2" applyNumberFormat="1" applyFont="1" applyFill="1" applyAlignment="1">
      <alignment horizontal="centerContinuous" vertical="center"/>
    </xf>
    <xf numFmtId="164" fontId="2" fillId="2" borderId="0" xfId="2" applyNumberFormat="1" applyFont="1" applyFill="1" applyAlignment="1">
      <alignment horizontal="centerContinuous" vertical="center"/>
    </xf>
    <xf numFmtId="0" fontId="81" fillId="5" borderId="8" xfId="2" applyNumberFormat="1" applyFont="1" applyFill="1" applyBorder="1" applyAlignment="1">
      <alignment horizontal="center" vertical="center" wrapText="1"/>
    </xf>
    <xf numFmtId="164" fontId="1" fillId="2" borderId="0" xfId="2" applyNumberFormat="1" applyFont="1" applyFill="1" applyBorder="1" applyAlignment="1">
      <alignment vertical="center"/>
    </xf>
    <xf numFmtId="49" fontId="1" fillId="2" borderId="0" xfId="1" applyNumberFormat="1" applyFont="1" applyFill="1" applyAlignment="1">
      <alignment vertical="center" wrapText="1"/>
    </xf>
    <xf numFmtId="0" fontId="1" fillId="2" borderId="0" xfId="3" applyFont="1" applyFill="1" applyBorder="1" applyAlignment="1">
      <alignment vertical="center" wrapText="1"/>
    </xf>
    <xf numFmtId="49" fontId="18" fillId="2" borderId="0" xfId="1" applyNumberFormat="1" applyFont="1" applyFill="1" applyAlignment="1">
      <alignment horizontal="centerContinuous" vertical="center" wrapText="1"/>
    </xf>
    <xf numFmtId="164" fontId="18" fillId="2" borderId="0" xfId="4" applyNumberFormat="1" applyFont="1" applyFill="1" applyAlignment="1">
      <alignment horizontal="centerContinuous" vertical="center" wrapText="1"/>
    </xf>
    <xf numFmtId="164" fontId="53" fillId="2" borderId="0" xfId="2" applyNumberFormat="1" applyFont="1" applyFill="1" applyAlignment="1">
      <alignment horizontal="centerContinuous" vertical="center"/>
    </xf>
    <xf numFmtId="164" fontId="85" fillId="2" borderId="0" xfId="2" applyNumberFormat="1" applyFont="1" applyFill="1" applyAlignment="1">
      <alignment horizontal="centerContinuous" vertical="center"/>
    </xf>
    <xf numFmtId="164" fontId="36" fillId="2" borderId="0" xfId="2" applyNumberFormat="1" applyFont="1" applyFill="1" applyAlignment="1">
      <alignment horizontal="centerContinuous" vertical="center"/>
    </xf>
    <xf numFmtId="0" fontId="18" fillId="2" borderId="0" xfId="1" applyFont="1" applyFill="1" applyAlignment="1">
      <alignment vertical="center"/>
    </xf>
    <xf numFmtId="164" fontId="13" fillId="2" borderId="0" xfId="2" applyNumberFormat="1" applyFont="1" applyFill="1" applyAlignment="1">
      <alignment horizontal="centerContinuous" vertical="center"/>
    </xf>
    <xf numFmtId="164" fontId="13" fillId="2" borderId="4" xfId="2" applyNumberFormat="1" applyFont="1" applyFill="1" applyBorder="1" applyAlignment="1">
      <alignment vertical="center"/>
    </xf>
    <xf numFmtId="164" fontId="13" fillId="2" borderId="3" xfId="2" applyNumberFormat="1" applyFont="1" applyFill="1" applyBorder="1" applyAlignment="1">
      <alignment vertical="center"/>
    </xf>
    <xf numFmtId="164" fontId="13" fillId="2" borderId="0" xfId="2" applyNumberFormat="1" applyFont="1" applyFill="1" applyBorder="1" applyAlignment="1">
      <alignment horizontal="right" vertical="center"/>
    </xf>
    <xf numFmtId="164" fontId="13" fillId="2" borderId="0" xfId="2" applyNumberFormat="1" applyFont="1" applyFill="1" applyAlignment="1">
      <alignment horizontal="right" vertical="center"/>
    </xf>
    <xf numFmtId="164" fontId="86" fillId="2" borderId="0" xfId="2" applyNumberFormat="1" applyFont="1" applyFill="1" applyAlignment="1">
      <alignment horizontal="centerContinuous" vertical="center"/>
    </xf>
    <xf numFmtId="0" fontId="15" fillId="4" borderId="1" xfId="0" applyFont="1" applyFill="1" applyBorder="1" applyAlignment="1">
      <alignment horizontal="center" vertical="center" wrapText="1"/>
    </xf>
    <xf numFmtId="164" fontId="15" fillId="4" borderId="1" xfId="4" applyNumberFormat="1" applyFont="1" applyFill="1" applyBorder="1" applyAlignment="1">
      <alignment horizontal="center" vertical="center" wrapText="1"/>
    </xf>
    <xf numFmtId="170" fontId="15" fillId="4" borderId="1" xfId="4" quotePrefix="1" applyNumberFormat="1" applyFont="1" applyFill="1" applyBorder="1" applyAlignment="1">
      <alignment horizontal="center" vertical="center" wrapText="1"/>
    </xf>
    <xf numFmtId="170" fontId="15" fillId="4" borderId="1" xfId="4" applyNumberFormat="1" applyFont="1" applyFill="1" applyBorder="1" applyAlignment="1">
      <alignment horizontal="center" vertical="center" wrapText="1"/>
    </xf>
    <xf numFmtId="0" fontId="15" fillId="2" borderId="0" xfId="0" applyFont="1" applyFill="1" applyAlignment="1">
      <alignment horizontal="center" vertical="center" wrapText="1"/>
    </xf>
    <xf numFmtId="0" fontId="15" fillId="2" borderId="0" xfId="0" applyFont="1" applyFill="1"/>
    <xf numFmtId="0" fontId="14" fillId="2" borderId="15" xfId="0" applyFont="1" applyFill="1" applyBorder="1" applyAlignment="1">
      <alignment horizontal="left" vertical="center"/>
    </xf>
    <xf numFmtId="0" fontId="14" fillId="2" borderId="15" xfId="0" applyFont="1" applyFill="1" applyBorder="1" applyAlignment="1">
      <alignment horizontal="center" vertical="center"/>
    </xf>
    <xf numFmtId="0" fontId="15" fillId="2" borderId="15" xfId="0" applyFont="1" applyFill="1" applyBorder="1" applyAlignment="1">
      <alignment horizontal="left" vertical="center" wrapText="1"/>
    </xf>
    <xf numFmtId="164" fontId="13" fillId="2" borderId="15" xfId="4" applyNumberFormat="1" applyFont="1" applyFill="1" applyBorder="1" applyAlignment="1">
      <alignment horizontal="center" vertical="center"/>
    </xf>
    <xf numFmtId="164" fontId="15" fillId="2" borderId="15" xfId="4" applyNumberFormat="1" applyFont="1" applyFill="1" applyBorder="1" applyAlignment="1">
      <alignment horizontal="center" vertical="center"/>
    </xf>
    <xf numFmtId="164" fontId="15" fillId="17" borderId="15" xfId="4" applyNumberFormat="1" applyFont="1" applyFill="1" applyBorder="1" applyAlignment="1">
      <alignment horizontal="center" vertical="center"/>
    </xf>
    <xf numFmtId="0" fontId="13" fillId="2" borderId="0" xfId="0" applyFont="1" applyFill="1" applyAlignment="1">
      <alignment horizontal="center" vertical="center"/>
    </xf>
    <xf numFmtId="0" fontId="13" fillId="2" borderId="15" xfId="0" applyFont="1" applyFill="1" applyBorder="1" applyAlignment="1">
      <alignment horizontal="left" vertical="center" wrapText="1"/>
    </xf>
    <xf numFmtId="0" fontId="14" fillId="4" borderId="15" xfId="0" applyFont="1" applyFill="1" applyBorder="1" applyAlignment="1">
      <alignment horizontal="left" vertical="center"/>
    </xf>
    <xf numFmtId="0" fontId="14" fillId="4" borderId="15" xfId="0" applyFont="1" applyFill="1" applyBorder="1" applyAlignment="1">
      <alignment horizontal="center" vertical="center"/>
    </xf>
    <xf numFmtId="0" fontId="15" fillId="4" borderId="15" xfId="0" applyFont="1" applyFill="1" applyBorder="1" applyAlignment="1">
      <alignment horizontal="left" vertical="center" wrapText="1"/>
    </xf>
    <xf numFmtId="164" fontId="15" fillId="4" borderId="15" xfId="4" applyNumberFormat="1" applyFont="1" applyFill="1" applyBorder="1" applyAlignment="1">
      <alignment horizontal="center" vertical="center"/>
    </xf>
    <xf numFmtId="43" fontId="13" fillId="2" borderId="15" xfId="4" applyNumberFormat="1" applyFont="1" applyFill="1" applyBorder="1" applyAlignment="1">
      <alignment horizontal="center" vertical="center"/>
    </xf>
    <xf numFmtId="0" fontId="2" fillId="4" borderId="15" xfId="0" applyFont="1" applyFill="1" applyBorder="1" applyAlignment="1">
      <alignment horizontal="center" vertical="center"/>
    </xf>
    <xf numFmtId="0" fontId="2" fillId="4" borderId="15" xfId="0" applyFont="1" applyFill="1" applyBorder="1" applyAlignment="1">
      <alignment horizontal="left" vertical="center" wrapText="1"/>
    </xf>
    <xf numFmtId="164" fontId="2" fillId="4" borderId="15" xfId="4" applyNumberFormat="1" applyFont="1" applyFill="1" applyBorder="1" applyAlignment="1">
      <alignment horizontal="center" vertical="center"/>
    </xf>
    <xf numFmtId="0" fontId="15" fillId="2" borderId="0" xfId="0" applyFont="1" applyFill="1" applyAlignment="1">
      <alignment horizontal="center" vertical="center"/>
    </xf>
    <xf numFmtId="164" fontId="13" fillId="4" borderId="15" xfId="4" applyNumberFormat="1" applyFont="1" applyFill="1" applyBorder="1" applyAlignment="1">
      <alignment horizontal="center" vertical="center"/>
    </xf>
    <xf numFmtId="0" fontId="14" fillId="18" borderId="15" xfId="0" applyFont="1" applyFill="1" applyBorder="1" applyAlignment="1">
      <alignment horizontal="left" vertical="center"/>
    </xf>
    <xf numFmtId="0" fontId="14" fillId="18" borderId="15" xfId="0" applyFont="1" applyFill="1" applyBorder="1" applyAlignment="1">
      <alignment horizontal="center" vertical="center"/>
    </xf>
    <xf numFmtId="0" fontId="15" fillId="18" borderId="15" xfId="0" applyFont="1" applyFill="1" applyBorder="1" applyAlignment="1">
      <alignment horizontal="left" vertical="center" wrapText="1"/>
    </xf>
    <xf numFmtId="164" fontId="15" fillId="18" borderId="15" xfId="4" applyNumberFormat="1" applyFont="1" applyFill="1" applyBorder="1" applyAlignment="1">
      <alignment horizontal="center" vertical="center"/>
    </xf>
    <xf numFmtId="0" fontId="15" fillId="2" borderId="0" xfId="0" applyFont="1" applyFill="1" applyAlignment="1">
      <alignment horizontal="left"/>
    </xf>
    <xf numFmtId="164" fontId="15" fillId="15" borderId="15" xfId="4" applyNumberFormat="1" applyFont="1" applyFill="1" applyBorder="1" applyAlignment="1">
      <alignment horizontal="center" vertical="center"/>
    </xf>
    <xf numFmtId="0" fontId="15" fillId="4" borderId="1" xfId="0" applyFont="1" applyFill="1" applyBorder="1" applyAlignment="1">
      <alignment horizontal="left" vertical="center"/>
    </xf>
    <xf numFmtId="164" fontId="30" fillId="7" borderId="0" xfId="4" applyNumberFormat="1" applyFont="1" applyFill="1" applyBorder="1" applyAlignment="1">
      <alignment horizontal="left" vertical="center" wrapText="1"/>
    </xf>
    <xf numFmtId="164" fontId="31" fillId="7" borderId="3" xfId="4" applyNumberFormat="1" applyFont="1" applyFill="1" applyBorder="1" applyAlignment="1">
      <alignment horizontal="centerContinuous" vertical="center"/>
    </xf>
    <xf numFmtId="164" fontId="31" fillId="4" borderId="1" xfId="4" applyNumberFormat="1" applyFont="1" applyFill="1" applyBorder="1" applyAlignment="1">
      <alignment horizontal="center" vertical="center" wrapText="1"/>
    </xf>
    <xf numFmtId="164" fontId="31" fillId="10" borderId="1" xfId="4" applyNumberFormat="1" applyFont="1" applyFill="1" applyBorder="1" applyAlignment="1">
      <alignment horizontal="left" vertical="center" wrapText="1"/>
    </xf>
    <xf numFmtId="164" fontId="31" fillId="6" borderId="1" xfId="4" applyNumberFormat="1" applyFont="1" applyFill="1" applyBorder="1" applyAlignment="1">
      <alignment horizontal="left" vertical="center"/>
    </xf>
    <xf numFmtId="164" fontId="30" fillId="0" borderId="20" xfId="4" applyNumberFormat="1" applyFont="1" applyFill="1" applyBorder="1" applyAlignment="1">
      <alignment horizontal="left" vertical="center" wrapText="1"/>
    </xf>
    <xf numFmtId="164" fontId="30" fillId="0" borderId="15" xfId="4" applyNumberFormat="1" applyFont="1" applyFill="1" applyBorder="1" applyAlignment="1">
      <alignment horizontal="left" vertical="center" wrapText="1"/>
    </xf>
    <xf numFmtId="164" fontId="30" fillId="0" borderId="16" xfId="4" applyNumberFormat="1" applyFont="1" applyFill="1" applyBorder="1" applyAlignment="1">
      <alignment horizontal="left" vertical="center" wrapText="1"/>
    </xf>
    <xf numFmtId="0" fontId="31" fillId="6" borderId="1" xfId="26" applyFont="1" applyFill="1" applyBorder="1" applyAlignment="1">
      <alignment horizontal="left" vertical="center"/>
    </xf>
    <xf numFmtId="164" fontId="30" fillId="0" borderId="7" xfId="4" applyNumberFormat="1" applyFont="1" applyFill="1" applyBorder="1" applyAlignment="1">
      <alignment horizontal="left" vertical="center" wrapText="1"/>
    </xf>
    <xf numFmtId="164" fontId="31" fillId="11" borderId="1" xfId="4" applyNumberFormat="1" applyFont="1" applyFill="1" applyBorder="1" applyAlignment="1">
      <alignment horizontal="left" vertical="center" wrapText="1"/>
    </xf>
    <xf numFmtId="164" fontId="31" fillId="0" borderId="20" xfId="4" applyNumberFormat="1" applyFont="1" applyFill="1" applyBorder="1" applyAlignment="1">
      <alignment horizontal="left" vertical="center" wrapText="1"/>
    </xf>
    <xf numFmtId="164" fontId="31" fillId="0" borderId="15" xfId="4" applyNumberFormat="1" applyFont="1" applyFill="1" applyBorder="1" applyAlignment="1">
      <alignment horizontal="left" vertical="center" wrapText="1"/>
    </xf>
    <xf numFmtId="164" fontId="30" fillId="0" borderId="15" xfId="4" applyNumberFormat="1" applyFont="1" applyBorder="1" applyAlignment="1">
      <alignment horizontal="left" vertical="center"/>
    </xf>
    <xf numFmtId="164" fontId="30" fillId="0" borderId="20" xfId="4" applyNumberFormat="1" applyFont="1" applyBorder="1" applyAlignment="1">
      <alignment horizontal="left" vertical="center"/>
    </xf>
    <xf numFmtId="164" fontId="30" fillId="0" borderId="16" xfId="4" applyNumberFormat="1" applyFont="1" applyBorder="1" applyAlignment="1">
      <alignment horizontal="left" vertical="center"/>
    </xf>
    <xf numFmtId="164" fontId="30" fillId="0" borderId="15" xfId="4" applyNumberFormat="1" applyFont="1" applyFill="1" applyBorder="1" applyAlignment="1">
      <alignment horizontal="left" vertical="center"/>
    </xf>
    <xf numFmtId="164" fontId="31" fillId="0" borderId="15" xfId="4" applyNumberFormat="1" applyFont="1" applyBorder="1" applyAlignment="1">
      <alignment horizontal="left" vertical="center"/>
    </xf>
    <xf numFmtId="164" fontId="31" fillId="0" borderId="16" xfId="4" applyNumberFormat="1" applyFont="1" applyBorder="1" applyAlignment="1">
      <alignment horizontal="left" vertical="center"/>
    </xf>
    <xf numFmtId="164" fontId="44" fillId="0" borderId="15" xfId="4" applyNumberFormat="1" applyFont="1" applyFill="1" applyBorder="1" applyAlignment="1">
      <alignment horizontal="left" vertical="center" wrapText="1"/>
    </xf>
    <xf numFmtId="164" fontId="30" fillId="7" borderId="15" xfId="4" applyNumberFormat="1" applyFont="1" applyFill="1" applyBorder="1" applyAlignment="1">
      <alignment horizontal="left" vertical="center" wrapText="1"/>
    </xf>
    <xf numFmtId="164" fontId="31" fillId="6" borderId="1" xfId="4" applyNumberFormat="1" applyFont="1" applyFill="1" applyBorder="1" applyAlignment="1">
      <alignment horizontal="left" vertical="center" wrapText="1"/>
    </xf>
    <xf numFmtId="164" fontId="31" fillId="0" borderId="0" xfId="4" applyNumberFormat="1" applyFont="1" applyFill="1" applyBorder="1" applyAlignment="1">
      <alignment horizontal="left" vertical="center" wrapText="1"/>
    </xf>
    <xf numFmtId="164" fontId="30" fillId="0" borderId="0" xfId="4" applyNumberFormat="1" applyFont="1" applyFill="1" applyBorder="1" applyAlignment="1">
      <alignment horizontal="left" vertical="center" wrapText="1"/>
    </xf>
    <xf numFmtId="164" fontId="13" fillId="2" borderId="0" xfId="0" applyNumberFormat="1" applyFont="1" applyFill="1" applyAlignment="1">
      <alignment horizontal="center" vertical="center"/>
    </xf>
    <xf numFmtId="0" fontId="1" fillId="2" borderId="0" xfId="1" applyFont="1" applyFill="1" applyAlignment="1">
      <alignment horizontal="centerContinuous" vertical="center"/>
    </xf>
    <xf numFmtId="0" fontId="28" fillId="2" borderId="0" xfId="1" applyFont="1" applyFill="1" applyAlignment="1">
      <alignment horizontal="centerContinuous" vertical="center"/>
    </xf>
    <xf numFmtId="0" fontId="84" fillId="2" borderId="0" xfId="1" applyNumberFormat="1" applyFont="1" applyFill="1" applyAlignment="1">
      <alignment horizontal="centerContinuous" vertical="center"/>
    </xf>
    <xf numFmtId="0" fontId="18" fillId="2" borderId="0" xfId="1" applyFont="1" applyFill="1" applyAlignment="1">
      <alignment horizontal="centerContinuous" vertical="center"/>
    </xf>
    <xf numFmtId="0" fontId="1" fillId="2" borderId="0" xfId="3" applyFont="1" applyFill="1" applyBorder="1" applyAlignment="1">
      <alignment horizontal="centerContinuous" vertical="center" wrapText="1"/>
    </xf>
    <xf numFmtId="164" fontId="1" fillId="2" borderId="0" xfId="2" applyNumberFormat="1" applyFont="1" applyFill="1" applyBorder="1" applyAlignment="1">
      <alignment horizontal="centerContinuous" vertical="center"/>
    </xf>
    <xf numFmtId="0" fontId="2" fillId="2" borderId="0" xfId="3" applyFont="1" applyFill="1" applyBorder="1" applyAlignment="1">
      <alignment vertical="center" wrapText="1"/>
    </xf>
    <xf numFmtId="164" fontId="2" fillId="2" borderId="0" xfId="2" applyNumberFormat="1" applyFont="1" applyFill="1" applyBorder="1" applyAlignment="1">
      <alignment horizontal="right" vertical="center" wrapText="1"/>
    </xf>
    <xf numFmtId="0" fontId="87" fillId="2" borderId="0" xfId="3" applyFont="1" applyFill="1" applyBorder="1" applyAlignment="1">
      <alignment horizontal="centerContinuous" vertical="center" wrapText="1"/>
    </xf>
    <xf numFmtId="164" fontId="87" fillId="2" borderId="0" xfId="2" applyNumberFormat="1" applyFont="1" applyFill="1" applyBorder="1" applyAlignment="1">
      <alignment horizontal="centerContinuous" vertical="center"/>
    </xf>
    <xf numFmtId="0" fontId="2" fillId="2" borderId="0" xfId="3" applyFont="1" applyFill="1" applyBorder="1" applyAlignment="1">
      <alignment vertical="top" wrapText="1"/>
    </xf>
    <xf numFmtId="0" fontId="28" fillId="2" borderId="0" xfId="1" applyNumberFormat="1" applyFont="1" applyFill="1" applyAlignment="1">
      <alignment horizontal="centerContinuous" vertical="center"/>
    </xf>
    <xf numFmtId="3" fontId="45" fillId="0" borderId="0" xfId="0" quotePrefix="1" applyNumberFormat="1" applyFont="1" applyFill="1" applyBorder="1" applyAlignment="1">
      <alignment horizontal="left" vertical="center"/>
    </xf>
    <xf numFmtId="3" fontId="45" fillId="2" borderId="0" xfId="0" applyNumberFormat="1" applyFont="1" applyFill="1" applyBorder="1" applyAlignment="1">
      <alignment horizontal="center" vertical="center"/>
    </xf>
    <xf numFmtId="3" fontId="45" fillId="2" borderId="0" xfId="0" applyNumberFormat="1" applyFont="1" applyFill="1" applyBorder="1" applyAlignment="1">
      <alignment vertical="center"/>
    </xf>
    <xf numFmtId="3" fontId="1" fillId="0" borderId="0" xfId="0" applyNumberFormat="1" applyFont="1" applyFill="1" applyBorder="1" applyAlignment="1">
      <alignment vertical="center"/>
    </xf>
    <xf numFmtId="0" fontId="46" fillId="2" borderId="0" xfId="0" applyFont="1" applyFill="1" applyBorder="1" applyAlignment="1">
      <alignment horizontal="center" vertical="center"/>
    </xf>
    <xf numFmtId="3" fontId="46" fillId="2" borderId="1" xfId="18" applyNumberFormat="1" applyFont="1" applyFill="1" applyBorder="1" applyAlignment="1">
      <alignment vertical="center"/>
    </xf>
    <xf numFmtId="167" fontId="46" fillId="0" borderId="1" xfId="4" quotePrefix="1" applyNumberFormat="1" applyFont="1" applyFill="1" applyBorder="1" applyAlignment="1">
      <alignment horizontal="center" vertical="center"/>
    </xf>
    <xf numFmtId="0" fontId="46" fillId="2" borderId="1" xfId="0" quotePrefix="1" applyFont="1" applyFill="1" applyBorder="1" applyAlignment="1">
      <alignment horizontal="center"/>
    </xf>
    <xf numFmtId="168" fontId="46" fillId="2" borderId="1" xfId="0" quotePrefix="1" applyNumberFormat="1" applyFont="1" applyFill="1" applyBorder="1" applyAlignment="1">
      <alignment horizontal="center" vertical="center"/>
    </xf>
    <xf numFmtId="164" fontId="46" fillId="0" borderId="6" xfId="20" applyNumberFormat="1" applyFont="1" applyFill="1" applyBorder="1" applyAlignment="1">
      <alignment vertical="center"/>
    </xf>
    <xf numFmtId="164" fontId="46" fillId="0" borderId="5" xfId="20" applyNumberFormat="1" applyFont="1" applyFill="1" applyBorder="1" applyAlignment="1">
      <alignment vertical="center"/>
    </xf>
    <xf numFmtId="164" fontId="48" fillId="0" borderId="1" xfId="4" applyNumberFormat="1" applyFont="1" applyFill="1" applyBorder="1" applyAlignment="1">
      <alignment horizontal="center" vertical="center"/>
    </xf>
    <xf numFmtId="169" fontId="49" fillId="0" borderId="1" xfId="4" applyNumberFormat="1" applyFont="1" applyFill="1" applyBorder="1" applyAlignment="1">
      <alignment horizontal="center" vertical="center"/>
    </xf>
    <xf numFmtId="3" fontId="48" fillId="0" borderId="1" xfId="19" applyNumberFormat="1" applyFont="1" applyFill="1" applyBorder="1" applyAlignment="1">
      <alignment horizontal="center" vertical="center"/>
    </xf>
    <xf numFmtId="164" fontId="46" fillId="2" borderId="0" xfId="4" applyNumberFormat="1" applyFont="1" applyFill="1" applyBorder="1" applyAlignment="1">
      <alignment horizontal="center" vertical="center"/>
    </xf>
    <xf numFmtId="0" fontId="46" fillId="2" borderId="0" xfId="0" applyFont="1" applyFill="1" applyAlignment="1">
      <alignment horizontal="center"/>
    </xf>
    <xf numFmtId="164" fontId="46" fillId="0" borderId="0" xfId="0" applyNumberFormat="1" applyFont="1" applyFill="1"/>
    <xf numFmtId="43" fontId="46" fillId="0" borderId="0" xfId="0" applyNumberFormat="1" applyFont="1" applyFill="1" applyAlignment="1">
      <alignment horizontal="left"/>
    </xf>
    <xf numFmtId="43" fontId="46" fillId="0" borderId="0" xfId="0" applyNumberFormat="1" applyFont="1" applyFill="1"/>
    <xf numFmtId="0" fontId="46" fillId="2" borderId="0" xfId="0" applyFont="1" applyFill="1"/>
    <xf numFmtId="0" fontId="45" fillId="2" borderId="0" xfId="0" applyFont="1" applyFill="1" applyAlignment="1">
      <alignment horizontal="center"/>
    </xf>
    <xf numFmtId="0" fontId="46" fillId="2" borderId="0" xfId="0" applyFont="1" applyFill="1" applyAlignment="1">
      <alignment horizontal="center" vertical="center"/>
    </xf>
    <xf numFmtId="3" fontId="46" fillId="0" borderId="6" xfId="18" applyNumberFormat="1" applyFont="1" applyFill="1" applyBorder="1" applyAlignment="1">
      <alignment vertical="center"/>
    </xf>
    <xf numFmtId="0" fontId="45" fillId="8" borderId="1" xfId="0" applyFont="1" applyFill="1" applyBorder="1" applyAlignment="1">
      <alignment horizontal="center" vertical="center"/>
    </xf>
    <xf numFmtId="0" fontId="45" fillId="8" borderId="1" xfId="0" applyFont="1" applyFill="1" applyBorder="1" applyAlignment="1">
      <alignment horizontal="center" vertical="center" wrapText="1"/>
    </xf>
    <xf numFmtId="0" fontId="45" fillId="8" borderId="1" xfId="0" applyFont="1" applyFill="1" applyBorder="1" applyAlignment="1">
      <alignment horizontal="left" vertical="center" wrapText="1"/>
    </xf>
    <xf numFmtId="3" fontId="46" fillId="8" borderId="1" xfId="18" applyNumberFormat="1" applyFont="1" applyFill="1" applyBorder="1" applyAlignment="1">
      <alignment vertical="center"/>
    </xf>
    <xf numFmtId="0" fontId="2" fillId="8" borderId="1" xfId="0" quotePrefix="1" applyFont="1" applyFill="1" applyBorder="1" applyAlignment="1">
      <alignment horizontal="center" vertical="center"/>
    </xf>
    <xf numFmtId="3" fontId="2" fillId="8" borderId="1" xfId="18" quotePrefix="1" applyNumberFormat="1" applyFont="1" applyFill="1" applyBorder="1" applyAlignment="1">
      <alignment horizontal="left" vertical="center"/>
    </xf>
    <xf numFmtId="0" fontId="2" fillId="8" borderId="1" xfId="0" quotePrefix="1" applyFont="1" applyFill="1" applyBorder="1" applyAlignment="1">
      <alignment horizontal="center" vertical="center" wrapText="1"/>
    </xf>
    <xf numFmtId="0" fontId="46" fillId="0" borderId="1" xfId="0" quotePrefix="1" applyFont="1" applyFill="1" applyBorder="1" applyAlignment="1">
      <alignment horizontal="center"/>
    </xf>
    <xf numFmtId="3" fontId="46" fillId="0" borderId="1" xfId="18" quotePrefix="1" applyNumberFormat="1" applyFont="1" applyFill="1" applyBorder="1" applyAlignment="1">
      <alignment horizontal="left" vertical="center"/>
    </xf>
    <xf numFmtId="0" fontId="45" fillId="8" borderId="5" xfId="0" applyFont="1" applyFill="1" applyBorder="1" applyAlignment="1">
      <alignment horizontal="center" vertical="center" wrapText="1"/>
    </xf>
    <xf numFmtId="3" fontId="45" fillId="8" borderId="5" xfId="0" applyNumberFormat="1" applyFont="1" applyFill="1" applyBorder="1" applyAlignment="1">
      <alignment horizontal="center" vertical="center" wrapText="1"/>
    </xf>
    <xf numFmtId="3" fontId="45" fillId="8" borderId="1" xfId="0" applyNumberFormat="1" applyFont="1" applyFill="1" applyBorder="1" applyAlignment="1">
      <alignment horizontal="center" vertical="center" wrapText="1"/>
    </xf>
    <xf numFmtId="3" fontId="46" fillId="8" borderId="1" xfId="18" quotePrefix="1" applyNumberFormat="1" applyFont="1" applyFill="1" applyBorder="1" applyAlignment="1">
      <alignment horizontal="left" vertical="center"/>
    </xf>
    <xf numFmtId="165" fontId="46" fillId="8" borderId="1" xfId="18" quotePrefix="1" applyNumberFormat="1" applyFont="1" applyFill="1" applyBorder="1" applyAlignment="1">
      <alignment horizontal="center" vertical="center"/>
    </xf>
    <xf numFmtId="167" fontId="46" fillId="8" borderId="1" xfId="4" quotePrefix="1" applyNumberFormat="1" applyFont="1" applyFill="1" applyBorder="1" applyAlignment="1">
      <alignment horizontal="center" vertical="center"/>
    </xf>
    <xf numFmtId="3" fontId="46" fillId="8" borderId="1" xfId="19" applyNumberFormat="1" applyFont="1" applyFill="1" applyBorder="1" applyAlignment="1">
      <alignment horizontal="center" vertical="center"/>
    </xf>
    <xf numFmtId="164" fontId="46" fillId="8" borderId="1" xfId="20" applyNumberFormat="1" applyFont="1" applyFill="1" applyBorder="1" applyAlignment="1">
      <alignment vertical="center"/>
    </xf>
    <xf numFmtId="164" fontId="46" fillId="8" borderId="1" xfId="4" applyNumberFormat="1" applyFont="1" applyFill="1" applyBorder="1" applyAlignment="1">
      <alignment vertical="center"/>
    </xf>
    <xf numFmtId="164" fontId="46" fillId="8" borderId="1" xfId="19" applyNumberFormat="1" applyFont="1" applyFill="1" applyBorder="1" applyAlignment="1">
      <alignment horizontal="center" vertical="center"/>
    </xf>
    <xf numFmtId="164" fontId="48" fillId="8" borderId="1" xfId="4" applyNumberFormat="1" applyFont="1" applyFill="1" applyBorder="1" applyAlignment="1">
      <alignment horizontal="center" vertical="center"/>
    </xf>
    <xf numFmtId="169" fontId="49" fillId="8" borderId="1" xfId="4" applyNumberFormat="1" applyFont="1" applyFill="1" applyBorder="1" applyAlignment="1">
      <alignment horizontal="center" vertical="center"/>
    </xf>
    <xf numFmtId="3" fontId="48" fillId="8" borderId="1" xfId="19" applyNumberFormat="1" applyFont="1" applyFill="1" applyBorder="1" applyAlignment="1">
      <alignment horizontal="center" vertical="center"/>
    </xf>
    <xf numFmtId="3" fontId="46" fillId="17" borderId="1" xfId="18" applyNumberFormat="1" applyFont="1" applyFill="1" applyBorder="1" applyAlignment="1">
      <alignment horizontal="center" vertical="center"/>
    </xf>
    <xf numFmtId="0" fontId="46" fillId="17" borderId="1" xfId="0" quotePrefix="1" applyFont="1" applyFill="1" applyBorder="1" applyAlignment="1">
      <alignment horizontal="center" vertical="center"/>
    </xf>
    <xf numFmtId="164" fontId="46" fillId="17" borderId="1" xfId="4" applyNumberFormat="1" applyFont="1" applyFill="1" applyBorder="1" applyAlignment="1">
      <alignment vertical="center"/>
    </xf>
    <xf numFmtId="164" fontId="46" fillId="17" borderId="1" xfId="0" applyNumberFormat="1" applyFont="1" applyFill="1" applyBorder="1" applyAlignment="1">
      <alignment vertical="center"/>
    </xf>
    <xf numFmtId="164" fontId="45" fillId="2" borderId="0" xfId="4" applyNumberFormat="1" applyFont="1" applyFill="1" applyBorder="1" applyAlignment="1">
      <alignment horizontal="center" vertical="center"/>
    </xf>
    <xf numFmtId="164" fontId="45" fillId="0" borderId="0" xfId="4" applyNumberFormat="1" applyFont="1" applyFill="1" applyBorder="1" applyAlignment="1">
      <alignment horizontal="center" vertical="center"/>
    </xf>
    <xf numFmtId="164" fontId="45" fillId="2" borderId="0" xfId="4" applyNumberFormat="1" applyFont="1" applyFill="1" applyBorder="1" applyAlignment="1">
      <alignment vertical="center"/>
    </xf>
    <xf numFmtId="164" fontId="46" fillId="2" borderId="0" xfId="4" applyNumberFormat="1" applyFont="1" applyFill="1" applyBorder="1" applyAlignment="1">
      <alignment vertical="center"/>
    </xf>
    <xf numFmtId="164" fontId="45" fillId="8" borderId="5" xfId="4" applyNumberFormat="1" applyFont="1" applyFill="1" applyBorder="1" applyAlignment="1">
      <alignment horizontal="center" vertical="center" wrapText="1"/>
    </xf>
    <xf numFmtId="164" fontId="46" fillId="0" borderId="1" xfId="4" applyNumberFormat="1" applyFont="1" applyFill="1" applyBorder="1" applyAlignment="1">
      <alignment horizontal="center" vertical="center"/>
    </xf>
    <xf numFmtId="164" fontId="46" fillId="8" borderId="1" xfId="4" quotePrefix="1" applyNumberFormat="1" applyFont="1" applyFill="1" applyBorder="1" applyAlignment="1">
      <alignment horizontal="left" vertical="center"/>
    </xf>
    <xf numFmtId="164" fontId="46" fillId="8" borderId="1" xfId="4" applyNumberFormat="1" applyFont="1" applyFill="1" applyBorder="1" applyAlignment="1">
      <alignment horizontal="center" vertical="center"/>
    </xf>
    <xf numFmtId="164" fontId="46" fillId="0" borderId="1" xfId="4" quotePrefix="1" applyNumberFormat="1" applyFont="1" applyFill="1" applyBorder="1" applyAlignment="1">
      <alignment horizontal="left" vertical="center"/>
    </xf>
    <xf numFmtId="164" fontId="46" fillId="2" borderId="0" xfId="4" applyNumberFormat="1" applyFont="1" applyFill="1" applyBorder="1" applyAlignment="1">
      <alignment horizontal="left" vertical="center"/>
    </xf>
    <xf numFmtId="164" fontId="46" fillId="2" borderId="0" xfId="4" applyNumberFormat="1" applyFont="1" applyFill="1" applyAlignment="1">
      <alignment horizontal="center"/>
    </xf>
    <xf numFmtId="164" fontId="46" fillId="0" borderId="0" xfId="4" applyNumberFormat="1" applyFont="1" applyFill="1" applyAlignment="1">
      <alignment horizontal="center"/>
    </xf>
    <xf numFmtId="164" fontId="46" fillId="2" borderId="0" xfId="4" applyNumberFormat="1" applyFont="1" applyFill="1"/>
    <xf numFmtId="164" fontId="45" fillId="2" borderId="0" xfId="4" applyNumberFormat="1" applyFont="1" applyFill="1" applyAlignment="1">
      <alignment horizontal="center"/>
    </xf>
    <xf numFmtId="164" fontId="45" fillId="0" borderId="0" xfId="4" applyNumberFormat="1" applyFont="1" applyFill="1" applyAlignment="1">
      <alignment horizontal="center"/>
    </xf>
    <xf numFmtId="164" fontId="46" fillId="2" borderId="0" xfId="4" applyNumberFormat="1" applyFont="1" applyFill="1" applyAlignment="1">
      <alignment horizontal="center" vertical="center"/>
    </xf>
    <xf numFmtId="164" fontId="46" fillId="0" borderId="0" xfId="4" applyNumberFormat="1" applyFont="1" applyFill="1" applyAlignment="1">
      <alignment horizontal="center" vertical="center"/>
    </xf>
    <xf numFmtId="164" fontId="46" fillId="2" borderId="0" xfId="4" applyNumberFormat="1" applyFont="1" applyFill="1" applyAlignment="1">
      <alignment vertical="center"/>
    </xf>
    <xf numFmtId="164" fontId="2" fillId="17" borderId="1" xfId="4" applyNumberFormat="1" applyFont="1" applyFill="1" applyBorder="1" applyAlignment="1">
      <alignment horizontal="center" vertical="center"/>
    </xf>
    <xf numFmtId="3" fontId="2" fillId="17" borderId="1" xfId="18" quotePrefix="1" applyNumberFormat="1" applyFont="1" applyFill="1" applyBorder="1" applyAlignment="1">
      <alignment horizontal="left" vertical="center"/>
    </xf>
    <xf numFmtId="3" fontId="46" fillId="24" borderId="1" xfId="18" applyNumberFormat="1" applyFont="1" applyFill="1" applyBorder="1" applyAlignment="1">
      <alignment vertical="center"/>
    </xf>
    <xf numFmtId="0" fontId="46" fillId="24" borderId="1" xfId="0" quotePrefix="1" applyFont="1" applyFill="1" applyBorder="1" applyAlignment="1">
      <alignment horizontal="center"/>
    </xf>
    <xf numFmtId="3" fontId="46" fillId="24" borderId="1" xfId="18" quotePrefix="1" applyNumberFormat="1" applyFont="1" applyFill="1" applyBorder="1" applyAlignment="1">
      <alignment horizontal="left" vertical="center"/>
    </xf>
    <xf numFmtId="164" fontId="46" fillId="24" borderId="1" xfId="4" quotePrefix="1" applyNumberFormat="1" applyFont="1" applyFill="1" applyBorder="1" applyAlignment="1">
      <alignment horizontal="left" vertical="center"/>
    </xf>
    <xf numFmtId="164" fontId="46" fillId="24" borderId="1" xfId="4" applyNumberFormat="1" applyFont="1" applyFill="1" applyBorder="1" applyAlignment="1">
      <alignment horizontal="center" vertical="center"/>
    </xf>
    <xf numFmtId="0" fontId="46" fillId="24" borderId="1" xfId="0" quotePrefix="1" applyFont="1" applyFill="1" applyBorder="1" applyAlignment="1">
      <alignment horizontal="center" vertical="center"/>
    </xf>
    <xf numFmtId="3" fontId="1" fillId="24" borderId="1" xfId="18" quotePrefix="1" applyNumberFormat="1" applyFont="1" applyFill="1" applyBorder="1" applyAlignment="1">
      <alignment horizontal="left" vertical="center"/>
    </xf>
    <xf numFmtId="3" fontId="46" fillId="24" borderId="6" xfId="18" applyNumberFormat="1" applyFont="1" applyFill="1" applyBorder="1" applyAlignment="1">
      <alignment vertical="center"/>
    </xf>
    <xf numFmtId="168" fontId="46" fillId="24" borderId="1" xfId="0" quotePrefix="1" applyNumberFormat="1" applyFont="1" applyFill="1" applyBorder="1" applyAlignment="1">
      <alignment horizontal="center" vertical="center"/>
    </xf>
    <xf numFmtId="164" fontId="46" fillId="14" borderId="1" xfId="4" quotePrefix="1" applyNumberFormat="1" applyFont="1" applyFill="1" applyBorder="1" applyAlignment="1">
      <alignment horizontal="left" vertical="center"/>
    </xf>
    <xf numFmtId="0" fontId="46" fillId="14" borderId="1" xfId="0" quotePrefix="1" applyFont="1" applyFill="1" applyBorder="1" applyAlignment="1">
      <alignment horizontal="center"/>
    </xf>
    <xf numFmtId="3" fontId="2" fillId="0" borderId="0" xfId="18" applyNumberFormat="1" applyFont="1" applyFill="1" applyBorder="1" applyAlignment="1">
      <alignment horizontal="center" vertical="center"/>
    </xf>
    <xf numFmtId="164" fontId="2" fillId="2" borderId="0" xfId="4" applyNumberFormat="1" applyFont="1" applyFill="1" applyBorder="1" applyAlignment="1">
      <alignment horizontal="center" vertical="center"/>
    </xf>
    <xf numFmtId="164" fontId="46" fillId="2" borderId="0" xfId="4" applyNumberFormat="1" applyFont="1" applyFill="1" applyAlignment="1"/>
    <xf numFmtId="0" fontId="39" fillId="0" borderId="0" xfId="0" applyFont="1" applyFill="1" applyBorder="1" applyAlignment="1">
      <alignment horizontal="center"/>
    </xf>
    <xf numFmtId="0" fontId="39" fillId="0" borderId="0" xfId="0" applyFont="1" applyFill="1" applyAlignment="1">
      <alignment horizontal="center" vertical="center"/>
    </xf>
    <xf numFmtId="0" fontId="44" fillId="2" borderId="0" xfId="0" applyFont="1" applyFill="1"/>
    <xf numFmtId="164" fontId="44" fillId="2" borderId="0" xfId="4" applyNumberFormat="1" applyFont="1" applyFill="1"/>
    <xf numFmtId="0" fontId="63" fillId="2" borderId="0" xfId="0" applyFont="1" applyFill="1" applyAlignment="1">
      <alignment horizontal="left"/>
    </xf>
    <xf numFmtId="0" fontId="63" fillId="2" borderId="0" xfId="0" applyFont="1" applyFill="1"/>
    <xf numFmtId="0" fontId="63" fillId="4" borderId="1" xfId="0" applyFont="1" applyFill="1" applyBorder="1" applyAlignment="1">
      <alignment horizontal="left" vertical="center" wrapText="1"/>
    </xf>
    <xf numFmtId="0" fontId="63" fillId="4" borderId="1" xfId="0" applyFont="1" applyFill="1" applyBorder="1" applyAlignment="1">
      <alignment horizontal="center" vertical="center" wrapText="1"/>
    </xf>
    <xf numFmtId="164" fontId="63" fillId="4" borderId="1" xfId="4" applyNumberFormat="1" applyFont="1" applyFill="1" applyBorder="1" applyAlignment="1">
      <alignment horizontal="center" vertical="center" wrapText="1"/>
    </xf>
    <xf numFmtId="170" fontId="63" fillId="4" borderId="1" xfId="4" quotePrefix="1" applyNumberFormat="1" applyFont="1" applyFill="1" applyBorder="1" applyAlignment="1">
      <alignment horizontal="center" vertical="center" wrapText="1"/>
    </xf>
    <xf numFmtId="170" fontId="63" fillId="4" borderId="1" xfId="4" applyNumberFormat="1" applyFont="1" applyFill="1" applyBorder="1" applyAlignment="1">
      <alignment horizontal="center" vertical="center" wrapText="1"/>
    </xf>
    <xf numFmtId="0" fontId="63" fillId="2" borderId="0" xfId="0" applyFont="1" applyFill="1" applyAlignment="1">
      <alignment horizontal="center" vertical="center" wrapText="1"/>
    </xf>
    <xf numFmtId="0" fontId="41" fillId="2" borderId="17" xfId="0" applyFont="1" applyFill="1" applyBorder="1" applyAlignment="1">
      <alignment horizontal="left" vertical="center"/>
    </xf>
    <xf numFmtId="0" fontId="41" fillId="2" borderId="17" xfId="0" applyFont="1" applyFill="1" applyBorder="1" applyAlignment="1">
      <alignment horizontal="center" vertical="center"/>
    </xf>
    <xf numFmtId="0" fontId="63" fillId="2" borderId="17" xfId="0" applyFont="1" applyFill="1" applyBorder="1" applyAlignment="1">
      <alignment horizontal="left" vertical="center" wrapText="1"/>
    </xf>
    <xf numFmtId="164" fontId="44" fillId="2" borderId="17" xfId="4" applyNumberFormat="1" applyFont="1" applyFill="1" applyBorder="1" applyAlignment="1">
      <alignment horizontal="center" vertical="center"/>
    </xf>
    <xf numFmtId="164" fontId="63" fillId="2" borderId="17" xfId="4" applyNumberFormat="1" applyFont="1" applyFill="1" applyBorder="1" applyAlignment="1">
      <alignment horizontal="center" vertical="center"/>
    </xf>
    <xf numFmtId="164" fontId="63" fillId="17" borderId="17" xfId="4" applyNumberFormat="1" applyFont="1" applyFill="1" applyBorder="1" applyAlignment="1">
      <alignment horizontal="center" vertical="center"/>
    </xf>
    <xf numFmtId="164" fontId="63" fillId="10" borderId="17" xfId="4" applyNumberFormat="1" applyFont="1" applyFill="1" applyBorder="1" applyAlignment="1">
      <alignment horizontal="center" vertical="center"/>
    </xf>
    <xf numFmtId="164" fontId="63" fillId="8" borderId="17" xfId="4" applyNumberFormat="1" applyFont="1" applyFill="1" applyBorder="1" applyAlignment="1">
      <alignment horizontal="center" vertical="center"/>
    </xf>
    <xf numFmtId="164" fontId="63" fillId="21" borderId="17" xfId="4" applyNumberFormat="1" applyFont="1" applyFill="1" applyBorder="1" applyAlignment="1">
      <alignment horizontal="center" vertical="center"/>
    </xf>
    <xf numFmtId="0" fontId="44" fillId="2" borderId="0" xfId="0" applyFont="1" applyFill="1" applyAlignment="1">
      <alignment horizontal="center" vertical="center"/>
    </xf>
    <xf numFmtId="0" fontId="41" fillId="2" borderId="16" xfId="0" applyFont="1" applyFill="1" applyBorder="1" applyAlignment="1">
      <alignment horizontal="left" vertical="center"/>
    </xf>
    <xf numFmtId="0" fontId="41" fillId="2" borderId="16" xfId="0" applyFont="1" applyFill="1" applyBorder="1" applyAlignment="1">
      <alignment horizontal="center" vertical="center"/>
    </xf>
    <xf numFmtId="0" fontId="44" fillId="2" borderId="16" xfId="0" applyFont="1" applyFill="1" applyBorder="1" applyAlignment="1">
      <alignment horizontal="left" vertical="center" wrapText="1"/>
    </xf>
    <xf numFmtId="164" fontId="44" fillId="2" borderId="16" xfId="4" applyNumberFormat="1" applyFont="1" applyFill="1" applyBorder="1" applyAlignment="1">
      <alignment horizontal="center" vertical="center"/>
    </xf>
    <xf numFmtId="164" fontId="63" fillId="2" borderId="16" xfId="4" applyNumberFormat="1" applyFont="1" applyFill="1" applyBorder="1" applyAlignment="1">
      <alignment horizontal="center" vertical="center"/>
    </xf>
    <xf numFmtId="164" fontId="63" fillId="17" borderId="16" xfId="4" applyNumberFormat="1" applyFont="1" applyFill="1" applyBorder="1" applyAlignment="1">
      <alignment horizontal="center" vertical="center"/>
    </xf>
    <xf numFmtId="164" fontId="63" fillId="10" borderId="16" xfId="4" applyNumberFormat="1" applyFont="1" applyFill="1" applyBorder="1" applyAlignment="1">
      <alignment horizontal="center" vertical="center"/>
    </xf>
    <xf numFmtId="164" fontId="63" fillId="8" borderId="16" xfId="4" applyNumberFormat="1" applyFont="1" applyFill="1" applyBorder="1" applyAlignment="1">
      <alignment horizontal="center" vertical="center"/>
    </xf>
    <xf numFmtId="164" fontId="63" fillId="21" borderId="16" xfId="4" applyNumberFormat="1" applyFont="1" applyFill="1" applyBorder="1" applyAlignment="1">
      <alignment horizontal="center" vertical="center"/>
    </xf>
    <xf numFmtId="0" fontId="41" fillId="4" borderId="1" xfId="0" applyFont="1" applyFill="1" applyBorder="1" applyAlignment="1">
      <alignment horizontal="left" vertical="center"/>
    </xf>
    <xf numFmtId="0" fontId="41" fillId="4" borderId="1" xfId="0" applyFont="1" applyFill="1" applyBorder="1" applyAlignment="1">
      <alignment horizontal="center" vertical="center"/>
    </xf>
    <xf numFmtId="164" fontId="63" fillId="4" borderId="1" xfId="4" applyNumberFormat="1" applyFont="1" applyFill="1" applyBorder="1" applyAlignment="1">
      <alignment horizontal="center" vertical="center"/>
    </xf>
    <xf numFmtId="0" fontId="41" fillId="2" borderId="20" xfId="0" applyFont="1" applyFill="1" applyBorder="1" applyAlignment="1">
      <alignment horizontal="left" vertical="center"/>
    </xf>
    <xf numFmtId="0" fontId="41" fillId="2" borderId="20" xfId="0" applyFont="1" applyFill="1" applyBorder="1" applyAlignment="1">
      <alignment horizontal="center" vertical="center"/>
    </xf>
    <xf numFmtId="0" fontId="63" fillId="2" borderId="20" xfId="0" applyFont="1" applyFill="1" applyBorder="1" applyAlignment="1">
      <alignment horizontal="left" vertical="center" wrapText="1"/>
    </xf>
    <xf numFmtId="164" fontId="44" fillId="2" borderId="20" xfId="4" applyNumberFormat="1" applyFont="1" applyFill="1" applyBorder="1" applyAlignment="1">
      <alignment horizontal="center" vertical="center"/>
    </xf>
    <xf numFmtId="164" fontId="63" fillId="2" borderId="20" xfId="4" applyNumberFormat="1" applyFont="1" applyFill="1" applyBorder="1" applyAlignment="1">
      <alignment horizontal="center" vertical="center"/>
    </xf>
    <xf numFmtId="164" fontId="63" fillId="17" borderId="20" xfId="4" applyNumberFormat="1" applyFont="1" applyFill="1" applyBorder="1" applyAlignment="1">
      <alignment horizontal="center" vertical="center"/>
    </xf>
    <xf numFmtId="164" fontId="63" fillId="10" borderId="20" xfId="4" applyNumberFormat="1" applyFont="1" applyFill="1" applyBorder="1" applyAlignment="1">
      <alignment horizontal="center" vertical="center"/>
    </xf>
    <xf numFmtId="164" fontId="63" fillId="8" borderId="20" xfId="4" applyNumberFormat="1" applyFont="1" applyFill="1" applyBorder="1" applyAlignment="1">
      <alignment horizontal="center" vertical="center"/>
    </xf>
    <xf numFmtId="164" fontId="63" fillId="21" borderId="20" xfId="4" applyNumberFormat="1" applyFont="1" applyFill="1" applyBorder="1" applyAlignment="1">
      <alignment horizontal="center" vertical="center"/>
    </xf>
    <xf numFmtId="0" fontId="41" fillId="2" borderId="15" xfId="0" applyFont="1" applyFill="1" applyBorder="1" applyAlignment="1">
      <alignment horizontal="left" vertical="center"/>
    </xf>
    <xf numFmtId="0" fontId="41" fillId="2" borderId="15" xfId="0" applyFont="1" applyFill="1" applyBorder="1" applyAlignment="1">
      <alignment horizontal="center" vertical="center"/>
    </xf>
    <xf numFmtId="0" fontId="44" fillId="2" borderId="15" xfId="0" applyFont="1" applyFill="1" applyBorder="1" applyAlignment="1">
      <alignment horizontal="left" vertical="center" wrapText="1"/>
    </xf>
    <xf numFmtId="164" fontId="44" fillId="2" borderId="15" xfId="4" applyNumberFormat="1" applyFont="1" applyFill="1" applyBorder="1" applyAlignment="1">
      <alignment horizontal="center" vertical="center"/>
    </xf>
    <xf numFmtId="164" fontId="63" fillId="2" borderId="15" xfId="4" applyNumberFormat="1" applyFont="1" applyFill="1" applyBorder="1" applyAlignment="1">
      <alignment horizontal="center" vertical="center"/>
    </xf>
    <xf numFmtId="164" fontId="63" fillId="17" borderId="15" xfId="4" applyNumberFormat="1" applyFont="1" applyFill="1" applyBorder="1" applyAlignment="1">
      <alignment horizontal="center" vertical="center"/>
    </xf>
    <xf numFmtId="164" fontId="63" fillId="10" borderId="15" xfId="4" applyNumberFormat="1" applyFont="1" applyFill="1" applyBorder="1" applyAlignment="1">
      <alignment horizontal="center" vertical="center"/>
    </xf>
    <xf numFmtId="164" fontId="63" fillId="8" borderId="15" xfId="4" applyNumberFormat="1" applyFont="1" applyFill="1" applyBorder="1" applyAlignment="1">
      <alignment horizontal="center" vertical="center"/>
    </xf>
    <xf numFmtId="164" fontId="63" fillId="21" borderId="15" xfId="4" applyNumberFormat="1" applyFont="1" applyFill="1" applyBorder="1" applyAlignment="1">
      <alignment horizontal="center" vertical="center"/>
    </xf>
    <xf numFmtId="0" fontId="88" fillId="2" borderId="0" xfId="0" applyFont="1" applyFill="1" applyAlignment="1">
      <alignment horizontal="centerContinuous"/>
    </xf>
    <xf numFmtId="0" fontId="44" fillId="2" borderId="0" xfId="0" applyFont="1" applyFill="1" applyAlignment="1">
      <alignment horizontal="centerContinuous"/>
    </xf>
    <xf numFmtId="164" fontId="44" fillId="2" borderId="0" xfId="4" applyNumberFormat="1" applyFont="1" applyFill="1" applyAlignment="1">
      <alignment horizontal="centerContinuous"/>
    </xf>
    <xf numFmtId="0" fontId="63" fillId="2" borderId="0" xfId="0" applyFont="1" applyFill="1" applyAlignment="1">
      <alignment horizontal="centerContinuous"/>
    </xf>
    <xf numFmtId="43" fontId="1" fillId="2" borderId="0" xfId="1" applyNumberFormat="1" applyFont="1" applyFill="1" applyAlignment="1">
      <alignment vertical="center"/>
    </xf>
    <xf numFmtId="164" fontId="4" fillId="2" borderId="0" xfId="2" applyNumberFormat="1" applyFont="1" applyFill="1" applyBorder="1" applyAlignment="1">
      <alignment horizontal="centerContinuous" vertical="center"/>
    </xf>
    <xf numFmtId="164" fontId="4" fillId="2" borderId="0" xfId="2" applyNumberFormat="1" applyFont="1" applyFill="1" applyAlignment="1">
      <alignment horizontal="centerContinuous" vertical="center"/>
    </xf>
    <xf numFmtId="164" fontId="1" fillId="2" borderId="0" xfId="2" applyNumberFormat="1" applyFont="1" applyFill="1" applyBorder="1" applyAlignment="1">
      <alignment horizontal="centerContinuous" vertical="center" wrapText="1"/>
    </xf>
    <xf numFmtId="0" fontId="2" fillId="2" borderId="0" xfId="3" applyFont="1" applyFill="1" applyBorder="1" applyAlignment="1">
      <alignment horizontal="centerContinuous" vertical="center" wrapText="1"/>
    </xf>
    <xf numFmtId="164" fontId="2" fillId="2" borderId="0" xfId="2" applyNumberFormat="1" applyFont="1" applyFill="1" applyBorder="1" applyAlignment="1">
      <alignment horizontal="centerContinuous" vertical="center"/>
    </xf>
    <xf numFmtId="164" fontId="90" fillId="2" borderId="0" xfId="2" applyNumberFormat="1" applyFont="1" applyFill="1" applyBorder="1" applyAlignment="1">
      <alignment horizontal="centerContinuous" vertical="center"/>
    </xf>
    <xf numFmtId="164" fontId="90" fillId="2" borderId="0" xfId="2" applyNumberFormat="1" applyFont="1" applyFill="1" applyAlignment="1">
      <alignment horizontal="centerContinuous" vertical="center"/>
    </xf>
    <xf numFmtId="0" fontId="89" fillId="2" borderId="0" xfId="1" applyFont="1" applyFill="1" applyAlignment="1">
      <alignment horizontal="centerContinuous" vertical="center" wrapText="1"/>
    </xf>
    <xf numFmtId="0" fontId="2" fillId="2" borderId="0" xfId="3" applyFont="1" applyFill="1" applyBorder="1" applyAlignment="1">
      <alignment horizontal="center" vertical="center" wrapText="1"/>
    </xf>
    <xf numFmtId="0" fontId="2" fillId="2" borderId="0" xfId="1" applyFont="1" applyFill="1" applyAlignment="1">
      <alignment horizontal="center" vertical="center" wrapText="1"/>
    </xf>
    <xf numFmtId="164" fontId="2" fillId="2" borderId="0" xfId="2" applyNumberFormat="1" applyFont="1" applyFill="1" applyBorder="1" applyAlignment="1">
      <alignment horizontal="centerContinuous" vertical="center" wrapText="1"/>
    </xf>
    <xf numFmtId="0" fontId="88" fillId="2" borderId="0" xfId="1" applyFont="1" applyFill="1" applyAlignment="1">
      <alignment horizontal="centerContinuous" vertical="center"/>
    </xf>
    <xf numFmtId="0" fontId="91" fillId="2" borderId="0" xfId="1" applyNumberFormat="1" applyFont="1" applyFill="1" applyAlignment="1">
      <alignment horizontal="centerContinuous" vertical="center"/>
    </xf>
    <xf numFmtId="49" fontId="92" fillId="2" borderId="0" xfId="1" applyNumberFormat="1" applyFont="1" applyFill="1" applyAlignment="1">
      <alignment horizontal="centerContinuous" vertical="center" wrapText="1"/>
    </xf>
    <xf numFmtId="164" fontId="92" fillId="2" borderId="0" xfId="4" applyNumberFormat="1" applyFont="1" applyFill="1" applyAlignment="1">
      <alignment horizontal="centerContinuous" vertical="center" wrapText="1"/>
    </xf>
    <xf numFmtId="164" fontId="93" fillId="2" borderId="0" xfId="2" applyNumberFormat="1" applyFont="1" applyFill="1" applyAlignment="1">
      <alignment horizontal="centerContinuous" vertical="center"/>
    </xf>
    <xf numFmtId="164" fontId="94" fillId="2" borderId="0" xfId="2" applyNumberFormat="1" applyFont="1" applyFill="1" applyAlignment="1">
      <alignment horizontal="centerContinuous" vertical="center"/>
    </xf>
    <xf numFmtId="164" fontId="95" fillId="2" borderId="0" xfId="2" applyNumberFormat="1" applyFont="1" applyFill="1" applyAlignment="1">
      <alignment horizontal="centerContinuous" vertical="center"/>
    </xf>
    <xf numFmtId="164" fontId="96" fillId="2" borderId="0" xfId="2" applyNumberFormat="1" applyFont="1" applyFill="1" applyAlignment="1">
      <alignment horizontal="centerContinuous" vertical="center"/>
    </xf>
    <xf numFmtId="0" fontId="92" fillId="2" borderId="0" xfId="1" applyFont="1" applyFill="1" applyAlignment="1">
      <alignment horizontal="centerContinuous" vertical="center"/>
    </xf>
    <xf numFmtId="0" fontId="97" fillId="2" borderId="0" xfId="1" applyFont="1" applyFill="1" applyAlignment="1">
      <alignment horizontal="centerContinuous" vertical="center"/>
    </xf>
    <xf numFmtId="0" fontId="92" fillId="2" borderId="0" xfId="1" applyNumberFormat="1" applyFont="1" applyFill="1" applyAlignment="1">
      <alignment horizontal="centerContinuous" vertical="center"/>
    </xf>
    <xf numFmtId="164" fontId="92" fillId="2" borderId="0" xfId="4" applyNumberFormat="1" applyFont="1" applyFill="1" applyAlignment="1">
      <alignment horizontal="centerContinuous" vertical="center"/>
    </xf>
    <xf numFmtId="0" fontId="87" fillId="2" borderId="0" xfId="3" applyFont="1" applyFill="1" applyBorder="1" applyAlignment="1">
      <alignment vertical="center" wrapText="1"/>
    </xf>
    <xf numFmtId="0" fontId="87" fillId="2" borderId="0" xfId="3" applyFont="1" applyFill="1" applyBorder="1" applyAlignment="1">
      <alignment horizontal="left" vertical="center"/>
    </xf>
    <xf numFmtId="0" fontId="2" fillId="0" borderId="0" xfId="0" applyFont="1" applyFill="1" applyAlignment="1">
      <alignment horizontal="center"/>
    </xf>
    <xf numFmtId="164" fontId="2" fillId="2" borderId="0" xfId="4" applyNumberFormat="1" applyFont="1" applyFill="1" applyAlignment="1">
      <alignment horizontal="center"/>
    </xf>
    <xf numFmtId="164" fontId="2" fillId="2" borderId="0" xfId="4" applyNumberFormat="1" applyFont="1" applyFill="1" applyAlignment="1">
      <alignment horizontal="center" vertical="center"/>
    </xf>
    <xf numFmtId="0" fontId="2" fillId="0" borderId="0" xfId="0" applyFont="1" applyFill="1" applyAlignment="1">
      <alignment horizontal="center" vertical="center"/>
    </xf>
    <xf numFmtId="0" fontId="2" fillId="2" borderId="0" xfId="0" applyFont="1" applyFill="1" applyAlignment="1">
      <alignment horizontal="center"/>
    </xf>
    <xf numFmtId="164" fontId="48" fillId="2" borderId="0" xfId="4" applyNumberFormat="1" applyFont="1" applyFill="1" applyBorder="1" applyAlignment="1">
      <alignment vertical="center"/>
    </xf>
    <xf numFmtId="164" fontId="46" fillId="0" borderId="0" xfId="4" applyNumberFormat="1" applyFont="1" applyFill="1" applyAlignment="1">
      <alignment vertical="center"/>
    </xf>
    <xf numFmtId="164" fontId="45" fillId="0" borderId="0" xfId="4" applyNumberFormat="1" applyFont="1" applyFill="1" applyAlignment="1">
      <alignment vertical="center"/>
    </xf>
    <xf numFmtId="164" fontId="46" fillId="0" borderId="0" xfId="4" applyNumberFormat="1" applyFont="1" applyFill="1" applyAlignment="1"/>
    <xf numFmtId="164" fontId="46" fillId="0" borderId="0" xfId="4" applyNumberFormat="1" applyFont="1" applyFill="1"/>
    <xf numFmtId="0" fontId="26" fillId="2" borderId="0" xfId="1" applyNumberFormat="1" applyFont="1" applyFill="1" applyAlignment="1">
      <alignment horizontal="centerContinuous" vertical="center"/>
    </xf>
    <xf numFmtId="0" fontId="21" fillId="2" borderId="0" xfId="1" applyFont="1" applyFill="1" applyAlignment="1">
      <alignment horizontal="centerContinuous" vertical="center"/>
    </xf>
    <xf numFmtId="164" fontId="2" fillId="0" borderId="1" xfId="3" applyNumberFormat="1" applyFont="1" applyFill="1" applyBorder="1" applyAlignment="1">
      <alignment horizontal="left" vertical="center" wrapText="1"/>
    </xf>
    <xf numFmtId="0" fontId="2" fillId="4" borderId="1" xfId="3" applyNumberFormat="1" applyFont="1" applyFill="1" applyBorder="1" applyAlignment="1">
      <alignment horizontal="centerContinuous" vertical="center" wrapText="1"/>
    </xf>
    <xf numFmtId="0" fontId="1" fillId="4" borderId="1" xfId="3" applyNumberFormat="1" applyFont="1" applyFill="1" applyBorder="1" applyAlignment="1">
      <alignment horizontal="centerContinuous" vertical="center" wrapText="1"/>
    </xf>
    <xf numFmtId="164" fontId="1" fillId="0" borderId="0" xfId="2" applyNumberFormat="1" applyFont="1" applyFill="1" applyBorder="1" applyAlignment="1">
      <alignment vertical="center"/>
    </xf>
    <xf numFmtId="164" fontId="98" fillId="4" borderId="1" xfId="3" applyNumberFormat="1" applyFont="1" applyFill="1" applyBorder="1" applyAlignment="1">
      <alignment horizontal="right" vertical="center"/>
    </xf>
    <xf numFmtId="164" fontId="2" fillId="0" borderId="1" xfId="2" applyNumberFormat="1" applyFont="1" applyFill="1" applyBorder="1" applyAlignment="1">
      <alignment horizontal="right" vertical="center"/>
    </xf>
    <xf numFmtId="0" fontId="2" fillId="4" borderId="1" xfId="3" applyFont="1" applyFill="1" applyBorder="1" applyAlignment="1">
      <alignment vertical="center" wrapText="1"/>
    </xf>
    <xf numFmtId="164" fontId="98" fillId="4" borderId="1" xfId="2" applyNumberFormat="1" applyFont="1" applyFill="1" applyBorder="1" applyAlignment="1">
      <alignment horizontal="right" vertical="center"/>
    </xf>
    <xf numFmtId="0" fontId="2" fillId="4" borderId="1" xfId="3" applyFont="1" applyFill="1" applyBorder="1" applyAlignment="1">
      <alignment horizontal="center" vertical="center" wrapText="1"/>
    </xf>
    <xf numFmtId="0" fontId="28" fillId="0" borderId="0" xfId="3" applyFont="1" applyFill="1" applyBorder="1" applyAlignment="1">
      <alignment horizontal="center" vertical="center"/>
    </xf>
    <xf numFmtId="0" fontId="1" fillId="0" borderId="0" xfId="3" applyFont="1" applyFill="1" applyBorder="1" applyAlignment="1">
      <alignment horizontal="centerContinuous" vertical="center" wrapText="1"/>
    </xf>
    <xf numFmtId="164" fontId="1" fillId="0" borderId="0" xfId="2" applyNumberFormat="1" applyFont="1" applyFill="1" applyBorder="1" applyAlignment="1">
      <alignment horizontal="centerContinuous" vertical="center"/>
    </xf>
    <xf numFmtId="0" fontId="18" fillId="0" borderId="0" xfId="3" applyFont="1" applyFill="1" applyBorder="1" applyAlignment="1">
      <alignment horizontal="center" vertical="center"/>
    </xf>
    <xf numFmtId="0" fontId="83" fillId="0" borderId="0" xfId="3" applyFont="1" applyFill="1" applyBorder="1" applyAlignment="1">
      <alignment horizontal="center" vertical="center"/>
    </xf>
    <xf numFmtId="0" fontId="18" fillId="0" borderId="0" xfId="3" applyFont="1" applyFill="1" applyBorder="1" applyAlignment="1">
      <alignment horizontal="centerContinuous" vertical="center" wrapText="1"/>
    </xf>
    <xf numFmtId="164" fontId="18" fillId="0" borderId="0" xfId="2" applyNumberFormat="1" applyFont="1" applyFill="1" applyBorder="1" applyAlignment="1">
      <alignment horizontal="centerContinuous" vertical="center"/>
    </xf>
    <xf numFmtId="0" fontId="18" fillId="0" borderId="0" xfId="3" applyFont="1" applyFill="1" applyBorder="1" applyAlignment="1">
      <alignment vertical="center"/>
    </xf>
    <xf numFmtId="0" fontId="83" fillId="0" borderId="0" xfId="3" applyNumberFormat="1" applyFont="1" applyFill="1" applyBorder="1" applyAlignment="1">
      <alignment horizontal="center" vertical="center"/>
    </xf>
    <xf numFmtId="0" fontId="82" fillId="0" borderId="3" xfId="3" applyNumberFormat="1" applyFont="1" applyFill="1" applyBorder="1" applyAlignment="1">
      <alignment horizontal="center" vertical="center"/>
    </xf>
    <xf numFmtId="0" fontId="1" fillId="0" borderId="3" xfId="3" applyNumberFormat="1" applyFont="1" applyFill="1" applyBorder="1" applyAlignment="1">
      <alignment vertical="center" wrapText="1"/>
    </xf>
    <xf numFmtId="0" fontId="2" fillId="0" borderId="0" xfId="3" applyFont="1" applyFill="1" applyBorder="1" applyAlignment="1">
      <alignment vertical="center"/>
    </xf>
    <xf numFmtId="0" fontId="87" fillId="0" borderId="0" xfId="3" applyFont="1" applyFill="1" applyBorder="1" applyAlignment="1">
      <alignment horizontal="center" vertical="center" wrapText="1"/>
    </xf>
    <xf numFmtId="0" fontId="87" fillId="0" borderId="0" xfId="3" applyFont="1" applyFill="1" applyBorder="1" applyAlignment="1">
      <alignment horizontal="centerContinuous" vertical="center" wrapText="1"/>
    </xf>
    <xf numFmtId="0" fontId="2" fillId="0" borderId="0" xfId="3" applyFont="1" applyFill="1" applyBorder="1" applyAlignment="1">
      <alignment horizontal="center" vertical="center"/>
    </xf>
    <xf numFmtId="0" fontId="2" fillId="0" borderId="0" xfId="3" applyFont="1" applyFill="1" applyBorder="1" applyAlignment="1">
      <alignment vertical="center" wrapText="1"/>
    </xf>
    <xf numFmtId="164" fontId="2" fillId="0" borderId="0" xfId="2" applyNumberFormat="1" applyFont="1" applyFill="1" applyBorder="1" applyAlignment="1">
      <alignment horizontal="right" vertical="center" wrapText="1"/>
    </xf>
    <xf numFmtId="0" fontId="1" fillId="0" borderId="0" xfId="3" applyFont="1" applyFill="1" applyBorder="1" applyAlignment="1">
      <alignment horizontal="center" vertical="center"/>
    </xf>
    <xf numFmtId="0" fontId="1" fillId="0" borderId="0" xfId="3" applyFont="1" applyFill="1" applyBorder="1" applyAlignment="1">
      <alignment vertical="center" wrapText="1"/>
    </xf>
    <xf numFmtId="164" fontId="2" fillId="0" borderId="0" xfId="2" applyNumberFormat="1" applyFont="1" applyFill="1" applyBorder="1" applyAlignment="1">
      <alignment vertical="center"/>
    </xf>
    <xf numFmtId="164" fontId="87" fillId="0" borderId="0" xfId="2" applyNumberFormat="1" applyFont="1" applyFill="1" applyBorder="1" applyAlignment="1">
      <alignment horizontal="centerContinuous" vertical="center"/>
    </xf>
    <xf numFmtId="0" fontId="2" fillId="0" borderId="0" xfId="3" applyFont="1" applyFill="1" applyBorder="1" applyAlignment="1">
      <alignment vertical="top" wrapText="1"/>
    </xf>
    <xf numFmtId="0" fontId="15" fillId="4" borderId="1" xfId="3" quotePrefix="1" applyFont="1" applyFill="1" applyBorder="1" applyAlignment="1">
      <alignment horizontal="center" vertical="center" wrapText="1"/>
    </xf>
    <xf numFmtId="0" fontId="15" fillId="4" borderId="1" xfId="3" applyFont="1" applyFill="1" applyBorder="1" applyAlignment="1">
      <alignment horizontal="center" vertical="center" wrapText="1"/>
    </xf>
    <xf numFmtId="164" fontId="15" fillId="4" borderId="1" xfId="2" applyNumberFormat="1" applyFont="1" applyFill="1" applyBorder="1" applyAlignment="1">
      <alignment horizontal="center" vertical="center" wrapText="1"/>
    </xf>
    <xf numFmtId="0" fontId="15" fillId="4" borderId="1" xfId="3" applyFont="1" applyFill="1" applyBorder="1" applyAlignment="1">
      <alignment horizontal="left" vertical="center" wrapText="1"/>
    </xf>
    <xf numFmtId="164" fontId="2" fillId="0" borderId="1" xfId="2" applyNumberFormat="1" applyFont="1" applyFill="1" applyBorder="1" applyAlignment="1">
      <alignment vertical="center"/>
    </xf>
    <xf numFmtId="0" fontId="1" fillId="0" borderId="1" xfId="3" applyFont="1" applyFill="1" applyBorder="1" applyAlignment="1">
      <alignment horizontal="left" vertical="center" wrapText="1"/>
    </xf>
    <xf numFmtId="0" fontId="1" fillId="0" borderId="1" xfId="3" applyFont="1" applyFill="1" applyBorder="1" applyAlignment="1">
      <alignment vertical="center" wrapText="1"/>
    </xf>
    <xf numFmtId="0" fontId="2" fillId="4" borderId="1" xfId="3" applyFont="1" applyFill="1" applyBorder="1" applyAlignment="1">
      <alignment vertical="center"/>
    </xf>
    <xf numFmtId="164" fontId="98" fillId="4" borderId="1" xfId="2" applyNumberFormat="1" applyFont="1" applyFill="1" applyBorder="1" applyAlignment="1">
      <alignment vertical="center"/>
    </xf>
    <xf numFmtId="164" fontId="1" fillId="0" borderId="0" xfId="4" applyNumberFormat="1" applyFont="1" applyFill="1" applyBorder="1" applyAlignment="1">
      <alignment vertical="center" wrapText="1"/>
    </xf>
    <xf numFmtId="0" fontId="2" fillId="4" borderId="1" xfId="3" applyFont="1" applyFill="1" applyBorder="1" applyAlignment="1">
      <alignment horizontal="center" vertical="center"/>
    </xf>
    <xf numFmtId="164" fontId="2" fillId="4" borderId="1" xfId="4" applyNumberFormat="1" applyFont="1" applyFill="1" applyBorder="1" applyAlignment="1">
      <alignment vertical="center" wrapText="1"/>
    </xf>
    <xf numFmtId="164" fontId="1" fillId="4" borderId="1" xfId="4" applyNumberFormat="1" applyFont="1" applyFill="1" applyBorder="1" applyAlignment="1">
      <alignment vertical="center" wrapText="1"/>
    </xf>
    <xf numFmtId="0" fontId="78" fillId="0" borderId="4" xfId="3" applyFont="1" applyFill="1" applyBorder="1" applyAlignment="1">
      <alignment horizontal="center" vertical="center" wrapText="1"/>
    </xf>
    <xf numFmtId="0" fontId="78" fillId="0" borderId="4" xfId="3" applyFont="1" applyFill="1" applyBorder="1" applyAlignment="1">
      <alignment vertical="center" wrapText="1"/>
    </xf>
    <xf numFmtId="0" fontId="78" fillId="0" borderId="3" xfId="3" applyFont="1" applyFill="1" applyBorder="1" applyAlignment="1">
      <alignment horizontal="center" vertical="center" wrapText="1"/>
    </xf>
    <xf numFmtId="0" fontId="78" fillId="0" borderId="3" xfId="3" applyFont="1" applyFill="1" applyBorder="1" applyAlignment="1">
      <alignment vertical="center" wrapText="1"/>
    </xf>
    <xf numFmtId="164" fontId="79" fillId="0" borderId="3" xfId="3" applyNumberFormat="1" applyFont="1" applyFill="1" applyBorder="1" applyAlignment="1">
      <alignment horizontal="right" vertical="center"/>
    </xf>
    <xf numFmtId="0" fontId="78" fillId="0" borderId="0" xfId="3" applyFont="1" applyFill="1" applyBorder="1" applyAlignment="1">
      <alignment horizontal="center" vertical="center" wrapText="1"/>
    </xf>
    <xf numFmtId="0" fontId="78" fillId="0" borderId="0" xfId="3" applyFont="1" applyFill="1" applyBorder="1" applyAlignment="1">
      <alignment vertical="center" wrapText="1"/>
    </xf>
    <xf numFmtId="164" fontId="79" fillId="0" borderId="0" xfId="3" applyNumberFormat="1" applyFont="1" applyFill="1" applyBorder="1" applyAlignment="1">
      <alignment horizontal="right" vertical="center"/>
    </xf>
    <xf numFmtId="43" fontId="2" fillId="4" borderId="1" xfId="4" applyFont="1" applyFill="1" applyBorder="1" applyAlignment="1">
      <alignment vertical="center"/>
    </xf>
    <xf numFmtId="0" fontId="2" fillId="4" borderId="1" xfId="2" applyNumberFormat="1" applyFont="1" applyFill="1" applyBorder="1" applyAlignment="1">
      <alignment vertical="center"/>
    </xf>
    <xf numFmtId="0" fontId="87" fillId="0" borderId="0" xfId="3" applyFont="1" applyFill="1" applyBorder="1" applyAlignment="1">
      <alignment vertical="center" wrapText="1"/>
    </xf>
    <xf numFmtId="0" fontId="2" fillId="0" borderId="0" xfId="3" applyFont="1" applyFill="1" applyBorder="1" applyAlignment="1">
      <alignment horizontal="center" vertical="center" wrapText="1"/>
    </xf>
    <xf numFmtId="0" fontId="2" fillId="0" borderId="0" xfId="3" applyFont="1" applyFill="1" applyBorder="1" applyAlignment="1">
      <alignment horizontal="left" vertical="center"/>
    </xf>
    <xf numFmtId="0" fontId="1" fillId="0" borderId="0" xfId="3" applyFont="1" applyFill="1" applyBorder="1" applyAlignment="1">
      <alignment horizontal="centerContinuous" vertical="center"/>
    </xf>
    <xf numFmtId="0" fontId="99" fillId="0" borderId="0" xfId="3" applyFont="1" applyFill="1" applyBorder="1" applyAlignment="1">
      <alignment horizontal="centerContinuous" vertical="center"/>
    </xf>
    <xf numFmtId="0" fontId="87" fillId="0" borderId="0" xfId="3" applyFont="1" applyFill="1" applyBorder="1" applyAlignment="1">
      <alignment horizontal="centerContinuous" vertical="center"/>
    </xf>
    <xf numFmtId="0" fontId="2" fillId="0" borderId="0" xfId="3" applyFont="1" applyFill="1" applyBorder="1" applyAlignment="1">
      <alignment horizontal="centerContinuous" vertical="center"/>
    </xf>
    <xf numFmtId="0" fontId="2" fillId="0" borderId="0" xfId="3" applyFont="1" applyFill="1" applyBorder="1" applyAlignment="1">
      <alignment horizontal="centerContinuous" vertical="center" wrapText="1"/>
    </xf>
    <xf numFmtId="0" fontId="99" fillId="2" borderId="0" xfId="1" applyFont="1" applyFill="1" applyAlignment="1">
      <alignment horizontal="centerContinuous" vertical="center"/>
    </xf>
    <xf numFmtId="0" fontId="6" fillId="2" borderId="0" xfId="1" applyNumberFormat="1" applyFont="1" applyFill="1" applyAlignment="1">
      <alignment horizontal="centerContinuous" vertical="center"/>
    </xf>
    <xf numFmtId="0" fontId="1" fillId="2" borderId="0" xfId="1" applyFont="1" applyFill="1" applyAlignment="1">
      <alignment horizontal="centerContinuous" vertical="center" wrapText="1"/>
    </xf>
    <xf numFmtId="164" fontId="1" fillId="0" borderId="0" xfId="4" applyNumberFormat="1" applyFont="1" applyFill="1" applyBorder="1" applyAlignment="1">
      <alignment vertical="center"/>
    </xf>
    <xf numFmtId="0" fontId="18" fillId="2" borderId="0" xfId="1" applyFont="1" applyFill="1" applyAlignment="1">
      <alignment horizontal="center" vertical="center" wrapText="1"/>
    </xf>
    <xf numFmtId="0" fontId="81" fillId="5" borderId="9" xfId="2" applyNumberFormat="1" applyFont="1" applyFill="1" applyBorder="1" applyAlignment="1">
      <alignment horizontal="center" vertical="center"/>
    </xf>
    <xf numFmtId="0" fontId="81" fillId="5" borderId="2" xfId="2" applyNumberFormat="1" applyFont="1" applyFill="1" applyBorder="1" applyAlignment="1">
      <alignment horizontal="center" vertical="center"/>
    </xf>
    <xf numFmtId="0" fontId="81" fillId="5" borderId="2" xfId="2" applyNumberFormat="1" applyFont="1" applyFill="1" applyBorder="1" applyAlignment="1">
      <alignment horizontal="center" vertical="center" wrapText="1"/>
    </xf>
    <xf numFmtId="0" fontId="81" fillId="5" borderId="8" xfId="2" applyNumberFormat="1" applyFont="1" applyFill="1" applyBorder="1" applyAlignment="1">
      <alignment horizontal="center" vertical="center"/>
    </xf>
    <xf numFmtId="0" fontId="1" fillId="2" borderId="0" xfId="1" applyFont="1" applyFill="1" applyAlignment="1">
      <alignment horizontal="center" vertical="center" wrapText="1"/>
    </xf>
    <xf numFmtId="0" fontId="0" fillId="0" borderId="1" xfId="0" quotePrefix="1" applyBorder="1" applyAlignment="1">
      <alignment horizontal="center"/>
    </xf>
    <xf numFmtId="164" fontId="13" fillId="2" borderId="4" xfId="2" applyNumberFormat="1" applyFont="1" applyFill="1" applyBorder="1" applyAlignment="1">
      <alignment horizontal="center" vertical="center" wrapText="1"/>
    </xf>
    <xf numFmtId="164" fontId="13" fillId="2" borderId="3" xfId="2" applyNumberFormat="1" applyFont="1" applyFill="1" applyBorder="1" applyAlignment="1">
      <alignment horizontal="center" vertical="center" wrapText="1"/>
    </xf>
    <xf numFmtId="0" fontId="0" fillId="0" borderId="0" xfId="0" quotePrefix="1" applyAlignment="1">
      <alignment horizontal="center"/>
    </xf>
    <xf numFmtId="164" fontId="1" fillId="2" borderId="1" xfId="2" applyNumberFormat="1" applyFont="1" applyFill="1" applyBorder="1" applyAlignment="1">
      <alignment horizontal="center" vertical="center" wrapText="1"/>
    </xf>
    <xf numFmtId="164" fontId="2" fillId="4" borderId="1" xfId="2" applyNumberFormat="1" applyFont="1" applyFill="1" applyBorder="1" applyAlignment="1">
      <alignment horizontal="center" vertical="center" wrapText="1"/>
    </xf>
    <xf numFmtId="164" fontId="9" fillId="2" borderId="1" xfId="2" applyNumberFormat="1" applyFont="1" applyFill="1" applyBorder="1" applyAlignment="1">
      <alignment horizontal="center" vertical="center" wrapText="1"/>
    </xf>
    <xf numFmtId="0" fontId="1" fillId="2" borderId="1" xfId="2" applyNumberFormat="1" applyFont="1" applyFill="1" applyBorder="1" applyAlignment="1">
      <alignment horizontal="center" vertical="center" wrapText="1"/>
    </xf>
    <xf numFmtId="0" fontId="3" fillId="2" borderId="0" xfId="1" applyFont="1" applyFill="1" applyAlignment="1">
      <alignment horizontal="center" vertical="center" wrapText="1"/>
    </xf>
    <xf numFmtId="0" fontId="15" fillId="4" borderId="6" xfId="1" applyNumberFormat="1" applyFont="1" applyFill="1" applyBorder="1" applyAlignment="1">
      <alignment horizontal="left" vertical="center" wrapText="1"/>
    </xf>
    <xf numFmtId="0" fontId="15" fillId="4" borderId="5" xfId="1" applyNumberFormat="1" applyFont="1" applyFill="1" applyBorder="1" applyAlignment="1">
      <alignment horizontal="left" vertical="center"/>
    </xf>
    <xf numFmtId="0" fontId="2" fillId="4" borderId="1" xfId="2" applyNumberFormat="1" applyFont="1" applyFill="1" applyBorder="1" applyAlignment="1">
      <alignment horizontal="center" vertical="center" wrapText="1"/>
    </xf>
    <xf numFmtId="0" fontId="2" fillId="4" borderId="1" xfId="1" applyFont="1" applyFill="1" applyBorder="1" applyAlignment="1">
      <alignment horizontal="center" vertical="center"/>
    </xf>
    <xf numFmtId="0" fontId="1" fillId="4" borderId="1" xfId="1" applyNumberFormat="1" applyFont="1" applyFill="1" applyBorder="1" applyAlignment="1">
      <alignment horizontal="left" vertical="center"/>
    </xf>
    <xf numFmtId="49" fontId="2" fillId="4" borderId="1" xfId="1" applyNumberFormat="1" applyFont="1" applyFill="1" applyBorder="1" applyAlignment="1">
      <alignment vertical="center" wrapText="1"/>
    </xf>
    <xf numFmtId="164" fontId="2" fillId="4" borderId="1" xfId="4" applyNumberFormat="1" applyFont="1" applyFill="1" applyBorder="1" applyAlignment="1">
      <alignment horizontal="center" vertical="center"/>
    </xf>
    <xf numFmtId="9" fontId="2" fillId="4" borderId="1" xfId="5" applyFont="1" applyFill="1" applyBorder="1" applyAlignment="1">
      <alignment horizontal="right" vertical="center"/>
    </xf>
    <xf numFmtId="43" fontId="2" fillId="4" borderId="1" xfId="2" applyNumberFormat="1" applyFont="1" applyFill="1" applyBorder="1" applyAlignment="1">
      <alignment horizontal="center" vertical="center"/>
    </xf>
    <xf numFmtId="164" fontId="13" fillId="2" borderId="2" xfId="4" applyNumberFormat="1" applyFont="1" applyFill="1" applyBorder="1" applyAlignment="1">
      <alignment vertical="center" wrapText="1"/>
    </xf>
    <xf numFmtId="164" fontId="1" fillId="2" borderId="2" xfId="2" applyNumberFormat="1" applyFont="1" applyFill="1" applyBorder="1" applyAlignment="1">
      <alignment horizontal="center" vertical="center" wrapText="1"/>
    </xf>
    <xf numFmtId="164" fontId="1" fillId="2" borderId="2" xfId="4" applyNumberFormat="1" applyFont="1" applyFill="1" applyBorder="1" applyAlignment="1">
      <alignment horizontal="center" vertical="center" wrapText="1"/>
    </xf>
    <xf numFmtId="9" fontId="13" fillId="2" borderId="2" xfId="5" applyFont="1" applyFill="1" applyBorder="1" applyAlignment="1">
      <alignment horizontal="right" vertical="center" wrapText="1"/>
    </xf>
    <xf numFmtId="0" fontId="2" fillId="4" borderId="2" xfId="1" applyFont="1" applyFill="1" applyBorder="1" applyAlignment="1">
      <alignment horizontal="center" vertical="center"/>
    </xf>
    <xf numFmtId="0" fontId="2" fillId="4" borderId="2" xfId="1" applyNumberFormat="1" applyFont="1" applyFill="1" applyBorder="1" applyAlignment="1">
      <alignment horizontal="left" vertical="center"/>
    </xf>
    <xf numFmtId="0" fontId="2" fillId="4" borderId="2" xfId="1" applyFont="1" applyFill="1" applyBorder="1" applyAlignment="1">
      <alignment vertical="center" wrapText="1"/>
    </xf>
    <xf numFmtId="0" fontId="2" fillId="4" borderId="3" xfId="1" applyFont="1" applyFill="1" applyBorder="1" applyAlignment="1">
      <alignment horizontal="center" vertical="center"/>
    </xf>
    <xf numFmtId="0" fontId="2" fillId="4" borderId="3" xfId="1" applyNumberFormat="1" applyFont="1" applyFill="1" applyBorder="1" applyAlignment="1">
      <alignment horizontal="left" vertical="center"/>
    </xf>
    <xf numFmtId="0" fontId="2" fillId="4" borderId="3" xfId="1" applyFont="1" applyFill="1" applyBorder="1" applyAlignment="1">
      <alignment vertical="center" wrapText="1"/>
    </xf>
    <xf numFmtId="0" fontId="2" fillId="4" borderId="1" xfId="1" applyNumberFormat="1" applyFont="1" applyFill="1" applyBorder="1" applyAlignment="1">
      <alignment horizontal="left" vertical="center"/>
    </xf>
    <xf numFmtId="164" fontId="2" fillId="4" borderId="1" xfId="4" applyNumberFormat="1" applyFont="1" applyFill="1" applyBorder="1" applyAlignment="1">
      <alignment horizontal="center" vertical="center" wrapText="1"/>
    </xf>
    <xf numFmtId="164" fontId="6" fillId="2" borderId="1" xfId="4" applyNumberFormat="1" applyFont="1" applyFill="1" applyBorder="1" applyAlignment="1">
      <alignment vertical="center" wrapText="1"/>
    </xf>
    <xf numFmtId="164" fontId="6" fillId="2" borderId="1" xfId="5" applyNumberFormat="1" applyFont="1" applyFill="1" applyBorder="1" applyAlignment="1">
      <alignment horizontal="right" vertical="center"/>
    </xf>
    <xf numFmtId="9" fontId="6" fillId="2" borderId="1" xfId="5" applyFont="1" applyFill="1" applyBorder="1" applyAlignment="1">
      <alignment horizontal="right" vertical="center"/>
    </xf>
    <xf numFmtId="49" fontId="2" fillId="4" borderId="1" xfId="3" applyNumberFormat="1" applyFont="1" applyFill="1" applyBorder="1" applyAlignment="1">
      <alignment vertical="center" wrapText="1"/>
    </xf>
    <xf numFmtId="49" fontId="2" fillId="4" borderId="1" xfId="2" applyNumberFormat="1" applyFont="1" applyFill="1" applyBorder="1" applyAlignment="1">
      <alignment vertical="center" wrapText="1"/>
    </xf>
    <xf numFmtId="0" fontId="1" fillId="2" borderId="0" xfId="1" applyNumberFormat="1" applyFont="1" applyFill="1" applyAlignment="1">
      <alignment horizontal="centerContinuous" vertical="center"/>
    </xf>
    <xf numFmtId="0" fontId="15" fillId="2" borderId="0" xfId="2" applyNumberFormat="1" applyFont="1" applyFill="1" applyBorder="1" applyAlignment="1">
      <alignment horizontal="center" vertical="center"/>
    </xf>
    <xf numFmtId="0" fontId="100" fillId="2" borderId="0" xfId="2" applyNumberFormat="1" applyFont="1" applyFill="1" applyBorder="1" applyAlignment="1">
      <alignment horizontal="center" vertical="center"/>
    </xf>
    <xf numFmtId="0" fontId="87" fillId="2" borderId="0" xfId="1" applyNumberFormat="1" applyFont="1" applyFill="1" applyAlignment="1">
      <alignment horizontal="center" vertical="center"/>
    </xf>
    <xf numFmtId="0" fontId="1" fillId="2" borderId="0" xfId="2" applyNumberFormat="1" applyFont="1" applyFill="1" applyBorder="1" applyAlignment="1">
      <alignment vertical="center" wrapText="1"/>
    </xf>
    <xf numFmtId="0" fontId="1" fillId="2" borderId="0" xfId="4" applyNumberFormat="1" applyFont="1" applyFill="1" applyBorder="1" applyAlignment="1">
      <alignment vertical="center" wrapText="1"/>
    </xf>
    <xf numFmtId="0" fontId="13" fillId="2" borderId="0" xfId="2" applyNumberFormat="1" applyFont="1" applyFill="1" applyBorder="1" applyAlignment="1">
      <alignment vertical="center"/>
    </xf>
    <xf numFmtId="0" fontId="1" fillId="2" borderId="0" xfId="2" applyNumberFormat="1" applyFont="1" applyFill="1" applyBorder="1" applyAlignment="1">
      <alignment horizontal="right" vertical="center"/>
    </xf>
    <xf numFmtId="0" fontId="13" fillId="2" borderId="0" xfId="2" applyNumberFormat="1" applyFont="1" applyFill="1" applyAlignment="1">
      <alignment vertical="center"/>
    </xf>
    <xf numFmtId="0" fontId="2" fillId="2" borderId="0" xfId="2" applyNumberFormat="1" applyFont="1" applyFill="1" applyAlignment="1">
      <alignment vertical="center"/>
    </xf>
    <xf numFmtId="0" fontId="1" fillId="2" borderId="0" xfId="1" applyNumberFormat="1" applyFont="1" applyFill="1" applyAlignment="1">
      <alignment horizontal="center" vertical="center" wrapText="1"/>
    </xf>
    <xf numFmtId="0" fontId="1" fillId="2" borderId="0" xfId="2" applyNumberFormat="1" applyFont="1" applyFill="1" applyBorder="1" applyAlignment="1">
      <alignment horizontal="centerContinuous" vertical="center" wrapText="1"/>
    </xf>
    <xf numFmtId="0" fontId="1" fillId="2" borderId="0" xfId="4" applyNumberFormat="1" applyFont="1" applyFill="1" applyBorder="1" applyAlignment="1">
      <alignment horizontal="centerContinuous" vertical="center" wrapText="1"/>
    </xf>
    <xf numFmtId="0" fontId="13" fillId="2" borderId="0" xfId="2" applyNumberFormat="1" applyFont="1" applyFill="1" applyBorder="1" applyAlignment="1">
      <alignment horizontal="centerContinuous" vertical="center"/>
    </xf>
    <xf numFmtId="0" fontId="1" fillId="2" borderId="0" xfId="2" applyNumberFormat="1" applyFont="1" applyFill="1" applyBorder="1" applyAlignment="1">
      <alignment horizontal="centerContinuous" vertical="center"/>
    </xf>
    <xf numFmtId="0" fontId="13" fillId="2" borderId="0" xfId="2" applyNumberFormat="1" applyFont="1" applyFill="1" applyAlignment="1">
      <alignment horizontal="centerContinuous" vertical="center"/>
    </xf>
    <xf numFmtId="0" fontId="2" fillId="2" borderId="0" xfId="2" applyNumberFormat="1" applyFont="1" applyFill="1" applyAlignment="1">
      <alignment horizontal="centerContinuous" vertical="center"/>
    </xf>
    <xf numFmtId="0" fontId="1" fillId="2" borderId="0" xfId="1" applyNumberFormat="1" applyFont="1" applyFill="1" applyAlignment="1">
      <alignment horizontal="centerContinuous" vertical="center" wrapText="1"/>
    </xf>
    <xf numFmtId="0" fontId="2" fillId="2" borderId="0" xfId="1" applyNumberFormat="1" applyFont="1" applyFill="1" applyAlignment="1">
      <alignment horizontal="center" vertical="center"/>
    </xf>
    <xf numFmtId="0" fontId="87" fillId="2" borderId="0" xfId="2" applyNumberFormat="1" applyFont="1" applyFill="1" applyBorder="1" applyAlignment="1">
      <alignment horizontal="center" vertical="center" wrapText="1"/>
    </xf>
    <xf numFmtId="0" fontId="15" fillId="2" borderId="0" xfId="2" applyNumberFormat="1" applyFont="1" applyFill="1" applyAlignment="1">
      <alignment horizontal="center" vertical="center"/>
    </xf>
    <xf numFmtId="0" fontId="2" fillId="2" borderId="0" xfId="2" applyNumberFormat="1" applyFont="1" applyFill="1" applyBorder="1" applyAlignment="1">
      <alignment horizontal="center" vertical="center" wrapText="1"/>
    </xf>
    <xf numFmtId="0" fontId="2" fillId="2" borderId="0" xfId="4" applyNumberFormat="1" applyFont="1" applyFill="1" applyBorder="1" applyAlignment="1">
      <alignment horizontal="center" vertical="center"/>
    </xf>
    <xf numFmtId="0" fontId="2" fillId="2" borderId="0" xfId="2" applyNumberFormat="1" applyFont="1" applyFill="1" applyAlignment="1">
      <alignment horizontal="center" vertical="center"/>
    </xf>
    <xf numFmtId="0" fontId="2" fillId="2" borderId="0" xfId="4" applyNumberFormat="1" applyFont="1" applyFill="1" applyBorder="1" applyAlignment="1">
      <alignment horizontal="center" vertical="center" wrapText="1"/>
    </xf>
    <xf numFmtId="0" fontId="2" fillId="2" borderId="0" xfId="2" applyNumberFormat="1" applyFont="1" applyFill="1" applyBorder="1" applyAlignment="1">
      <alignment vertical="center" wrapText="1"/>
    </xf>
    <xf numFmtId="0" fontId="2" fillId="2" borderId="0" xfId="4" applyNumberFormat="1" applyFont="1" applyFill="1" applyBorder="1" applyAlignment="1">
      <alignment vertical="center" wrapText="1"/>
    </xf>
    <xf numFmtId="0" fontId="2" fillId="2" borderId="0" xfId="2" applyNumberFormat="1" applyFont="1" applyFill="1" applyBorder="1" applyAlignment="1">
      <alignment horizontal="right" vertical="center"/>
    </xf>
    <xf numFmtId="0" fontId="3" fillId="2" borderId="0" xfId="1" applyNumberFormat="1" applyFont="1" applyFill="1" applyAlignment="1">
      <alignment horizontal="right" vertical="center" wrapText="1"/>
    </xf>
    <xf numFmtId="0" fontId="3" fillId="2" borderId="0" xfId="1" applyNumberFormat="1" applyFont="1" applyFill="1" applyAlignment="1">
      <alignment horizontal="center" vertical="center" wrapText="1"/>
    </xf>
    <xf numFmtId="0" fontId="1" fillId="2" borderId="0" xfId="2" applyNumberFormat="1" applyFont="1" applyFill="1" applyBorder="1" applyAlignment="1">
      <alignment horizontal="right" vertical="center" wrapText="1"/>
    </xf>
    <xf numFmtId="0" fontId="1" fillId="2" borderId="0" xfId="1" applyNumberFormat="1" applyFont="1" applyFill="1" applyBorder="1" applyAlignment="1">
      <alignment vertical="center" wrapText="1"/>
    </xf>
    <xf numFmtId="0" fontId="100" fillId="2" borderId="0" xfId="2" applyNumberFormat="1" applyFont="1" applyFill="1" applyAlignment="1">
      <alignment horizontal="center" vertical="center"/>
    </xf>
    <xf numFmtId="0" fontId="87" fillId="2" borderId="0" xfId="2" applyNumberFormat="1" applyFont="1" applyFill="1" applyAlignment="1">
      <alignment horizontal="center" vertical="center"/>
    </xf>
    <xf numFmtId="0" fontId="87" fillId="2" borderId="0" xfId="4" applyNumberFormat="1" applyFont="1" applyFill="1" applyBorder="1" applyAlignment="1">
      <alignment horizontal="center" vertical="center"/>
    </xf>
    <xf numFmtId="0" fontId="39" fillId="0" borderId="0" xfId="3" applyFont="1" applyFill="1" applyBorder="1" applyAlignment="1">
      <alignment horizontal="centerContinuous" vertical="center"/>
    </xf>
    <xf numFmtId="0" fontId="39" fillId="0" borderId="0" xfId="3" applyFont="1" applyFill="1" applyBorder="1" applyAlignment="1">
      <alignment horizontal="centerContinuous" vertical="center" wrapText="1"/>
    </xf>
    <xf numFmtId="0" fontId="39" fillId="2" borderId="0" xfId="1" applyNumberFormat="1" applyFont="1" applyFill="1" applyAlignment="1">
      <alignment horizontal="centerContinuous" vertical="center"/>
    </xf>
    <xf numFmtId="0" fontId="36" fillId="2" borderId="0" xfId="1" applyNumberFormat="1" applyFont="1" applyFill="1" applyAlignment="1">
      <alignment horizontal="center" vertical="center"/>
    </xf>
    <xf numFmtId="0" fontId="101" fillId="2" borderId="0" xfId="2" applyNumberFormat="1" applyFont="1" applyFill="1" applyBorder="1" applyAlignment="1">
      <alignment horizontal="center" vertical="center"/>
    </xf>
    <xf numFmtId="0" fontId="99" fillId="2" borderId="0" xfId="0" applyFont="1" applyFill="1" applyAlignment="1">
      <alignment horizontal="centerContinuous"/>
    </xf>
    <xf numFmtId="0" fontId="6" fillId="2" borderId="0" xfId="0" applyFont="1" applyFill="1" applyAlignment="1">
      <alignment horizontal="centerContinuous"/>
    </xf>
    <xf numFmtId="0" fontId="15" fillId="2" borderId="0" xfId="0" applyFont="1" applyFill="1" applyAlignment="1">
      <alignment horizontal="centerContinuous"/>
    </xf>
    <xf numFmtId="0" fontId="13" fillId="2" borderId="0" xfId="0" applyFont="1" applyFill="1" applyAlignment="1">
      <alignment horizontal="centerContinuous"/>
    </xf>
    <xf numFmtId="164" fontId="13" fillId="2" borderId="0" xfId="4" applyNumberFormat="1" applyFont="1" applyFill="1" applyAlignment="1">
      <alignment horizontal="centerContinuous"/>
    </xf>
    <xf numFmtId="0" fontId="14" fillId="2" borderId="17" xfId="0" applyFont="1" applyFill="1" applyBorder="1" applyAlignment="1">
      <alignment horizontal="center" vertical="center"/>
    </xf>
    <xf numFmtId="0" fontId="15" fillId="2" borderId="17" xfId="0" applyFont="1" applyFill="1" applyBorder="1" applyAlignment="1">
      <alignment horizontal="left" vertical="center" wrapText="1"/>
    </xf>
    <xf numFmtId="164" fontId="13" fillId="2" borderId="17" xfId="4" applyNumberFormat="1" applyFont="1" applyFill="1" applyBorder="1" applyAlignment="1">
      <alignment horizontal="center" vertical="center"/>
    </xf>
    <xf numFmtId="164" fontId="15" fillId="2" borderId="17" xfId="4" applyNumberFormat="1" applyFont="1" applyFill="1" applyBorder="1" applyAlignment="1">
      <alignment horizontal="center" vertical="center"/>
    </xf>
    <xf numFmtId="164" fontId="15" fillId="17" borderId="17" xfId="4" applyNumberFormat="1" applyFont="1" applyFill="1" applyBorder="1" applyAlignment="1">
      <alignment horizontal="center" vertical="center"/>
    </xf>
    <xf numFmtId="164" fontId="15" fillId="10" borderId="17" xfId="4" applyNumberFormat="1" applyFont="1" applyFill="1" applyBorder="1" applyAlignment="1">
      <alignment horizontal="center" vertical="center"/>
    </xf>
    <xf numFmtId="0" fontId="14" fillId="2" borderId="20" xfId="0" applyFont="1" applyFill="1" applyBorder="1" applyAlignment="1">
      <alignment horizontal="center" vertical="center"/>
    </xf>
    <xf numFmtId="0" fontId="13" fillId="2" borderId="20" xfId="0" applyFont="1" applyFill="1" applyBorder="1" applyAlignment="1">
      <alignment horizontal="left" vertical="center" wrapText="1"/>
    </xf>
    <xf numFmtId="164" fontId="13" fillId="2" borderId="20" xfId="4" applyNumberFormat="1" applyFont="1" applyFill="1" applyBorder="1" applyAlignment="1">
      <alignment horizontal="center" vertical="center"/>
    </xf>
    <xf numFmtId="164" fontId="15" fillId="2" borderId="20" xfId="4" applyNumberFormat="1" applyFont="1" applyFill="1" applyBorder="1" applyAlignment="1">
      <alignment horizontal="center" vertical="center"/>
    </xf>
    <xf numFmtId="164" fontId="15" fillId="17" borderId="20" xfId="4" applyNumberFormat="1" applyFont="1" applyFill="1" applyBorder="1" applyAlignment="1">
      <alignment horizontal="center" vertical="center"/>
    </xf>
    <xf numFmtId="164" fontId="15" fillId="10" borderId="20" xfId="4" applyNumberFormat="1" applyFont="1" applyFill="1" applyBorder="1" applyAlignment="1">
      <alignment horizontal="center" vertical="center"/>
    </xf>
    <xf numFmtId="164" fontId="15" fillId="10" borderId="15" xfId="4" applyNumberFormat="1" applyFont="1" applyFill="1" applyBorder="1" applyAlignment="1">
      <alignment horizontal="center" vertical="center"/>
    </xf>
    <xf numFmtId="164" fontId="102" fillId="2" borderId="0" xfId="4" applyNumberFormat="1" applyFont="1" applyFill="1" applyAlignment="1">
      <alignment horizontal="centerContinuous"/>
    </xf>
    <xf numFmtId="164" fontId="102" fillId="2" borderId="0" xfId="4" applyNumberFormat="1" applyFont="1" applyFill="1"/>
    <xf numFmtId="164" fontId="103" fillId="4" borderId="1" xfId="4" applyNumberFormat="1" applyFont="1" applyFill="1" applyBorder="1" applyAlignment="1">
      <alignment horizontal="center" vertical="center" wrapText="1"/>
    </xf>
    <xf numFmtId="164" fontId="103" fillId="4" borderId="1" xfId="4" quotePrefix="1" applyNumberFormat="1" applyFont="1" applyFill="1" applyBorder="1" applyAlignment="1">
      <alignment horizontal="center" vertical="center" wrapText="1"/>
    </xf>
    <xf numFmtId="164" fontId="102" fillId="10" borderId="17" xfId="4" applyNumberFormat="1" applyFont="1" applyFill="1" applyBorder="1" applyAlignment="1">
      <alignment horizontal="center" vertical="center"/>
    </xf>
    <xf numFmtId="164" fontId="102" fillId="10" borderId="20" xfId="4" applyNumberFormat="1" applyFont="1" applyFill="1" applyBorder="1" applyAlignment="1">
      <alignment horizontal="center" vertical="center"/>
    </xf>
    <xf numFmtId="164" fontId="102" fillId="10" borderId="15" xfId="4" applyNumberFormat="1" applyFont="1" applyFill="1" applyBorder="1" applyAlignment="1">
      <alignment horizontal="center" vertical="center"/>
    </xf>
    <xf numFmtId="164" fontId="102" fillId="4" borderId="15" xfId="4" applyNumberFormat="1" applyFont="1" applyFill="1" applyBorder="1" applyAlignment="1">
      <alignment horizontal="center" vertical="center"/>
    </xf>
    <xf numFmtId="164" fontId="102" fillId="8" borderId="17" xfId="4" applyNumberFormat="1" applyFont="1" applyFill="1" applyBorder="1" applyAlignment="1">
      <alignment horizontal="center" vertical="center"/>
    </xf>
    <xf numFmtId="164" fontId="102" fillId="8" borderId="20" xfId="4" applyNumberFormat="1" applyFont="1" applyFill="1" applyBorder="1" applyAlignment="1">
      <alignment horizontal="center" vertical="center"/>
    </xf>
    <xf numFmtId="164" fontId="102" fillId="8" borderId="15" xfId="4" applyNumberFormat="1" applyFont="1" applyFill="1" applyBorder="1" applyAlignment="1">
      <alignment horizontal="center" vertical="center"/>
    </xf>
    <xf numFmtId="164" fontId="102" fillId="21" borderId="17" xfId="4" applyNumberFormat="1" applyFont="1" applyFill="1" applyBorder="1" applyAlignment="1">
      <alignment horizontal="center" vertical="center"/>
    </xf>
    <xf numFmtId="164" fontId="102" fillId="21" borderId="20" xfId="4" applyNumberFormat="1" applyFont="1" applyFill="1" applyBorder="1" applyAlignment="1">
      <alignment horizontal="center" vertical="center"/>
    </xf>
    <xf numFmtId="164" fontId="102" fillId="21" borderId="15" xfId="4" applyNumberFormat="1" applyFont="1" applyFill="1" applyBorder="1" applyAlignment="1">
      <alignment horizontal="center" vertical="center"/>
    </xf>
    <xf numFmtId="164" fontId="16" fillId="2" borderId="0" xfId="4" applyNumberFormat="1" applyFont="1" applyFill="1" applyAlignment="1">
      <alignment horizontal="left" wrapText="1"/>
    </xf>
    <xf numFmtId="164" fontId="20" fillId="4" borderId="1" xfId="4" quotePrefix="1" applyNumberFormat="1" applyFont="1" applyFill="1" applyBorder="1" applyAlignment="1">
      <alignment horizontal="center" vertical="center" wrapText="1"/>
    </xf>
    <xf numFmtId="164" fontId="16" fillId="4" borderId="15" xfId="4" applyNumberFormat="1" applyFont="1" applyFill="1" applyBorder="1" applyAlignment="1">
      <alignment horizontal="left" vertical="center" wrapText="1"/>
    </xf>
    <xf numFmtId="164" fontId="16" fillId="2" borderId="17" xfId="4" applyNumberFormat="1" applyFont="1" applyFill="1" applyBorder="1" applyAlignment="1">
      <alignment horizontal="left" vertical="center" wrapText="1"/>
    </xf>
    <xf numFmtId="164" fontId="16" fillId="2" borderId="20" xfId="4" applyNumberFormat="1" applyFont="1" applyFill="1" applyBorder="1" applyAlignment="1">
      <alignment horizontal="left" vertical="center" wrapText="1"/>
    </xf>
    <xf numFmtId="164" fontId="16" fillId="2" borderId="15" xfId="4" applyNumberFormat="1" applyFont="1" applyFill="1" applyBorder="1" applyAlignment="1">
      <alignment horizontal="left" vertical="center" wrapText="1"/>
    </xf>
    <xf numFmtId="164" fontId="16" fillId="2" borderId="0" xfId="4" applyNumberFormat="1" applyFont="1" applyFill="1" applyAlignment="1">
      <alignment horizontal="centerContinuous" wrapText="1"/>
    </xf>
    <xf numFmtId="0" fontId="14" fillId="18" borderId="1" xfId="0" applyFont="1" applyFill="1" applyBorder="1" applyAlignment="1">
      <alignment horizontal="center" vertical="center"/>
    </xf>
    <xf numFmtId="0" fontId="15" fillId="18" borderId="1" xfId="0" applyFont="1" applyFill="1" applyBorder="1" applyAlignment="1">
      <alignment horizontal="left" vertical="center" wrapText="1"/>
    </xf>
    <xf numFmtId="164" fontId="15" fillId="18" borderId="1" xfId="4" applyNumberFormat="1" applyFont="1" applyFill="1" applyBorder="1" applyAlignment="1">
      <alignment horizontal="center" vertical="center"/>
    </xf>
    <xf numFmtId="164" fontId="102" fillId="18" borderId="1" xfId="4" applyNumberFormat="1" applyFont="1" applyFill="1" applyBorder="1" applyAlignment="1">
      <alignment horizontal="center" vertical="center"/>
    </xf>
    <xf numFmtId="164" fontId="16" fillId="18" borderId="1" xfId="4" applyNumberFormat="1" applyFont="1" applyFill="1" applyBorder="1" applyAlignment="1">
      <alignment horizontal="left" vertical="center" wrapText="1"/>
    </xf>
    <xf numFmtId="0" fontId="14" fillId="2" borderId="16" xfId="0" applyFont="1" applyFill="1" applyBorder="1" applyAlignment="1">
      <alignment horizontal="center" vertical="center"/>
    </xf>
    <xf numFmtId="0" fontId="13" fillId="2" borderId="16" xfId="0" applyFont="1" applyFill="1" applyBorder="1" applyAlignment="1">
      <alignment horizontal="left" vertical="center" wrapText="1"/>
    </xf>
    <xf numFmtId="164" fontId="13" fillId="2" borderId="16" xfId="4" applyNumberFormat="1" applyFont="1" applyFill="1" applyBorder="1" applyAlignment="1">
      <alignment horizontal="center" vertical="center"/>
    </xf>
    <xf numFmtId="164" fontId="15" fillId="2" borderId="16" xfId="4" applyNumberFormat="1" applyFont="1" applyFill="1" applyBorder="1" applyAlignment="1">
      <alignment horizontal="center" vertical="center"/>
    </xf>
    <xf numFmtId="164" fontId="15" fillId="17" borderId="16" xfId="4" applyNumberFormat="1" applyFont="1" applyFill="1" applyBorder="1" applyAlignment="1">
      <alignment horizontal="center" vertical="center"/>
    </xf>
    <xf numFmtId="164" fontId="102" fillId="10" borderId="16" xfId="4" applyNumberFormat="1" applyFont="1" applyFill="1" applyBorder="1" applyAlignment="1">
      <alignment horizontal="center" vertical="center"/>
    </xf>
    <xf numFmtId="164" fontId="15" fillId="10" borderId="16" xfId="4" applyNumberFormat="1" applyFont="1" applyFill="1" applyBorder="1" applyAlignment="1">
      <alignment horizontal="center" vertical="center"/>
    </xf>
    <xf numFmtId="164" fontId="102" fillId="8" borderId="16" xfId="4" applyNumberFormat="1" applyFont="1" applyFill="1" applyBorder="1" applyAlignment="1">
      <alignment horizontal="center" vertical="center"/>
    </xf>
    <xf numFmtId="164" fontId="102" fillId="21" borderId="16" xfId="4" applyNumberFormat="1" applyFont="1" applyFill="1" applyBorder="1" applyAlignment="1">
      <alignment horizontal="center" vertical="center"/>
    </xf>
    <xf numFmtId="164" fontId="16" fillId="2" borderId="16" xfId="4" applyNumberFormat="1" applyFont="1" applyFill="1" applyBorder="1" applyAlignment="1">
      <alignment horizontal="left" vertical="center" wrapText="1"/>
    </xf>
    <xf numFmtId="0" fontId="14" fillId="4" borderId="1" xfId="0" applyFont="1" applyFill="1" applyBorder="1" applyAlignment="1">
      <alignment horizontal="center" vertical="center"/>
    </xf>
    <xf numFmtId="0" fontId="15" fillId="4" borderId="1" xfId="0" applyFont="1" applyFill="1" applyBorder="1" applyAlignment="1">
      <alignment horizontal="left" vertical="center" wrapText="1"/>
    </xf>
    <xf numFmtId="164" fontId="15" fillId="4" borderId="1" xfId="4" applyNumberFormat="1" applyFont="1" applyFill="1" applyBorder="1" applyAlignment="1">
      <alignment horizontal="center" vertical="center"/>
    </xf>
    <xf numFmtId="164" fontId="102" fillId="4" borderId="1" xfId="4" applyNumberFormat="1" applyFont="1" applyFill="1" applyBorder="1" applyAlignment="1">
      <alignment horizontal="center" vertical="center"/>
    </xf>
    <xf numFmtId="164" fontId="16" fillId="4" borderId="1" xfId="4" applyNumberFormat="1" applyFont="1" applyFill="1" applyBorder="1" applyAlignment="1">
      <alignment horizontal="left" vertical="center" wrapText="1"/>
    </xf>
    <xf numFmtId="0" fontId="15" fillId="2" borderId="20" xfId="0" applyFont="1" applyFill="1" applyBorder="1" applyAlignment="1">
      <alignment horizontal="left" vertical="center" wrapText="1"/>
    </xf>
    <xf numFmtId="164" fontId="13" fillId="4" borderId="1" xfId="4"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15" fillId="2" borderId="0" xfId="0" applyFont="1" applyFill="1" applyAlignment="1"/>
    <xf numFmtId="0" fontId="6" fillId="2" borderId="0" xfId="0" applyFont="1" applyFill="1" applyAlignment="1"/>
    <xf numFmtId="0" fontId="15" fillId="4" borderId="1" xfId="0" applyFont="1" applyFill="1" applyBorder="1" applyAlignment="1">
      <alignment vertical="center" wrapText="1"/>
    </xf>
    <xf numFmtId="0" fontId="14" fillId="2" borderId="17" xfId="0" applyFont="1" applyFill="1" applyBorder="1" applyAlignment="1">
      <alignment vertical="center"/>
    </xf>
    <xf numFmtId="0" fontId="14" fillId="2" borderId="20" xfId="0" applyFont="1" applyFill="1" applyBorder="1" applyAlignment="1">
      <alignment vertical="center"/>
    </xf>
    <xf numFmtId="0" fontId="14" fillId="2" borderId="15" xfId="0" applyFont="1" applyFill="1" applyBorder="1" applyAlignment="1">
      <alignment vertical="center"/>
    </xf>
    <xf numFmtId="0" fontId="14" fillId="4" borderId="15" xfId="0" applyFont="1" applyFill="1" applyBorder="1" applyAlignment="1">
      <alignment vertical="center"/>
    </xf>
    <xf numFmtId="0" fontId="14" fillId="2" borderId="16" xfId="0" applyFont="1" applyFill="1" applyBorder="1" applyAlignment="1">
      <alignment vertical="center"/>
    </xf>
    <xf numFmtId="0" fontId="14" fillId="4" borderId="1" xfId="0" applyFont="1" applyFill="1" applyBorder="1" applyAlignment="1">
      <alignment vertical="center"/>
    </xf>
    <xf numFmtId="0" fontId="14" fillId="18" borderId="1" xfId="0" applyFont="1" applyFill="1" applyBorder="1" applyAlignment="1">
      <alignment vertical="center"/>
    </xf>
    <xf numFmtId="0" fontId="15" fillId="2" borderId="0" xfId="2" applyNumberFormat="1" applyFont="1" applyFill="1" applyBorder="1" applyAlignment="1">
      <alignment horizontal="centerContinuous" vertical="center" wrapText="1"/>
    </xf>
    <xf numFmtId="0" fontId="104" fillId="2" borderId="0" xfId="0" applyFont="1" applyFill="1" applyAlignment="1">
      <alignment horizontal="centerContinuous"/>
    </xf>
    <xf numFmtId="164" fontId="104" fillId="2" borderId="0" xfId="4" applyNumberFormat="1" applyFont="1" applyFill="1" applyAlignment="1">
      <alignment horizontal="centerContinuous"/>
    </xf>
    <xf numFmtId="0" fontId="26" fillId="2" borderId="0" xfId="0" applyFont="1" applyFill="1" applyAlignment="1">
      <alignment horizontal="centerContinuous"/>
    </xf>
    <xf numFmtId="164" fontId="45" fillId="0" borderId="0" xfId="4" applyNumberFormat="1" applyFont="1" applyFill="1" applyBorder="1" applyAlignment="1">
      <alignment vertical="center"/>
    </xf>
    <xf numFmtId="164" fontId="45" fillId="8" borderId="1" xfId="4" applyNumberFormat="1" applyFont="1" applyFill="1" applyBorder="1" applyAlignment="1">
      <alignment horizontal="center" vertical="center" wrapText="1"/>
    </xf>
    <xf numFmtId="165" fontId="46" fillId="0" borderId="0" xfId="0" applyNumberFormat="1" applyFont="1" applyFill="1" applyBorder="1" applyAlignment="1">
      <alignment horizontal="centerContinuous" vertical="center"/>
    </xf>
    <xf numFmtId="3" fontId="105" fillId="0" borderId="0" xfId="0" applyNumberFormat="1" applyFont="1" applyFill="1" applyBorder="1" applyAlignment="1">
      <alignment horizontal="centerContinuous" vertical="center"/>
    </xf>
    <xf numFmtId="3" fontId="106" fillId="0" borderId="0" xfId="0" applyNumberFormat="1" applyFont="1" applyFill="1" applyBorder="1" applyAlignment="1">
      <alignment horizontal="centerContinuous" vertical="center"/>
    </xf>
    <xf numFmtId="164" fontId="107" fillId="2" borderId="0" xfId="4" applyNumberFormat="1" applyFont="1" applyFill="1" applyBorder="1" applyAlignment="1">
      <alignment horizontal="centerContinuous" vertical="center"/>
    </xf>
    <xf numFmtId="164" fontId="107" fillId="0" borderId="0" xfId="4" applyNumberFormat="1" applyFont="1" applyFill="1" applyBorder="1" applyAlignment="1">
      <alignment horizontal="centerContinuous" vertical="center"/>
    </xf>
    <xf numFmtId="165" fontId="107" fillId="0" borderId="0" xfId="0" applyNumberFormat="1" applyFont="1" applyFill="1" applyBorder="1" applyAlignment="1">
      <alignment horizontal="centerContinuous" vertical="center"/>
    </xf>
    <xf numFmtId="164" fontId="107" fillId="2" borderId="0" xfId="0" applyNumberFormat="1" applyFont="1" applyFill="1" applyBorder="1" applyAlignment="1">
      <alignment horizontal="centerContinuous" vertical="center"/>
    </xf>
    <xf numFmtId="3" fontId="107" fillId="0" borderId="0" xfId="0" applyNumberFormat="1" applyFont="1" applyFill="1" applyBorder="1" applyAlignment="1">
      <alignment horizontal="centerContinuous" vertical="center"/>
    </xf>
    <xf numFmtId="0" fontId="107" fillId="0" borderId="0" xfId="0" applyFont="1" applyFill="1" applyBorder="1" applyAlignment="1">
      <alignment horizontal="centerContinuous" vertical="center"/>
    </xf>
    <xf numFmtId="3" fontId="107" fillId="2" borderId="0" xfId="0" applyNumberFormat="1" applyFont="1" applyFill="1" applyBorder="1" applyAlignment="1">
      <alignment horizontal="centerContinuous" vertical="center"/>
    </xf>
    <xf numFmtId="164" fontId="106" fillId="0" borderId="0" xfId="4" applyNumberFormat="1" applyFont="1" applyFill="1" applyBorder="1" applyAlignment="1">
      <alignment horizontal="centerContinuous" vertical="center"/>
    </xf>
    <xf numFmtId="3" fontId="2" fillId="0" borderId="0" xfId="19" applyNumberFormat="1" applyFont="1" applyFill="1" applyBorder="1" applyAlignment="1">
      <alignment horizontal="right" vertical="center"/>
    </xf>
    <xf numFmtId="164" fontId="2" fillId="0" borderId="0" xfId="4" applyNumberFormat="1" applyFont="1" applyFill="1" applyBorder="1" applyAlignment="1">
      <alignment vertical="center"/>
    </xf>
    <xf numFmtId="0" fontId="2" fillId="2" borderId="0" xfId="0" applyFont="1" applyFill="1"/>
    <xf numFmtId="3" fontId="31" fillId="2" borderId="0" xfId="19" applyNumberFormat="1" applyFont="1" applyFill="1" applyBorder="1" applyAlignment="1">
      <alignment horizontal="right" vertical="center"/>
    </xf>
    <xf numFmtId="0" fontId="31" fillId="2" borderId="0" xfId="0" applyFont="1" applyFill="1" applyAlignment="1">
      <alignment horizontal="right"/>
    </xf>
    <xf numFmtId="0" fontId="2" fillId="0" borderId="0" xfId="0" quotePrefix="1" applyFont="1" applyFill="1" applyBorder="1" applyAlignment="1">
      <alignment horizontal="center" vertical="center"/>
    </xf>
    <xf numFmtId="164" fontId="2" fillId="0" borderId="0" xfId="4" applyNumberFormat="1" applyFont="1" applyFill="1" applyAlignment="1">
      <alignment horizontal="center"/>
    </xf>
    <xf numFmtId="164" fontId="2" fillId="2" borderId="0" xfId="4" applyNumberFormat="1" applyFont="1" applyFill="1"/>
    <xf numFmtId="43" fontId="2" fillId="0" borderId="0" xfId="0" applyNumberFormat="1" applyFont="1" applyFill="1"/>
    <xf numFmtId="43" fontId="2" fillId="0" borderId="0" xfId="0" applyNumberFormat="1" applyFont="1" applyFill="1" applyAlignment="1">
      <alignment horizontal="left"/>
    </xf>
    <xf numFmtId="0" fontId="2" fillId="0" borderId="0" xfId="0" applyFont="1" applyFill="1"/>
    <xf numFmtId="0" fontId="2" fillId="0" borderId="0" xfId="0" applyFont="1" applyFill="1" applyAlignment="1">
      <alignment horizontal="left"/>
    </xf>
    <xf numFmtId="164" fontId="2" fillId="0" borderId="0" xfId="0" applyNumberFormat="1" applyFont="1" applyFill="1" applyBorder="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164" fontId="2" fillId="0" borderId="0" xfId="4" applyNumberFormat="1" applyFont="1" applyFill="1" applyAlignment="1">
      <alignment vertical="center"/>
    </xf>
    <xf numFmtId="0" fontId="45" fillId="0" borderId="0" xfId="0" applyFont="1" applyFill="1" applyAlignment="1">
      <alignment horizontal="centerContinuous"/>
    </xf>
    <xf numFmtId="0" fontId="46" fillId="0" borderId="0" xfId="0" applyFont="1" applyFill="1" applyAlignment="1">
      <alignment horizontal="centerContinuous"/>
    </xf>
    <xf numFmtId="164" fontId="46" fillId="0" borderId="0" xfId="0" applyNumberFormat="1" applyFont="1" applyFill="1" applyBorder="1" applyAlignment="1">
      <alignment horizontal="centerContinuous" vertical="center"/>
    </xf>
    <xf numFmtId="0" fontId="46" fillId="0" borderId="0" xfId="0" applyFont="1" applyFill="1" applyAlignment="1">
      <alignment horizontal="centerContinuous" vertical="center"/>
    </xf>
    <xf numFmtId="0" fontId="2" fillId="0" borderId="0" xfId="0" applyFont="1" applyFill="1" applyAlignment="1">
      <alignment horizontal="centerContinuous" vertical="center"/>
    </xf>
    <xf numFmtId="0" fontId="87" fillId="0" borderId="0" xfId="0" applyFont="1" applyFill="1" applyAlignment="1">
      <alignment horizontal="center"/>
    </xf>
    <xf numFmtId="0" fontId="87" fillId="2" borderId="0" xfId="0" applyFont="1" applyFill="1" applyAlignment="1">
      <alignment horizontal="center"/>
    </xf>
    <xf numFmtId="0" fontId="87" fillId="0" borderId="0" xfId="0" applyNumberFormat="1" applyFont="1" applyFill="1" applyAlignment="1">
      <alignment horizontal="center"/>
    </xf>
    <xf numFmtId="0" fontId="108" fillId="0" borderId="0" xfId="0" applyFont="1" applyFill="1" applyAlignment="1">
      <alignment horizontal="center"/>
    </xf>
    <xf numFmtId="0" fontId="108" fillId="0" borderId="0" xfId="0" applyFont="1" applyFill="1" applyAlignment="1">
      <alignment horizontal="centerContinuous"/>
    </xf>
    <xf numFmtId="0" fontId="2" fillId="0" borderId="0" xfId="0" applyFont="1" applyFill="1" applyAlignment="1">
      <alignment horizontal="left" vertical="center"/>
    </xf>
    <xf numFmtId="0" fontId="2" fillId="0" borderId="0" xfId="0" applyFont="1" applyFill="1" applyAlignment="1">
      <alignment horizontal="centerContinuous"/>
    </xf>
    <xf numFmtId="0" fontId="87" fillId="0" borderId="0" xfId="0" applyFont="1" applyFill="1" applyAlignment="1">
      <alignment horizontal="centerContinuous" vertical="center"/>
    </xf>
    <xf numFmtId="164" fontId="2" fillId="0" borderId="4" xfId="3" applyNumberFormat="1" applyFont="1" applyFill="1" applyBorder="1" applyAlignment="1">
      <alignment horizontal="right" vertical="center"/>
    </xf>
    <xf numFmtId="0" fontId="26" fillId="2" borderId="0" xfId="1" applyFont="1" applyFill="1" applyAlignment="1">
      <alignment horizontal="centerContinuous" vertical="center" wrapText="1"/>
    </xf>
    <xf numFmtId="0" fontId="19" fillId="5" borderId="1" xfId="2" applyNumberFormat="1" applyFont="1" applyFill="1" applyBorder="1" applyAlignment="1">
      <alignment horizontal="centerContinuous" vertical="center"/>
    </xf>
    <xf numFmtId="0" fontId="2" fillId="2" borderId="2" xfId="1" applyFont="1" applyFill="1" applyBorder="1" applyAlignment="1">
      <alignment vertical="center" wrapText="1"/>
    </xf>
    <xf numFmtId="0" fontId="15" fillId="2" borderId="1" xfId="1" applyNumberFormat="1" applyFont="1" applyFill="1" applyBorder="1" applyAlignment="1">
      <alignment horizontal="left" vertical="center"/>
    </xf>
    <xf numFmtId="49" fontId="15" fillId="2" borderId="1" xfId="1" applyNumberFormat="1" applyFont="1" applyFill="1" applyBorder="1" applyAlignment="1">
      <alignment vertical="center" wrapText="1"/>
    </xf>
    <xf numFmtId="43" fontId="1" fillId="7" borderId="0" xfId="6" applyNumberFormat="1" applyFont="1" applyFill="1" applyBorder="1" applyAlignment="1">
      <alignment vertical="center" wrapText="1"/>
    </xf>
    <xf numFmtId="43" fontId="2" fillId="7" borderId="0" xfId="7" applyNumberFormat="1" applyFont="1" applyFill="1" applyBorder="1" applyAlignment="1">
      <alignment horizontal="center" vertical="center"/>
    </xf>
    <xf numFmtId="43" fontId="109" fillId="7" borderId="0" xfId="7" applyNumberFormat="1" applyFont="1" applyFill="1" applyBorder="1" applyAlignment="1">
      <alignment horizontal="center" vertical="center" wrapText="1"/>
    </xf>
    <xf numFmtId="43" fontId="87" fillId="7" borderId="0" xfId="7" applyNumberFormat="1" applyFont="1" applyFill="1" applyBorder="1" applyAlignment="1">
      <alignment horizontal="center" vertical="center" wrapText="1"/>
    </xf>
    <xf numFmtId="164" fontId="87" fillId="7" borderId="0" xfId="4" applyNumberFormat="1" applyFont="1" applyFill="1" applyBorder="1" applyAlignment="1">
      <alignment horizontal="center" vertical="center" wrapText="1"/>
    </xf>
    <xf numFmtId="164" fontId="2" fillId="7" borderId="0" xfId="6" applyNumberFormat="1" applyFont="1" applyFill="1" applyBorder="1" applyAlignment="1">
      <alignment horizontal="left" vertical="center" wrapText="1"/>
    </xf>
    <xf numFmtId="43" fontId="1" fillId="7" borderId="0" xfId="6" applyNumberFormat="1" applyFont="1" applyFill="1" applyBorder="1" applyAlignment="1">
      <alignment horizontal="center" vertical="center" wrapText="1"/>
    </xf>
    <xf numFmtId="43" fontId="1" fillId="0" borderId="0" xfId="6" applyNumberFormat="1" applyFont="1" applyFill="1" applyBorder="1" applyAlignment="1">
      <alignment vertical="center" wrapText="1"/>
    </xf>
    <xf numFmtId="43" fontId="2" fillId="0" borderId="15" xfId="6" applyNumberFormat="1" applyFont="1" applyFill="1" applyBorder="1" applyAlignment="1">
      <alignment horizontal="center" vertical="center" wrapText="1"/>
    </xf>
    <xf numFmtId="164" fontId="1" fillId="0" borderId="15" xfId="4" applyNumberFormat="1" applyFont="1" applyFill="1" applyBorder="1" applyAlignment="1">
      <alignment vertical="center" wrapText="1"/>
    </xf>
    <xf numFmtId="164" fontId="1" fillId="0" borderId="15" xfId="7" applyNumberFormat="1" applyFont="1" applyFill="1" applyBorder="1" applyAlignment="1">
      <alignment vertical="center" wrapText="1"/>
    </xf>
    <xf numFmtId="164" fontId="1" fillId="0" borderId="15" xfId="6" quotePrefix="1" applyNumberFormat="1" applyFont="1" applyFill="1" applyBorder="1" applyAlignment="1">
      <alignment horizontal="center" vertical="center" wrapText="1"/>
    </xf>
    <xf numFmtId="43" fontId="1" fillId="0" borderId="15" xfId="6" applyNumberFormat="1" applyFont="1" applyFill="1" applyBorder="1" applyAlignment="1">
      <alignment vertical="center" wrapText="1"/>
    </xf>
    <xf numFmtId="164" fontId="1" fillId="7" borderId="15" xfId="7" applyNumberFormat="1" applyFont="1" applyFill="1" applyBorder="1" applyAlignment="1">
      <alignment vertical="center" wrapText="1"/>
    </xf>
    <xf numFmtId="43" fontId="1" fillId="0" borderId="15" xfId="6" applyNumberFormat="1" applyFont="1" applyFill="1" applyBorder="1" applyAlignment="1">
      <alignment horizontal="left" vertical="center" wrapText="1"/>
    </xf>
    <xf numFmtId="43" fontId="13" fillId="7" borderId="15" xfId="6" applyNumberFormat="1" applyFont="1" applyFill="1" applyBorder="1" applyAlignment="1">
      <alignment horizontal="left" vertical="center" wrapText="1"/>
    </xf>
    <xf numFmtId="164" fontId="13" fillId="7" borderId="15" xfId="4" applyNumberFormat="1" applyFont="1" applyFill="1" applyBorder="1" applyAlignment="1">
      <alignment vertical="center" wrapText="1"/>
    </xf>
    <xf numFmtId="164" fontId="1" fillId="0" borderId="15" xfId="13" applyNumberFormat="1" applyFont="1" applyFill="1" applyBorder="1" applyAlignment="1">
      <alignment horizontal="center" vertical="center"/>
    </xf>
    <xf numFmtId="43" fontId="1" fillId="7" borderId="15" xfId="6" applyNumberFormat="1" applyFont="1" applyFill="1" applyBorder="1" applyAlignment="1">
      <alignment horizontal="left" vertical="center" wrapText="1"/>
    </xf>
    <xf numFmtId="164" fontId="1" fillId="7" borderId="15" xfId="4" applyNumberFormat="1" applyFont="1" applyFill="1" applyBorder="1" applyAlignment="1">
      <alignment vertical="center" wrapText="1"/>
    </xf>
    <xf numFmtId="43" fontId="13" fillId="0" borderId="15" xfId="6" applyNumberFormat="1" applyFont="1" applyFill="1" applyBorder="1" applyAlignment="1">
      <alignment horizontal="left" vertical="center" wrapText="1"/>
    </xf>
    <xf numFmtId="164" fontId="13" fillId="0" borderId="15" xfId="4" applyNumberFormat="1" applyFont="1" applyFill="1" applyBorder="1" applyAlignment="1">
      <alignment vertical="center" wrapText="1"/>
    </xf>
    <xf numFmtId="164" fontId="2" fillId="7" borderId="15" xfId="6" applyNumberFormat="1" applyFont="1" applyFill="1" applyBorder="1" applyAlignment="1">
      <alignment vertical="center" wrapText="1"/>
    </xf>
    <xf numFmtId="43" fontId="1" fillId="0" borderId="15" xfId="13" applyFont="1" applyFill="1" applyBorder="1" applyAlignment="1">
      <alignment horizontal="left" vertical="center"/>
    </xf>
    <xf numFmtId="164" fontId="1" fillId="0" borderId="15" xfId="11" applyNumberFormat="1" applyFont="1" applyBorder="1" applyAlignment="1">
      <alignment horizontal="left" vertical="center"/>
    </xf>
    <xf numFmtId="164" fontId="1" fillId="0" borderId="15" xfId="4" applyNumberFormat="1" applyFont="1" applyBorder="1" applyAlignment="1">
      <alignment vertical="center"/>
    </xf>
    <xf numFmtId="43" fontId="1" fillId="0" borderId="15" xfId="13" applyFont="1" applyFill="1" applyBorder="1" applyAlignment="1">
      <alignment horizontal="left" vertical="center" wrapText="1"/>
    </xf>
    <xf numFmtId="43" fontId="1" fillId="0" borderId="0" xfId="13" applyFont="1" applyFill="1" applyAlignment="1">
      <alignment horizontal="left" vertical="center"/>
    </xf>
    <xf numFmtId="43" fontId="2" fillId="0" borderId="4" xfId="6" applyNumberFormat="1" applyFont="1" applyFill="1" applyBorder="1" applyAlignment="1">
      <alignment horizontal="center" vertical="center" wrapText="1"/>
    </xf>
    <xf numFmtId="43" fontId="2" fillId="0" borderId="4" xfId="6" applyNumberFormat="1" applyFont="1" applyFill="1" applyBorder="1" applyAlignment="1">
      <alignment vertical="center" wrapText="1"/>
    </xf>
    <xf numFmtId="43" fontId="2" fillId="0" borderId="0" xfId="6" applyNumberFormat="1" applyFont="1" applyFill="1" applyBorder="1" applyAlignment="1">
      <alignment vertical="center" wrapText="1"/>
    </xf>
    <xf numFmtId="164" fontId="2" fillId="0" borderId="0" xfId="4" applyNumberFormat="1" applyFont="1" applyFill="1" applyBorder="1" applyAlignment="1">
      <alignment vertical="center" wrapText="1"/>
    </xf>
    <xf numFmtId="164" fontId="1" fillId="0" borderId="0" xfId="10" applyNumberFormat="1" applyFont="1" applyFill="1" applyBorder="1" applyAlignment="1">
      <alignment horizontal="left"/>
    </xf>
    <xf numFmtId="43" fontId="2" fillId="0" borderId="0" xfId="6" applyNumberFormat="1" applyFont="1" applyFill="1" applyBorder="1" applyAlignment="1">
      <alignment horizontal="center" vertical="center" wrapText="1"/>
    </xf>
    <xf numFmtId="43" fontId="2" fillId="0" borderId="0" xfId="6" applyNumberFormat="1" applyFont="1" applyFill="1" applyBorder="1" applyAlignment="1">
      <alignment horizontal="left" vertical="center" wrapText="1"/>
    </xf>
    <xf numFmtId="164" fontId="2" fillId="0" borderId="0" xfId="4" applyNumberFormat="1" applyFont="1" applyFill="1" applyBorder="1" applyAlignment="1">
      <alignment horizontal="left" vertical="center" wrapText="1"/>
    </xf>
    <xf numFmtId="164" fontId="87" fillId="0" borderId="0" xfId="6" applyNumberFormat="1" applyFont="1" applyFill="1" applyBorder="1" applyAlignment="1">
      <alignment horizontal="left" vertical="center" wrapText="1"/>
    </xf>
    <xf numFmtId="43" fontId="2" fillId="7" borderId="0" xfId="6" applyNumberFormat="1" applyFont="1" applyFill="1" applyBorder="1" applyAlignment="1">
      <alignment horizontal="center" vertical="center" wrapText="1"/>
    </xf>
    <xf numFmtId="164" fontId="1" fillId="7" borderId="0" xfId="4" applyNumberFormat="1" applyFont="1" applyFill="1" applyBorder="1" applyAlignment="1">
      <alignment vertical="center" wrapText="1"/>
    </xf>
    <xf numFmtId="43" fontId="1" fillId="2" borderId="0" xfId="6" applyNumberFormat="1" applyFont="1" applyFill="1" applyBorder="1" applyAlignment="1">
      <alignment vertical="center" wrapText="1"/>
    </xf>
    <xf numFmtId="43" fontId="99" fillId="7" borderId="0" xfId="6" applyNumberFormat="1" applyFont="1" applyFill="1" applyBorder="1" applyAlignment="1">
      <alignment horizontal="centerContinuous" vertical="center" wrapText="1"/>
    </xf>
    <xf numFmtId="43" fontId="104" fillId="7" borderId="0" xfId="6" applyNumberFormat="1" applyFont="1" applyFill="1" applyBorder="1" applyAlignment="1">
      <alignment horizontal="centerContinuous" vertical="center" wrapText="1"/>
    </xf>
    <xf numFmtId="164" fontId="104" fillId="7" borderId="0" xfId="4" applyNumberFormat="1" applyFont="1" applyFill="1" applyBorder="1" applyAlignment="1">
      <alignment horizontal="centerContinuous" vertical="center" wrapText="1"/>
    </xf>
    <xf numFmtId="164" fontId="99" fillId="7" borderId="0" xfId="6" applyNumberFormat="1" applyFont="1" applyFill="1" applyBorder="1" applyAlignment="1">
      <alignment horizontal="centerContinuous" vertical="center" wrapText="1"/>
    </xf>
    <xf numFmtId="43" fontId="110" fillId="12" borderId="1" xfId="6" applyNumberFormat="1" applyFont="1" applyFill="1" applyBorder="1" applyAlignment="1">
      <alignment horizontal="center" vertical="center" wrapText="1"/>
    </xf>
    <xf numFmtId="43" fontId="110" fillId="12" borderId="1" xfId="6" applyNumberFormat="1" applyFont="1" applyFill="1" applyBorder="1" applyAlignment="1">
      <alignment vertical="center" wrapText="1"/>
    </xf>
    <xf numFmtId="164" fontId="110" fillId="12" borderId="1" xfId="10" applyNumberFormat="1" applyFont="1" applyFill="1" applyBorder="1" applyAlignment="1">
      <alignment horizontal="center" vertical="center" wrapText="1"/>
    </xf>
    <xf numFmtId="164" fontId="110" fillId="12" borderId="1" xfId="4" applyNumberFormat="1" applyFont="1" applyFill="1" applyBorder="1" applyAlignment="1">
      <alignment horizontal="center" vertical="center" wrapText="1"/>
    </xf>
    <xf numFmtId="43" fontId="2" fillId="3" borderId="5" xfId="6" applyNumberFormat="1" applyFont="1" applyFill="1" applyBorder="1" applyAlignment="1">
      <alignment horizontal="center" vertical="center" wrapText="1"/>
    </xf>
    <xf numFmtId="43" fontId="2" fillId="3" borderId="5" xfId="6" applyNumberFormat="1" applyFont="1" applyFill="1" applyBorder="1" applyAlignment="1">
      <alignment vertical="center" wrapText="1"/>
    </xf>
    <xf numFmtId="164" fontId="2" fillId="3" borderId="5" xfId="4" applyNumberFormat="1" applyFont="1" applyFill="1" applyBorder="1" applyAlignment="1">
      <alignment vertical="center" wrapText="1"/>
    </xf>
    <xf numFmtId="164" fontId="2" fillId="3" borderId="5" xfId="7" applyNumberFormat="1" applyFont="1" applyFill="1" applyBorder="1" applyAlignment="1">
      <alignment vertical="center" wrapText="1"/>
    </xf>
    <xf numFmtId="43" fontId="2" fillId="0" borderId="14" xfId="6" applyNumberFormat="1" applyFont="1" applyFill="1" applyBorder="1" applyAlignment="1">
      <alignment horizontal="center" vertical="center" wrapText="1"/>
    </xf>
    <xf numFmtId="164" fontId="1" fillId="0" borderId="14" xfId="13" applyNumberFormat="1" applyFont="1" applyFill="1" applyBorder="1" applyAlignment="1">
      <alignment horizontal="center" vertical="center"/>
    </xf>
    <xf numFmtId="43" fontId="1" fillId="7" borderId="14" xfId="6" applyNumberFormat="1" applyFont="1" applyFill="1" applyBorder="1" applyAlignment="1">
      <alignment horizontal="left" vertical="center" wrapText="1"/>
    </xf>
    <xf numFmtId="164" fontId="1" fillId="7" borderId="14" xfId="4" applyNumberFormat="1" applyFont="1" applyFill="1" applyBorder="1" applyAlignment="1">
      <alignment vertical="center" wrapText="1"/>
    </xf>
    <xf numFmtId="164" fontId="1" fillId="0" borderId="14" xfId="7" applyNumberFormat="1" applyFont="1" applyFill="1" applyBorder="1" applyAlignment="1">
      <alignment vertical="center" wrapText="1"/>
    </xf>
    <xf numFmtId="43" fontId="2" fillId="0" borderId="20" xfId="6" applyNumberFormat="1" applyFont="1" applyFill="1" applyBorder="1" applyAlignment="1">
      <alignment horizontal="center" vertical="center" wrapText="1"/>
    </xf>
    <xf numFmtId="164" fontId="1" fillId="0" borderId="20" xfId="13" applyNumberFormat="1" applyFont="1" applyFill="1" applyBorder="1" applyAlignment="1">
      <alignment horizontal="center" vertical="center"/>
    </xf>
    <xf numFmtId="43" fontId="13" fillId="7" borderId="20" xfId="6" applyNumberFormat="1" applyFont="1" applyFill="1" applyBorder="1" applyAlignment="1">
      <alignment horizontal="left" vertical="center" wrapText="1"/>
    </xf>
    <xf numFmtId="164" fontId="13" fillId="7" borderId="20" xfId="4" applyNumberFormat="1" applyFont="1" applyFill="1" applyBorder="1" applyAlignment="1">
      <alignment vertical="center" wrapText="1"/>
    </xf>
    <xf numFmtId="164" fontId="1" fillId="0" borderId="20" xfId="7" applyNumberFormat="1" applyFont="1" applyFill="1" applyBorder="1" applyAlignment="1">
      <alignment vertical="center" wrapText="1"/>
    </xf>
    <xf numFmtId="43" fontId="15" fillId="6" borderId="5" xfId="14" applyNumberFormat="1" applyFont="1" applyFill="1" applyBorder="1" applyAlignment="1">
      <alignment horizontal="center" vertical="center" wrapText="1"/>
    </xf>
    <xf numFmtId="43" fontId="2" fillId="6" borderId="5" xfId="14" applyNumberFormat="1" applyFont="1" applyFill="1" applyBorder="1" applyAlignment="1">
      <alignment horizontal="center" vertical="center" wrapText="1"/>
    </xf>
    <xf numFmtId="43" fontId="2" fillId="6" borderId="5" xfId="14" applyNumberFormat="1" applyFont="1" applyFill="1" applyBorder="1" applyAlignment="1">
      <alignment vertical="center" wrapText="1"/>
    </xf>
    <xf numFmtId="164" fontId="2" fillId="6" borderId="5" xfId="4" applyNumberFormat="1" applyFont="1" applyFill="1" applyBorder="1" applyAlignment="1">
      <alignment vertical="center" wrapText="1"/>
    </xf>
    <xf numFmtId="164" fontId="1" fillId="6" borderId="5" xfId="7" applyNumberFormat="1" applyFont="1" applyFill="1" applyBorder="1" applyAlignment="1">
      <alignment vertical="center" wrapText="1"/>
    </xf>
    <xf numFmtId="164" fontId="1" fillId="0" borderId="14" xfId="6" quotePrefix="1" applyNumberFormat="1" applyFont="1" applyFill="1" applyBorder="1" applyAlignment="1">
      <alignment horizontal="center" vertical="center" wrapText="1"/>
    </xf>
    <xf numFmtId="43" fontId="2" fillId="0" borderId="5" xfId="6" applyNumberFormat="1" applyFont="1" applyFill="1" applyBorder="1" applyAlignment="1">
      <alignment horizontal="center" vertical="center" wrapText="1"/>
    </xf>
    <xf numFmtId="164" fontId="1" fillId="0" borderId="5" xfId="6" quotePrefix="1" applyNumberFormat="1" applyFont="1" applyFill="1" applyBorder="1" applyAlignment="1">
      <alignment horizontal="center" vertical="center" wrapText="1"/>
    </xf>
    <xf numFmtId="43" fontId="13" fillId="7" borderId="5" xfId="6" applyNumberFormat="1" applyFont="1" applyFill="1" applyBorder="1" applyAlignment="1">
      <alignment horizontal="left" vertical="center" wrapText="1"/>
    </xf>
    <xf numFmtId="164" fontId="13" fillId="7" borderId="5" xfId="4" applyNumberFormat="1" applyFont="1" applyFill="1" applyBorder="1" applyAlignment="1">
      <alignment vertical="center" wrapText="1"/>
    </xf>
    <xf numFmtId="43" fontId="1" fillId="7" borderId="5" xfId="6" applyNumberFormat="1" applyFont="1" applyFill="1" applyBorder="1" applyAlignment="1">
      <alignment vertical="center" wrapText="1"/>
    </xf>
    <xf numFmtId="43" fontId="2" fillId="6" borderId="5" xfId="6" applyNumberFormat="1" applyFont="1" applyFill="1" applyBorder="1" applyAlignment="1">
      <alignment horizontal="center" vertical="center" wrapText="1"/>
    </xf>
    <xf numFmtId="164" fontId="2" fillId="6" borderId="5" xfId="6" applyNumberFormat="1" applyFont="1" applyFill="1" applyBorder="1" applyAlignment="1">
      <alignment horizontal="center" vertical="center" wrapText="1"/>
    </xf>
    <xf numFmtId="43" fontId="2" fillId="6" borderId="5" xfId="6" applyNumberFormat="1" applyFont="1" applyFill="1" applyBorder="1" applyAlignment="1">
      <alignment horizontal="left" vertical="center" wrapText="1"/>
    </xf>
    <xf numFmtId="43" fontId="1" fillId="6" borderId="5" xfId="13" applyFont="1" applyFill="1" applyBorder="1" applyAlignment="1">
      <alignment vertical="center" wrapText="1"/>
    </xf>
    <xf numFmtId="43" fontId="1" fillId="0" borderId="14" xfId="6" applyNumberFormat="1" applyFont="1" applyFill="1" applyBorder="1" applyAlignment="1">
      <alignment horizontal="left" vertical="center" wrapText="1"/>
    </xf>
    <xf numFmtId="164" fontId="1" fillId="0" borderId="14" xfId="4" applyNumberFormat="1" applyFont="1" applyFill="1" applyBorder="1" applyAlignment="1">
      <alignment vertical="center" wrapText="1"/>
    </xf>
    <xf numFmtId="164" fontId="1" fillId="0" borderId="20" xfId="6" quotePrefix="1" applyNumberFormat="1" applyFont="1" applyFill="1" applyBorder="1" applyAlignment="1">
      <alignment horizontal="center" vertical="center" wrapText="1"/>
    </xf>
    <xf numFmtId="43" fontId="1" fillId="0" borderId="20" xfId="6" applyNumberFormat="1" applyFont="1" applyFill="1" applyBorder="1" applyAlignment="1">
      <alignment vertical="center" wrapText="1"/>
    </xf>
    <xf numFmtId="164" fontId="1" fillId="0" borderId="20" xfId="4" applyNumberFormat="1" applyFont="1" applyFill="1" applyBorder="1" applyAlignment="1">
      <alignment vertical="center" wrapText="1"/>
    </xf>
    <xf numFmtId="164" fontId="1" fillId="7" borderId="20" xfId="7" applyNumberFormat="1" applyFont="1" applyFill="1" applyBorder="1" applyAlignment="1">
      <alignment vertical="center" wrapText="1"/>
    </xf>
    <xf numFmtId="43" fontId="2" fillId="6" borderId="1" xfId="6" applyNumberFormat="1" applyFont="1" applyFill="1" applyBorder="1" applyAlignment="1">
      <alignment horizontal="center" vertical="center" wrapText="1"/>
    </xf>
    <xf numFmtId="164" fontId="2" fillId="6" borderId="1" xfId="6" quotePrefix="1" applyNumberFormat="1" applyFont="1" applyFill="1" applyBorder="1" applyAlignment="1">
      <alignment horizontal="center" vertical="center" wrapText="1"/>
    </xf>
    <xf numFmtId="43" fontId="2" fillId="6" borderId="1" xfId="6" applyNumberFormat="1" applyFont="1" applyFill="1" applyBorder="1" applyAlignment="1">
      <alignment horizontal="left" vertical="center" wrapText="1"/>
    </xf>
    <xf numFmtId="164" fontId="2" fillId="6" borderId="1" xfId="4" applyNumberFormat="1" applyFont="1" applyFill="1" applyBorder="1" applyAlignment="1">
      <alignment vertical="center" wrapText="1"/>
    </xf>
    <xf numFmtId="164" fontId="1" fillId="6" borderId="1" xfId="7" applyNumberFormat="1" applyFont="1" applyFill="1" applyBorder="1" applyAlignment="1">
      <alignment vertical="center" wrapText="1"/>
    </xf>
    <xf numFmtId="43" fontId="2" fillId="13" borderId="7" xfId="6" applyNumberFormat="1" applyFont="1" applyFill="1" applyBorder="1" applyAlignment="1">
      <alignment horizontal="center" vertical="center" wrapText="1"/>
    </xf>
    <xf numFmtId="43" fontId="2" fillId="13" borderId="7" xfId="6" applyNumberFormat="1" applyFont="1" applyFill="1" applyBorder="1" applyAlignment="1">
      <alignment vertical="center"/>
    </xf>
    <xf numFmtId="43" fontId="2" fillId="13" borderId="7" xfId="6" applyNumberFormat="1" applyFont="1" applyFill="1" applyBorder="1" applyAlignment="1">
      <alignment vertical="center" wrapText="1"/>
    </xf>
    <xf numFmtId="164" fontId="2" fillId="13" borderId="7" xfId="4" applyNumberFormat="1" applyFont="1" applyFill="1" applyBorder="1" applyAlignment="1">
      <alignment vertical="center" wrapText="1"/>
    </xf>
    <xf numFmtId="164" fontId="1" fillId="13" borderId="7" xfId="7" applyNumberFormat="1" applyFont="1" applyFill="1" applyBorder="1" applyAlignment="1">
      <alignment vertical="center" wrapText="1"/>
    </xf>
    <xf numFmtId="43" fontId="2" fillId="0" borderId="7" xfId="6" applyNumberFormat="1" applyFont="1" applyFill="1" applyBorder="1" applyAlignment="1">
      <alignment horizontal="center" vertical="center" wrapText="1"/>
    </xf>
    <xf numFmtId="0" fontId="1" fillId="0" borderId="7" xfId="6" applyNumberFormat="1" applyFont="1" applyFill="1" applyBorder="1" applyAlignment="1">
      <alignment horizontal="right" vertical="center" wrapText="1"/>
    </xf>
    <xf numFmtId="43" fontId="1" fillId="0" borderId="7" xfId="11" applyNumberFormat="1" applyFont="1" applyFill="1" applyBorder="1" applyAlignment="1">
      <alignment horizontal="left" vertical="center" wrapText="1" indent="1"/>
    </xf>
    <xf numFmtId="164" fontId="1" fillId="0" borderId="7" xfId="4" applyNumberFormat="1" applyFont="1" applyFill="1" applyBorder="1" applyAlignment="1">
      <alignment vertical="center" wrapText="1"/>
    </xf>
    <xf numFmtId="164" fontId="1" fillId="0" borderId="7" xfId="7" applyNumberFormat="1" applyFont="1" applyFill="1" applyBorder="1" applyAlignment="1">
      <alignment vertical="center" wrapText="1"/>
    </xf>
    <xf numFmtId="43" fontId="2" fillId="6" borderId="1" xfId="6" applyNumberFormat="1" applyFont="1" applyFill="1" applyBorder="1" applyAlignment="1">
      <alignment horizontal="center" vertical="center"/>
    </xf>
    <xf numFmtId="0" fontId="2" fillId="6" borderId="1" xfId="26" applyFont="1" applyFill="1" applyBorder="1" applyAlignment="1">
      <alignment vertical="center"/>
    </xf>
    <xf numFmtId="164" fontId="2" fillId="6" borderId="1" xfId="4" applyNumberFormat="1" applyFont="1" applyFill="1" applyBorder="1" applyAlignment="1">
      <alignment vertical="center"/>
    </xf>
    <xf numFmtId="165" fontId="46" fillId="0" borderId="0" xfId="0" applyNumberFormat="1" applyFont="1" applyFill="1" applyBorder="1" applyAlignment="1">
      <alignment horizontal="left" vertical="center"/>
    </xf>
    <xf numFmtId="43" fontId="6" fillId="2" borderId="1" xfId="4" applyNumberFormat="1" applyFont="1" applyFill="1" applyBorder="1" applyAlignment="1">
      <alignment vertical="center" wrapText="1"/>
    </xf>
    <xf numFmtId="164" fontId="13" fillId="13" borderId="1" xfId="4" applyNumberFormat="1" applyFont="1" applyFill="1" applyBorder="1" applyAlignment="1">
      <alignment horizontal="left" vertical="center" wrapText="1"/>
    </xf>
    <xf numFmtId="164" fontId="15" fillId="13" borderId="1" xfId="4" applyNumberFormat="1" applyFont="1" applyFill="1" applyBorder="1" applyAlignment="1">
      <alignment horizontal="left" vertical="center" wrapText="1"/>
    </xf>
    <xf numFmtId="164" fontId="15" fillId="8" borderId="1" xfId="4" applyNumberFormat="1" applyFont="1" applyFill="1" applyBorder="1" applyAlignment="1">
      <alignment horizontal="left" vertical="center" wrapText="1"/>
    </xf>
    <xf numFmtId="43" fontId="13" fillId="2" borderId="0" xfId="2" applyNumberFormat="1" applyFont="1" applyFill="1" applyBorder="1" applyAlignment="1">
      <alignment vertical="center"/>
    </xf>
    <xf numFmtId="164" fontId="15" fillId="3" borderId="15" xfId="4" applyNumberFormat="1" applyFont="1" applyFill="1" applyBorder="1" applyAlignment="1">
      <alignment horizontal="center" vertical="center"/>
    </xf>
    <xf numFmtId="0" fontId="45" fillId="4" borderId="1" xfId="0" applyFont="1" applyFill="1" applyBorder="1" applyAlignment="1">
      <alignment horizontal="center" vertical="center" wrapText="1"/>
    </xf>
    <xf numFmtId="3" fontId="46" fillId="4" borderId="1" xfId="18" applyNumberFormat="1" applyFont="1" applyFill="1" applyBorder="1" applyAlignment="1">
      <alignment horizontal="center" vertical="center"/>
    </xf>
    <xf numFmtId="0" fontId="46" fillId="4" borderId="1" xfId="0" quotePrefix="1" applyFont="1" applyFill="1" applyBorder="1" applyAlignment="1">
      <alignment horizontal="center" vertical="center"/>
    </xf>
    <xf numFmtId="3" fontId="46" fillId="4" borderId="1" xfId="18" quotePrefix="1" applyNumberFormat="1" applyFont="1" applyFill="1" applyBorder="1" applyAlignment="1">
      <alignment horizontal="left" vertical="center"/>
    </xf>
    <xf numFmtId="3" fontId="46" fillId="4" borderId="1" xfId="18" applyNumberFormat="1" applyFont="1" applyFill="1" applyBorder="1" applyAlignment="1">
      <alignment horizontal="left" vertical="center"/>
    </xf>
    <xf numFmtId="165" fontId="46" fillId="4" borderId="1" xfId="18" quotePrefix="1" applyNumberFormat="1" applyFont="1" applyFill="1" applyBorder="1" applyAlignment="1">
      <alignment horizontal="center" vertical="center"/>
    </xf>
    <xf numFmtId="165" fontId="46" fillId="4" borderId="1" xfId="4" quotePrefix="1" applyNumberFormat="1" applyFont="1" applyFill="1" applyBorder="1" applyAlignment="1">
      <alignment horizontal="center" vertical="center"/>
    </xf>
    <xf numFmtId="3" fontId="2" fillId="4" borderId="1" xfId="19" applyNumberFormat="1" applyFont="1" applyFill="1" applyBorder="1" applyAlignment="1">
      <alignment horizontal="center" vertical="center"/>
    </xf>
    <xf numFmtId="164" fontId="2" fillId="4" borderId="1" xfId="20" applyNumberFormat="1" applyFont="1" applyFill="1" applyBorder="1" applyAlignment="1">
      <alignment vertical="center"/>
    </xf>
    <xf numFmtId="164" fontId="2" fillId="4" borderId="1" xfId="4" applyNumberFormat="1" applyFont="1" applyFill="1" applyBorder="1" applyAlignment="1">
      <alignment vertical="center"/>
    </xf>
    <xf numFmtId="0" fontId="111" fillId="4" borderId="0" xfId="0" applyFont="1" applyFill="1" applyAlignment="1">
      <alignment horizontal="centerContinuous"/>
    </xf>
    <xf numFmtId="0" fontId="112" fillId="4" borderId="0" xfId="0" applyFont="1" applyFill="1" applyAlignment="1">
      <alignment horizontal="centerContinuous"/>
    </xf>
    <xf numFmtId="0" fontId="113" fillId="0" borderId="0" xfId="0" applyFont="1" applyAlignment="1">
      <alignment horizontal="centerContinuous"/>
    </xf>
    <xf numFmtId="0" fontId="114" fillId="0" borderId="0" xfId="0" applyFont="1" applyAlignment="1">
      <alignment horizontal="center"/>
    </xf>
    <xf numFmtId="0" fontId="114" fillId="0" borderId="0" xfId="0" applyFont="1"/>
    <xf numFmtId="0" fontId="23" fillId="0" borderId="0" xfId="0" applyFont="1"/>
    <xf numFmtId="0" fontId="114" fillId="0" borderId="0" xfId="0" applyFont="1" applyAlignment="1">
      <alignment horizontal="centerContinuous"/>
    </xf>
    <xf numFmtId="0" fontId="23" fillId="0" borderId="0" xfId="0" applyFont="1" applyAlignment="1">
      <alignment horizontal="centerContinuous"/>
    </xf>
    <xf numFmtId="164" fontId="13" fillId="2" borderId="0" xfId="4" applyNumberFormat="1" applyFont="1" applyFill="1" applyAlignment="1">
      <alignment horizontal="centerContinuous" vertical="center"/>
    </xf>
    <xf numFmtId="164" fontId="53" fillId="2" borderId="0" xfId="4" applyNumberFormat="1" applyFont="1" applyFill="1" applyAlignment="1">
      <alignment horizontal="centerContinuous" vertical="center"/>
    </xf>
    <xf numFmtId="164" fontId="17" fillId="2" borderId="2" xfId="4" applyNumberFormat="1" applyFont="1" applyFill="1" applyBorder="1" applyAlignment="1">
      <alignment vertical="center"/>
    </xf>
    <xf numFmtId="164" fontId="13" fillId="15" borderId="1" xfId="4" applyNumberFormat="1" applyFont="1" applyFill="1" applyBorder="1" applyAlignment="1">
      <alignment horizontal="center" vertical="center" wrapText="1"/>
    </xf>
    <xf numFmtId="164" fontId="13" fillId="2" borderId="2" xfId="4" applyNumberFormat="1" applyFont="1" applyFill="1" applyBorder="1" applyAlignment="1">
      <alignment horizontal="center" vertical="center" wrapText="1"/>
    </xf>
    <xf numFmtId="164" fontId="1" fillId="2" borderId="4" xfId="4" applyNumberFormat="1" applyFont="1" applyFill="1" applyBorder="1" applyAlignment="1">
      <alignment horizontal="center" vertical="center" wrapText="1"/>
    </xf>
    <xf numFmtId="164" fontId="17" fillId="2" borderId="3" xfId="4" applyNumberFormat="1" applyFont="1" applyFill="1" applyBorder="1" applyAlignment="1">
      <alignment vertical="center"/>
    </xf>
    <xf numFmtId="164" fontId="6" fillId="15" borderId="1" xfId="4" applyNumberFormat="1" applyFont="1" applyFill="1" applyBorder="1" applyAlignment="1">
      <alignment vertical="center"/>
    </xf>
    <xf numFmtId="164" fontId="15" fillId="15" borderId="1" xfId="4" applyNumberFormat="1" applyFont="1" applyFill="1" applyBorder="1" applyAlignment="1">
      <alignment horizontal="left" vertical="center"/>
    </xf>
    <xf numFmtId="164" fontId="13" fillId="15" borderId="1" xfId="4" applyNumberFormat="1" applyFont="1" applyFill="1" applyBorder="1" applyAlignment="1">
      <alignment horizontal="left" vertical="center"/>
    </xf>
    <xf numFmtId="164" fontId="13" fillId="15" borderId="1" xfId="4" applyNumberFormat="1" applyFont="1" applyFill="1" applyBorder="1" applyAlignment="1">
      <alignment horizontal="center" vertical="center"/>
    </xf>
    <xf numFmtId="164" fontId="13" fillId="15" borderId="1" xfId="4" applyNumberFormat="1" applyFont="1" applyFill="1" applyBorder="1" applyAlignment="1">
      <alignment vertical="center"/>
    </xf>
    <xf numFmtId="164" fontId="1" fillId="15" borderId="1" xfId="4" applyNumberFormat="1" applyFont="1" applyFill="1" applyBorder="1" applyAlignment="1">
      <alignment horizontal="left" vertical="center"/>
    </xf>
    <xf numFmtId="164" fontId="1" fillId="15" borderId="1" xfId="4" applyNumberFormat="1" applyFont="1" applyFill="1" applyBorder="1" applyAlignment="1">
      <alignment vertical="center"/>
    </xf>
    <xf numFmtId="164" fontId="2" fillId="4" borderId="1" xfId="4" applyNumberFormat="1" applyFont="1" applyFill="1" applyBorder="1" applyAlignment="1">
      <alignment horizontal="left" vertical="center"/>
    </xf>
    <xf numFmtId="164" fontId="6" fillId="2" borderId="1" xfId="4" applyNumberFormat="1" applyFont="1" applyFill="1" applyBorder="1" applyAlignment="1">
      <alignment vertical="center"/>
    </xf>
    <xf numFmtId="164" fontId="9" fillId="15" borderId="1" xfId="4" applyNumberFormat="1" applyFont="1" applyFill="1" applyBorder="1" applyAlignment="1">
      <alignment vertical="center"/>
    </xf>
    <xf numFmtId="164" fontId="1" fillId="2" borderId="2" xfId="4" applyNumberFormat="1" applyFont="1" applyFill="1" applyBorder="1" applyAlignment="1">
      <alignment vertical="center"/>
    </xf>
    <xf numFmtId="164" fontId="58" fillId="15" borderId="1" xfId="4" applyNumberFormat="1" applyFont="1" applyFill="1" applyBorder="1" applyAlignment="1">
      <alignment vertical="center"/>
    </xf>
    <xf numFmtId="164" fontId="2" fillId="2" borderId="2" xfId="4" applyNumberFormat="1" applyFont="1" applyFill="1" applyBorder="1" applyAlignment="1">
      <alignment horizontal="center" vertical="center"/>
    </xf>
    <xf numFmtId="164" fontId="13" fillId="2" borderId="0" xfId="4" applyNumberFormat="1" applyFont="1" applyFill="1" applyBorder="1" applyAlignment="1">
      <alignment vertical="center"/>
    </xf>
    <xf numFmtId="164" fontId="13" fillId="2" borderId="0" xfId="4" applyNumberFormat="1" applyFont="1" applyFill="1" applyBorder="1" applyAlignment="1">
      <alignment horizontal="centerContinuous" vertical="center"/>
    </xf>
    <xf numFmtId="164" fontId="13" fillId="2" borderId="0" xfId="4" applyNumberFormat="1" applyFont="1" applyFill="1" applyAlignment="1">
      <alignment vertical="center"/>
    </xf>
    <xf numFmtId="0" fontId="2" fillId="15" borderId="1" xfId="4" quotePrefix="1" applyNumberFormat="1" applyFont="1" applyFill="1" applyBorder="1" applyAlignment="1">
      <alignment horizontal="center" vertical="center" wrapText="1"/>
    </xf>
    <xf numFmtId="0" fontId="2" fillId="4" borderId="1" xfId="4" quotePrefix="1" applyNumberFormat="1" applyFont="1" applyFill="1" applyBorder="1" applyAlignment="1">
      <alignment horizontal="center" vertical="center" wrapText="1"/>
    </xf>
    <xf numFmtId="0" fontId="117" fillId="2" borderId="0" xfId="1" applyFont="1" applyFill="1" applyAlignment="1">
      <alignment horizontal="center" vertical="center" wrapText="1"/>
    </xf>
    <xf numFmtId="0" fontId="117" fillId="2" borderId="0" xfId="1" applyFont="1" applyFill="1" applyAlignment="1">
      <alignment horizontal="centerContinuous" vertical="center" wrapText="1"/>
    </xf>
    <xf numFmtId="0" fontId="118" fillId="5" borderId="8" xfId="2" applyNumberFormat="1" applyFont="1" applyFill="1" applyBorder="1" applyAlignment="1">
      <alignment horizontal="center" vertical="center" wrapText="1"/>
    </xf>
    <xf numFmtId="0" fontId="119" fillId="4" borderId="1" xfId="2" applyNumberFormat="1" applyFont="1" applyFill="1" applyBorder="1" applyAlignment="1">
      <alignment horizontal="center" vertical="center" wrapText="1"/>
    </xf>
    <xf numFmtId="164" fontId="121" fillId="2" borderId="2" xfId="2" applyNumberFormat="1" applyFont="1" applyFill="1" applyBorder="1" applyAlignment="1">
      <alignment horizontal="center" vertical="center" wrapText="1"/>
    </xf>
    <xf numFmtId="0" fontId="122" fillId="0" borderId="1" xfId="0" quotePrefix="1" applyFont="1" applyBorder="1" applyAlignment="1">
      <alignment horizontal="center"/>
    </xf>
    <xf numFmtId="164" fontId="121" fillId="2" borderId="1" xfId="2" applyNumberFormat="1" applyFont="1" applyFill="1" applyBorder="1" applyAlignment="1">
      <alignment horizontal="center" vertical="center" wrapText="1"/>
    </xf>
    <xf numFmtId="164" fontId="119" fillId="4" borderId="1" xfId="2" applyNumberFormat="1" applyFont="1" applyFill="1" applyBorder="1" applyAlignment="1">
      <alignment horizontal="center" vertical="center" wrapText="1"/>
    </xf>
    <xf numFmtId="164" fontId="121" fillId="2" borderId="4" xfId="2" applyNumberFormat="1" applyFont="1" applyFill="1" applyBorder="1" applyAlignment="1">
      <alignment horizontal="center" vertical="center" wrapText="1"/>
    </xf>
    <xf numFmtId="164" fontId="121" fillId="2" borderId="3" xfId="2" applyNumberFormat="1" applyFont="1" applyFill="1" applyBorder="1" applyAlignment="1">
      <alignment horizontal="center" vertical="center" wrapText="1"/>
    </xf>
    <xf numFmtId="164" fontId="123" fillId="2" borderId="1" xfId="2" applyNumberFormat="1" applyFont="1" applyFill="1" applyBorder="1" applyAlignment="1">
      <alignment horizontal="center" vertical="center" wrapText="1"/>
    </xf>
    <xf numFmtId="0" fontId="122" fillId="0" borderId="0" xfId="0" quotePrefix="1" applyFont="1" applyAlignment="1">
      <alignment horizontal="center"/>
    </xf>
    <xf numFmtId="164" fontId="117" fillId="2" borderId="1" xfId="2" applyNumberFormat="1" applyFont="1" applyFill="1" applyBorder="1" applyAlignment="1">
      <alignment horizontal="center" vertical="center" wrapText="1"/>
    </xf>
    <xf numFmtId="164" fontId="119" fillId="2" borderId="2" xfId="2" applyNumberFormat="1" applyFont="1" applyFill="1" applyBorder="1" applyAlignment="1">
      <alignment horizontal="center" vertical="center" wrapText="1"/>
    </xf>
    <xf numFmtId="164" fontId="124" fillId="2" borderId="1" xfId="2" applyNumberFormat="1" applyFont="1" applyFill="1" applyBorder="1" applyAlignment="1">
      <alignment horizontal="center" vertical="center" wrapText="1"/>
    </xf>
    <xf numFmtId="0" fontId="117" fillId="2" borderId="1" xfId="2" applyNumberFormat="1" applyFont="1" applyFill="1" applyBorder="1" applyAlignment="1">
      <alignment horizontal="center" vertical="center" wrapText="1"/>
    </xf>
    <xf numFmtId="0" fontId="117" fillId="2" borderId="0" xfId="1" applyNumberFormat="1" applyFont="1" applyFill="1" applyAlignment="1">
      <alignment horizontal="center" vertical="center" wrapText="1"/>
    </xf>
    <xf numFmtId="0" fontId="117" fillId="2" borderId="0" xfId="1" applyNumberFormat="1" applyFont="1" applyFill="1" applyAlignment="1">
      <alignment horizontal="centerContinuous" vertical="center" wrapText="1"/>
    </xf>
    <xf numFmtId="0" fontId="125" fillId="2" borderId="0" xfId="1" applyNumberFormat="1" applyFont="1" applyFill="1" applyAlignment="1">
      <alignment horizontal="center" vertical="center" wrapText="1"/>
    </xf>
    <xf numFmtId="0" fontId="125" fillId="2" borderId="0" xfId="1" applyFont="1" applyFill="1" applyAlignment="1">
      <alignment horizontal="center" vertical="center" wrapText="1"/>
    </xf>
    <xf numFmtId="0" fontId="14" fillId="2" borderId="7" xfId="0" applyFont="1" applyFill="1" applyBorder="1" applyAlignment="1">
      <alignment vertical="center"/>
    </xf>
    <xf numFmtId="0" fontId="14" fillId="2" borderId="7" xfId="0" applyFont="1" applyFill="1" applyBorder="1" applyAlignment="1">
      <alignment horizontal="center" vertical="center"/>
    </xf>
    <xf numFmtId="0" fontId="13" fillId="2" borderId="7" xfId="0" applyFont="1" applyFill="1" applyBorder="1" applyAlignment="1">
      <alignment horizontal="left" vertical="center" wrapText="1"/>
    </xf>
    <xf numFmtId="164" fontId="13" fillId="2" borderId="7" xfId="4" applyNumberFormat="1" applyFont="1" applyFill="1" applyBorder="1" applyAlignment="1">
      <alignment horizontal="center" vertical="center"/>
    </xf>
    <xf numFmtId="164" fontId="15" fillId="2" borderId="7" xfId="4" applyNumberFormat="1" applyFont="1" applyFill="1" applyBorder="1" applyAlignment="1">
      <alignment horizontal="center" vertical="center"/>
    </xf>
    <xf numFmtId="164" fontId="15" fillId="17" borderId="7" xfId="4" applyNumberFormat="1" applyFont="1" applyFill="1" applyBorder="1" applyAlignment="1">
      <alignment horizontal="center" vertical="center"/>
    </xf>
    <xf numFmtId="164" fontId="102" fillId="10" borderId="7" xfId="4" applyNumberFormat="1" applyFont="1" applyFill="1" applyBorder="1" applyAlignment="1">
      <alignment horizontal="center" vertical="center"/>
    </xf>
    <xf numFmtId="164" fontId="15" fillId="10" borderId="7" xfId="4" applyNumberFormat="1" applyFont="1" applyFill="1" applyBorder="1" applyAlignment="1">
      <alignment horizontal="center" vertical="center"/>
    </xf>
    <xf numFmtId="164" fontId="102" fillId="8" borderId="7" xfId="4" applyNumberFormat="1" applyFont="1" applyFill="1" applyBorder="1" applyAlignment="1">
      <alignment horizontal="center" vertical="center"/>
    </xf>
    <xf numFmtId="164" fontId="102" fillId="21" borderId="7" xfId="4" applyNumberFormat="1" applyFont="1" applyFill="1" applyBorder="1" applyAlignment="1">
      <alignment horizontal="center" vertical="center"/>
    </xf>
    <xf numFmtId="164" fontId="16" fillId="2" borderId="7" xfId="4" applyNumberFormat="1" applyFont="1" applyFill="1" applyBorder="1" applyAlignment="1">
      <alignment horizontal="left" vertical="center" wrapText="1"/>
    </xf>
    <xf numFmtId="43" fontId="30" fillId="0" borderId="7" xfId="6" applyNumberFormat="1" applyFont="1" applyFill="1" applyBorder="1" applyAlignment="1">
      <alignment horizontal="left" vertical="center" wrapText="1"/>
    </xf>
    <xf numFmtId="0" fontId="30" fillId="0" borderId="7" xfId="13" applyNumberFormat="1" applyFont="1" applyFill="1" applyBorder="1" applyAlignment="1">
      <alignment horizontal="center" vertical="center"/>
    </xf>
    <xf numFmtId="43" fontId="30" fillId="0" borderId="7" xfId="14" applyNumberFormat="1" applyFont="1" applyFill="1" applyBorder="1" applyAlignment="1">
      <alignment horizontal="left" vertical="center" wrapText="1"/>
    </xf>
    <xf numFmtId="164" fontId="31" fillId="0" borderId="7" xfId="6" applyNumberFormat="1" applyFont="1" applyFill="1" applyBorder="1" applyAlignment="1">
      <alignment horizontal="left" vertical="center" wrapText="1"/>
    </xf>
    <xf numFmtId="164" fontId="30" fillId="0" borderId="7" xfId="14" applyNumberFormat="1" applyFont="1" applyFill="1" applyBorder="1" applyAlignment="1">
      <alignment horizontal="left" vertical="center" wrapText="1"/>
    </xf>
    <xf numFmtId="0" fontId="39" fillId="0" borderId="0" xfId="3" applyNumberFormat="1" applyFont="1" applyFill="1" applyBorder="1" applyAlignment="1">
      <alignment horizontal="centerContinuous" vertical="center" wrapText="1"/>
    </xf>
    <xf numFmtId="0" fontId="115" fillId="4" borderId="0" xfId="0" applyFont="1" applyFill="1" applyAlignment="1">
      <alignment horizontal="center" vertical="center"/>
    </xf>
    <xf numFmtId="0" fontId="87" fillId="0" borderId="0" xfId="3" applyFont="1" applyFill="1" applyBorder="1" applyAlignment="1">
      <alignment horizontal="left" vertical="center" wrapText="1"/>
    </xf>
    <xf numFmtId="0" fontId="15" fillId="4" borderId="6" xfId="1" applyNumberFormat="1" applyFont="1" applyFill="1" applyBorder="1" applyAlignment="1">
      <alignment horizontal="center" vertical="center" wrapText="1"/>
    </xf>
    <xf numFmtId="0" fontId="15" fillId="4" borderId="5" xfId="1" applyNumberFormat="1" applyFont="1" applyFill="1" applyBorder="1" applyAlignment="1">
      <alignment horizontal="center" vertical="center" wrapText="1"/>
    </xf>
    <xf numFmtId="0" fontId="78" fillId="17" borderId="9" xfId="4" applyNumberFormat="1" applyFont="1" applyFill="1" applyBorder="1" applyAlignment="1">
      <alignment horizontal="center" vertical="center" wrapText="1"/>
    </xf>
    <xf numFmtId="0" fontId="78" fillId="17" borderId="2" xfId="4" applyNumberFormat="1" applyFont="1" applyFill="1" applyBorder="1" applyAlignment="1">
      <alignment horizontal="center" vertical="center" wrapText="1"/>
    </xf>
    <xf numFmtId="0" fontId="78" fillId="17" borderId="8" xfId="4" applyNumberFormat="1" applyFont="1" applyFill="1" applyBorder="1" applyAlignment="1">
      <alignment horizontal="center" vertical="center" wrapText="1"/>
    </xf>
    <xf numFmtId="0" fontId="14" fillId="15" borderId="9" xfId="2" applyNumberFormat="1" applyFont="1" applyFill="1" applyBorder="1" applyAlignment="1">
      <alignment horizontal="center" vertical="center" wrapText="1"/>
    </xf>
    <xf numFmtId="0" fontId="14" fillId="15" borderId="8" xfId="2" applyNumberFormat="1" applyFont="1" applyFill="1" applyBorder="1" applyAlignment="1">
      <alignment horizontal="center" vertical="center" wrapText="1"/>
    </xf>
    <xf numFmtId="0" fontId="14" fillId="15" borderId="2" xfId="2" applyNumberFormat="1" applyFont="1" applyFill="1" applyBorder="1" applyAlignment="1">
      <alignment horizontal="center" vertical="center" wrapText="1"/>
    </xf>
    <xf numFmtId="3" fontId="46" fillId="2" borderId="6" xfId="18" applyNumberFormat="1" applyFont="1" applyFill="1" applyBorder="1" applyAlignment="1">
      <alignment horizontal="right" vertical="center"/>
    </xf>
    <xf numFmtId="3" fontId="46" fillId="2" borderId="5" xfId="18" applyNumberFormat="1" applyFont="1" applyFill="1" applyBorder="1" applyAlignment="1">
      <alignment horizontal="right" vertical="center"/>
    </xf>
    <xf numFmtId="0" fontId="45" fillId="4" borderId="1" xfId="0" applyFont="1" applyFill="1" applyBorder="1" applyAlignment="1">
      <alignment horizontal="center" vertical="center" wrapText="1"/>
    </xf>
    <xf numFmtId="0" fontId="45" fillId="17" borderId="1" xfId="0" applyFont="1" applyFill="1" applyBorder="1" applyAlignment="1">
      <alignment horizontal="center" vertical="center" wrapText="1"/>
    </xf>
    <xf numFmtId="0" fontId="45" fillId="4" borderId="6" xfId="0" applyFont="1" applyFill="1" applyBorder="1" applyAlignment="1">
      <alignment horizontal="center" vertical="center" wrapText="1"/>
    </xf>
    <xf numFmtId="0" fontId="45" fillId="4" borderId="5" xfId="0" applyFont="1" applyFill="1" applyBorder="1" applyAlignment="1">
      <alignment horizontal="center" vertical="center" wrapText="1"/>
    </xf>
    <xf numFmtId="0" fontId="45" fillId="4" borderId="9" xfId="0" applyFont="1" applyFill="1" applyBorder="1" applyAlignment="1">
      <alignment horizontal="center" vertical="center" wrapText="1"/>
    </xf>
    <xf numFmtId="0" fontId="45" fillId="4" borderId="8" xfId="0" applyFont="1" applyFill="1" applyBorder="1" applyAlignment="1">
      <alignment horizontal="center" vertical="center" wrapText="1"/>
    </xf>
    <xf numFmtId="3" fontId="45" fillId="4" borderId="6" xfId="0" applyNumberFormat="1" applyFont="1" applyFill="1" applyBorder="1" applyAlignment="1">
      <alignment horizontal="center" vertical="center" wrapText="1"/>
    </xf>
    <xf numFmtId="3" fontId="45" fillId="4" borderId="5" xfId="0" applyNumberFormat="1" applyFont="1" applyFill="1" applyBorder="1" applyAlignment="1">
      <alignment horizontal="center" vertical="center" wrapText="1"/>
    </xf>
    <xf numFmtId="164" fontId="45" fillId="4" borderId="6" xfId="4" applyNumberFormat="1" applyFont="1" applyFill="1" applyBorder="1" applyAlignment="1">
      <alignment horizontal="center" vertical="center" wrapText="1"/>
    </xf>
    <xf numFmtId="164" fontId="45" fillId="4" borderId="5" xfId="4" applyNumberFormat="1" applyFont="1" applyFill="1" applyBorder="1" applyAlignment="1">
      <alignment horizontal="center" vertical="center" wrapText="1"/>
    </xf>
    <xf numFmtId="0" fontId="45" fillId="4" borderId="22" xfId="0" applyFont="1" applyFill="1" applyBorder="1" applyAlignment="1">
      <alignment horizontal="center" vertical="center"/>
    </xf>
    <xf numFmtId="0" fontId="45" fillId="4" borderId="13" xfId="0" applyFont="1" applyFill="1" applyBorder="1" applyAlignment="1">
      <alignment horizontal="center" vertical="center"/>
    </xf>
    <xf numFmtId="0" fontId="45" fillId="4" borderId="11" xfId="0" applyFont="1" applyFill="1" applyBorder="1" applyAlignment="1">
      <alignment horizontal="center" vertical="center"/>
    </xf>
    <xf numFmtId="0" fontId="45" fillId="4" borderId="12" xfId="0" applyFont="1" applyFill="1" applyBorder="1" applyAlignment="1">
      <alignment horizontal="center" vertical="center"/>
    </xf>
    <xf numFmtId="0" fontId="45" fillId="17" borderId="6" xfId="0" applyFont="1" applyFill="1" applyBorder="1" applyAlignment="1">
      <alignment horizontal="center" vertical="center" wrapText="1"/>
    </xf>
    <xf numFmtId="0" fontId="45" fillId="17" borderId="5" xfId="0" applyFont="1" applyFill="1" applyBorder="1" applyAlignment="1">
      <alignment horizontal="center" vertical="center" wrapText="1"/>
    </xf>
    <xf numFmtId="3" fontId="45" fillId="17" borderId="1" xfId="0" applyNumberFormat="1" applyFont="1" applyFill="1" applyBorder="1" applyAlignment="1">
      <alignment horizontal="center" vertical="center" wrapText="1"/>
    </xf>
    <xf numFmtId="0" fontId="45" fillId="17" borderId="22" xfId="0" applyFont="1" applyFill="1" applyBorder="1" applyAlignment="1">
      <alignment horizontal="center" vertical="center"/>
    </xf>
    <xf numFmtId="0" fontId="45" fillId="17" borderId="13" xfId="0" applyFont="1" applyFill="1" applyBorder="1" applyAlignment="1">
      <alignment horizontal="center" vertical="center"/>
    </xf>
    <xf numFmtId="0" fontId="45" fillId="17" borderId="11" xfId="0" applyFont="1" applyFill="1" applyBorder="1" applyAlignment="1">
      <alignment horizontal="center" vertical="center"/>
    </xf>
    <xf numFmtId="0" fontId="45" fillId="17" borderId="12" xfId="0" applyFont="1" applyFill="1" applyBorder="1" applyAlignment="1">
      <alignment horizontal="center" vertical="center"/>
    </xf>
    <xf numFmtId="164" fontId="45" fillId="17" borderId="6" xfId="4" applyNumberFormat="1" applyFont="1" applyFill="1" applyBorder="1" applyAlignment="1">
      <alignment horizontal="center" vertical="center" wrapText="1"/>
    </xf>
    <xf numFmtId="164" fontId="45" fillId="17" borderId="5" xfId="4" applyNumberFormat="1" applyFont="1" applyFill="1" applyBorder="1" applyAlignment="1">
      <alignment horizontal="center" vertical="center" wrapText="1"/>
    </xf>
    <xf numFmtId="3" fontId="45" fillId="4" borderId="1" xfId="0" applyNumberFormat="1" applyFont="1" applyFill="1" applyBorder="1" applyAlignment="1">
      <alignment horizontal="center" vertical="center" wrapText="1"/>
    </xf>
    <xf numFmtId="164" fontId="45" fillId="4" borderId="1" xfId="4" applyNumberFormat="1" applyFont="1" applyFill="1" applyBorder="1" applyAlignment="1">
      <alignment horizontal="center" vertical="center" wrapText="1"/>
    </xf>
    <xf numFmtId="3" fontId="72" fillId="14" borderId="1" xfId="0" applyNumberFormat="1" applyFont="1" applyFill="1" applyBorder="1" applyAlignment="1">
      <alignment horizontal="center" vertical="center" wrapText="1"/>
    </xf>
    <xf numFmtId="0" fontId="76" fillId="0" borderId="9" xfId="0" applyFont="1" applyBorder="1" applyAlignment="1">
      <alignment horizontal="center" vertical="center" wrapText="1"/>
    </xf>
    <xf numFmtId="0" fontId="76" fillId="0" borderId="8" xfId="0" applyFont="1" applyBorder="1" applyAlignment="1">
      <alignment horizontal="center" vertical="center" wrapText="1"/>
    </xf>
    <xf numFmtId="0" fontId="73" fillId="0" borderId="0" xfId="24" applyFont="1" applyFill="1" applyAlignment="1">
      <alignment horizontal="center" vertical="center"/>
    </xf>
    <xf numFmtId="0" fontId="73" fillId="0" borderId="0" xfId="24" applyFont="1" applyFill="1" applyAlignment="1">
      <alignment horizontal="center"/>
    </xf>
    <xf numFmtId="0" fontId="72" fillId="14" borderId="6" xfId="0" applyFont="1" applyFill="1" applyBorder="1" applyAlignment="1">
      <alignment horizontal="center" vertical="center" wrapText="1"/>
    </xf>
    <xf numFmtId="0" fontId="72" fillId="14" borderId="7" xfId="0" applyFont="1" applyFill="1" applyBorder="1" applyAlignment="1">
      <alignment horizontal="center" vertical="center" wrapText="1"/>
    </xf>
    <xf numFmtId="0" fontId="72" fillId="14" borderId="5" xfId="0" applyFont="1" applyFill="1" applyBorder="1" applyAlignment="1">
      <alignment horizontal="center" vertical="center" wrapText="1"/>
    </xf>
    <xf numFmtId="3" fontId="72" fillId="14" borderId="22" xfId="0" applyNumberFormat="1" applyFont="1" applyFill="1" applyBorder="1" applyAlignment="1">
      <alignment horizontal="center" vertical="center" wrapText="1"/>
    </xf>
    <xf numFmtId="3" fontId="72" fillId="14" borderId="4" xfId="0" applyNumberFormat="1" applyFont="1" applyFill="1" applyBorder="1" applyAlignment="1">
      <alignment horizontal="center" vertical="center" wrapText="1"/>
    </xf>
    <xf numFmtId="3" fontId="72" fillId="14" borderId="13" xfId="0" applyNumberFormat="1" applyFont="1" applyFill="1" applyBorder="1" applyAlignment="1">
      <alignment horizontal="center" vertical="center" wrapText="1"/>
    </xf>
    <xf numFmtId="3" fontId="72" fillId="14" borderId="11" xfId="0" applyNumberFormat="1" applyFont="1" applyFill="1" applyBorder="1" applyAlignment="1">
      <alignment horizontal="center" vertical="center" wrapText="1"/>
    </xf>
    <xf numFmtId="3" fontId="72" fillId="14" borderId="3" xfId="0" applyNumberFormat="1" applyFont="1" applyFill="1" applyBorder="1" applyAlignment="1">
      <alignment horizontal="center" vertical="center" wrapText="1"/>
    </xf>
    <xf numFmtId="3" fontId="72" fillId="14" borderId="12" xfId="0" applyNumberFormat="1" applyFont="1" applyFill="1" applyBorder="1" applyAlignment="1">
      <alignment horizontal="center" vertical="center" wrapText="1"/>
    </xf>
    <xf numFmtId="43" fontId="36" fillId="7" borderId="10" xfId="6" applyNumberFormat="1" applyFont="1" applyFill="1" applyBorder="1" applyAlignment="1">
      <alignment horizontal="center" vertical="center" wrapText="1"/>
    </xf>
    <xf numFmtId="43" fontId="36" fillId="7" borderId="0" xfId="6" applyNumberFormat="1" applyFont="1" applyFill="1" applyBorder="1" applyAlignment="1">
      <alignment horizontal="center" vertical="center" wrapText="1"/>
    </xf>
    <xf numFmtId="0" fontId="15" fillId="4" borderId="5" xfId="1" applyNumberFormat="1" applyFont="1" applyFill="1" applyBorder="1" applyAlignment="1">
      <alignment horizontal="center" vertical="center"/>
    </xf>
    <xf numFmtId="0" fontId="51" fillId="17" borderId="1" xfId="4" applyNumberFormat="1" applyFont="1" applyFill="1" applyBorder="1" applyAlignment="1">
      <alignment horizontal="center" vertical="center" wrapText="1"/>
    </xf>
    <xf numFmtId="0" fontId="19" fillId="15" borderId="9" xfId="2" applyNumberFormat="1" applyFont="1" applyFill="1" applyBorder="1" applyAlignment="1">
      <alignment horizontal="center" vertical="center" wrapText="1"/>
    </xf>
    <xf numFmtId="0" fontId="19" fillId="15" borderId="2" xfId="2" applyNumberFormat="1" applyFont="1" applyFill="1" applyBorder="1" applyAlignment="1">
      <alignment horizontal="center" vertical="center" wrapText="1"/>
    </xf>
    <xf numFmtId="0" fontId="19" fillId="15" borderId="8" xfId="2" applyNumberFormat="1" applyFont="1" applyFill="1" applyBorder="1" applyAlignment="1">
      <alignment horizontal="center" vertical="center" wrapText="1"/>
    </xf>
  </cellXfs>
  <cellStyles count="27">
    <cellStyle name="Comma" xfId="4" builtinId="3"/>
    <cellStyle name="Comma 10 2" xfId="10"/>
    <cellStyle name="Comma 10 4" xfId="11"/>
    <cellStyle name="Comma 2" xfId="25"/>
    <cellStyle name="Comma 2 2" xfId="2"/>
    <cellStyle name="Comma 21 2" xfId="9"/>
    <cellStyle name="Comma 3 5 2" xfId="14"/>
    <cellStyle name="Comma 30" xfId="23"/>
    <cellStyle name="Comma 5" xfId="20"/>
    <cellStyle name="Currency 5" xfId="15"/>
    <cellStyle name="Hyperlink 2" xfId="22"/>
    <cellStyle name="Normal" xfId="0" builtinId="0"/>
    <cellStyle name="Normal 10" xfId="1"/>
    <cellStyle name="Normal 10 3" xfId="13"/>
    <cellStyle name="Normal 2" xfId="16"/>
    <cellStyle name="Normal 2 2" xfId="26"/>
    <cellStyle name="Normal 3" xfId="24"/>
    <cellStyle name="Normal 31" xfId="21"/>
    <cellStyle name="Normal 31 2" xfId="7"/>
    <cellStyle name="Normal 35 2" xfId="12"/>
    <cellStyle name="Normal 37" xfId="8"/>
    <cellStyle name="Normal 4" xfId="18"/>
    <cellStyle name="Normal_Gemadept Billing schedule 4" xfId="19"/>
    <cellStyle name="Normal_Mau BCKQKD VC 10.8.2005 (1)" xfId="3"/>
    <cellStyle name="Normal_Mau BCKQKD VC 10.8.2005 (1) 2" xfId="6"/>
    <cellStyle name="Percent" xfId="5" builtinId="5"/>
    <cellStyle name="Percent 14 2" xfId="17"/>
  </cellStyles>
  <dxfs count="15">
    <dxf>
      <font>
        <b val="0"/>
        <i val="0"/>
        <condense val="0"/>
        <extend val="0"/>
        <color indexed="9"/>
      </font>
    </dxf>
    <dxf>
      <font>
        <b val="0"/>
        <i val="0"/>
        <condense val="0"/>
        <extend val="0"/>
        <color indexed="9"/>
      </font>
    </dxf>
    <dxf>
      <font>
        <color rgb="FF9C0006"/>
      </font>
      <fill>
        <patternFill>
          <bgColor rgb="FFFFC7CE"/>
        </patternFill>
      </fill>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b val="0"/>
        <i val="0"/>
        <condense val="0"/>
        <extend val="0"/>
        <color indexed="9"/>
      </font>
    </dxf>
    <dxf>
      <font>
        <color rgb="FF9C0006"/>
      </font>
      <fill>
        <patternFill>
          <bgColor rgb="FFFFC7CE"/>
        </patternFill>
      </fill>
    </dxf>
    <dxf>
      <font>
        <b val="0"/>
        <i val="0"/>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externalLink" Target="externalLinks/externalLink62.xml"/><Relationship Id="rId89" Type="http://schemas.openxmlformats.org/officeDocument/2006/relationships/externalLink" Target="externalLinks/externalLink67.xml"/><Relationship Id="rId112"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externalLink" Target="externalLinks/externalLink85.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102" Type="http://schemas.openxmlformats.org/officeDocument/2006/relationships/externalLink" Target="externalLinks/externalLink80.xml"/><Relationship Id="rId5" Type="http://schemas.openxmlformats.org/officeDocument/2006/relationships/worksheet" Target="worksheets/sheet5.xml"/><Relationship Id="rId90" Type="http://schemas.openxmlformats.org/officeDocument/2006/relationships/externalLink" Target="externalLinks/externalLink68.xml"/><Relationship Id="rId95" Type="http://schemas.openxmlformats.org/officeDocument/2006/relationships/externalLink" Target="externalLinks/externalLink73.xml"/><Relationship Id="rId22" Type="http://schemas.openxmlformats.org/officeDocument/2006/relationships/worksheet" Target="worksheets/sheet22.xml"/><Relationship Id="rId27" Type="http://schemas.openxmlformats.org/officeDocument/2006/relationships/externalLink" Target="externalLinks/externalLink5.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80" Type="http://schemas.openxmlformats.org/officeDocument/2006/relationships/externalLink" Target="externalLinks/externalLink58.xml"/><Relationship Id="rId85" Type="http://schemas.openxmlformats.org/officeDocument/2006/relationships/externalLink" Target="externalLinks/externalLink63.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59" Type="http://schemas.openxmlformats.org/officeDocument/2006/relationships/externalLink" Target="externalLinks/externalLink37.xml"/><Relationship Id="rId103" Type="http://schemas.openxmlformats.org/officeDocument/2006/relationships/externalLink" Target="externalLinks/externalLink81.xml"/><Relationship Id="rId108" Type="http://schemas.openxmlformats.org/officeDocument/2006/relationships/externalLink" Target="externalLinks/externalLink86.xml"/><Relationship Id="rId54" Type="http://schemas.openxmlformats.org/officeDocument/2006/relationships/externalLink" Target="externalLinks/externalLink32.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91" Type="http://schemas.openxmlformats.org/officeDocument/2006/relationships/externalLink" Target="externalLinks/externalLink69.xml"/><Relationship Id="rId96" Type="http://schemas.openxmlformats.org/officeDocument/2006/relationships/externalLink" Target="externalLinks/externalLink7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6" Type="http://schemas.openxmlformats.org/officeDocument/2006/relationships/externalLink" Target="externalLinks/externalLink84.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externalLink" Target="externalLinks/externalLink64.xml"/><Relationship Id="rId94" Type="http://schemas.openxmlformats.org/officeDocument/2006/relationships/externalLink" Target="externalLinks/externalLink72.xml"/><Relationship Id="rId99" Type="http://schemas.openxmlformats.org/officeDocument/2006/relationships/externalLink" Target="externalLinks/externalLink77.xml"/><Relationship Id="rId101" Type="http://schemas.openxmlformats.org/officeDocument/2006/relationships/externalLink" Target="externalLinks/externalLink7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109" Type="http://schemas.openxmlformats.org/officeDocument/2006/relationships/theme" Target="theme/theme1.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97" Type="http://schemas.openxmlformats.org/officeDocument/2006/relationships/externalLink" Target="externalLinks/externalLink75.xml"/><Relationship Id="rId104" Type="http://schemas.openxmlformats.org/officeDocument/2006/relationships/externalLink" Target="externalLinks/externalLink82.xml"/><Relationship Id="rId7" Type="http://schemas.openxmlformats.org/officeDocument/2006/relationships/worksheet" Target="worksheets/sheet7.xml"/><Relationship Id="rId71" Type="http://schemas.openxmlformats.org/officeDocument/2006/relationships/externalLink" Target="externalLinks/externalLink49.xml"/><Relationship Id="rId92" Type="http://schemas.openxmlformats.org/officeDocument/2006/relationships/externalLink" Target="externalLinks/externalLink70.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87" Type="http://schemas.openxmlformats.org/officeDocument/2006/relationships/externalLink" Target="externalLinks/externalLink65.xml"/><Relationship Id="rId110" Type="http://schemas.openxmlformats.org/officeDocument/2006/relationships/styles" Target="styles.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56" Type="http://schemas.openxmlformats.org/officeDocument/2006/relationships/externalLink" Target="externalLinks/externalLink34.xml"/><Relationship Id="rId77" Type="http://schemas.openxmlformats.org/officeDocument/2006/relationships/externalLink" Target="externalLinks/externalLink55.xml"/><Relationship Id="rId100" Type="http://schemas.openxmlformats.org/officeDocument/2006/relationships/externalLink" Target="externalLinks/externalLink78.xml"/><Relationship Id="rId105" Type="http://schemas.openxmlformats.org/officeDocument/2006/relationships/externalLink" Target="externalLinks/externalLink83.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93" Type="http://schemas.openxmlformats.org/officeDocument/2006/relationships/externalLink" Target="externalLinks/externalLink71.xml"/><Relationship Id="rId98" Type="http://schemas.openxmlformats.org/officeDocument/2006/relationships/externalLink" Target="externalLinks/externalLink76.xml"/><Relationship Id="rId3" Type="http://schemas.openxmlformats.org/officeDocument/2006/relationships/worksheet" Target="worksheets/sheet3.xml"/><Relationship Id="rId25" Type="http://schemas.openxmlformats.org/officeDocument/2006/relationships/externalLink" Target="externalLinks/externalLink3.xml"/><Relationship Id="rId46" Type="http://schemas.openxmlformats.org/officeDocument/2006/relationships/externalLink" Target="externalLinks/externalLink24.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62" Type="http://schemas.openxmlformats.org/officeDocument/2006/relationships/externalLink" Target="externalLinks/externalLink40.xml"/><Relationship Id="rId83" Type="http://schemas.openxmlformats.org/officeDocument/2006/relationships/externalLink" Target="externalLinks/externalLink61.xml"/><Relationship Id="rId88" Type="http://schemas.openxmlformats.org/officeDocument/2006/relationships/externalLink" Target="externalLinks/externalLink66.xml"/><Relationship Id="rId111"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spPr>
            <a:ln>
              <a:solidFill>
                <a:schemeClr val="accent1"/>
              </a:solidFill>
            </a:ln>
          </c:spPr>
          <c:explosion val="25"/>
          <c:dLbls>
            <c:dLbl>
              <c:idx val="0"/>
              <c:layout/>
              <c:tx>
                <c:rich>
                  <a:bodyPr/>
                  <a:lstStyle/>
                  <a:p>
                    <a:r>
                      <a:rPr lang="vi-VN">
                        <a:latin typeface="Calibri" pitchFamily="34" charset="0"/>
                        <a:cs typeface="Calibri" pitchFamily="34" charset="0"/>
                      </a:rPr>
                      <a:t>Phí quản lý khu căn hộ/ Management Fee for Residents ,  21,969,228,000 , 68%</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tx>
                <c:rich>
                  <a:bodyPr/>
                  <a:lstStyle/>
                  <a:p>
                    <a:r>
                      <a:rPr lang="vi-VN" sz="1000">
                        <a:latin typeface="Calibri" pitchFamily="34" charset="0"/>
                        <a:cs typeface="Calibri" pitchFamily="34" charset="0"/>
                      </a:rPr>
                      <a:t>Phí quản lý khu thương mại, căn hộ dịch vụ, văn phòng/ Management Fee from Retail, Service Apartment &amp; Office,  830,400,000 , 2%</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2"/>
              <c:layout/>
              <c:tx>
                <c:rich>
                  <a:bodyPr/>
                  <a:lstStyle/>
                  <a:p>
                    <a:r>
                      <a:rPr lang="en-US">
                        <a:latin typeface="Calibri" pitchFamily="34" charset="0"/>
                        <a:cs typeface="Calibri" pitchFamily="34" charset="0"/>
                      </a:rPr>
                      <a:t>Phí đậu xe/ Parking fee,  5,559,600,000 , 17%</a:t>
                    </a:r>
                  </a:p>
                </c:rich>
              </c:tx>
              <c:dLblPos val="bestFit"/>
              <c:showLegendKey val="0"/>
              <c:showVal val="1"/>
              <c:showCatName val="1"/>
              <c:showSerName val="0"/>
              <c:showPercent val="1"/>
              <c:showBubbleSize val="0"/>
              <c:extLst>
                <c:ext xmlns:c15="http://schemas.microsoft.com/office/drawing/2012/chart" uri="{CE6537A1-D6FC-4f65-9D91-7224C49458BB}">
                  <c15:layout/>
                </c:ext>
              </c:extLst>
            </c:dLbl>
            <c:numFmt formatCode="General" sourceLinked="0"/>
            <c:spPr>
              <a:ln>
                <a:noFill/>
              </a:ln>
            </c:spPr>
            <c:txPr>
              <a:bodyPr/>
              <a:lstStyle/>
              <a:p>
                <a:pPr>
                  <a:defRPr sz="1000" b="1"/>
                </a:pPr>
                <a:endParaRPr lang="en-US"/>
              </a:p>
            </c:txPr>
            <c:dLblPos val="bestFit"/>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'Summary 2018 - MF'!$B$11:$B$15</c:f>
              <c:strCache>
                <c:ptCount val="5"/>
                <c:pt idx="0">
                  <c:v>Phí quản lý khu căn hộ/ Management Fee for Residents </c:v>
                </c:pt>
                <c:pt idx="1">
                  <c:v>Phí quản lý khu thương mại, căn hộ dịch vụ, văn phòng/ Management Fee from Retail, Service Apartment &amp; Office</c:v>
                </c:pt>
                <c:pt idx="2">
                  <c:v>Phí đậu xe/ Parking fee</c:v>
                </c:pt>
                <c:pt idx="3">
                  <c:v>Phí quảng cáo/ Advertising</c:v>
                </c:pt>
                <c:pt idx="4">
                  <c:v>Thu khác/ Others</c:v>
                </c:pt>
              </c:strCache>
            </c:strRef>
          </c:cat>
          <c:val>
            <c:numRef>
              <c:f>'Summary 2018 - MF'!$D$11:$D$15</c:f>
              <c:numCache>
                <c:formatCode>_(* #,##0_);_(* \(#,##0\);_(* "-"??_);_(@_)</c:formatCode>
                <c:ptCount val="5"/>
                <c:pt idx="0">
                  <c:v>21969227999.999977</c:v>
                </c:pt>
                <c:pt idx="1">
                  <c:v>830400000</c:v>
                </c:pt>
                <c:pt idx="2">
                  <c:v>0</c:v>
                </c:pt>
                <c:pt idx="3">
                  <c:v>0</c:v>
                </c:pt>
                <c:pt idx="4">
                  <c:v>3554555630.3030252</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rAngAx val="0"/>
    </c:view3D>
    <c:floor>
      <c:thickness val="0"/>
    </c:floor>
    <c:sideWall>
      <c:thickness val="0"/>
    </c:sideWall>
    <c:backWall>
      <c:thickness val="0"/>
    </c:backWall>
    <c:plotArea>
      <c:layout/>
      <c:pie3DChart>
        <c:varyColors val="1"/>
        <c:ser>
          <c:idx val="0"/>
          <c:order val="0"/>
          <c:explosion val="25"/>
          <c:dLbls>
            <c:dLbl>
              <c:idx val="1"/>
              <c:layout>
                <c:manualLayout>
                  <c:x val="8.0748280900176078E-2"/>
                  <c:y val="-5.0029479026657303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3"/>
              <c:layout>
                <c:manualLayout>
                  <c:x val="9.4869052783727689E-2"/>
                  <c:y val="-5.9116776499964066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spPr>
              <a:ln>
                <a:noFill/>
              </a:ln>
            </c:spPr>
            <c:txPr>
              <a:bodyPr/>
              <a:lstStyle/>
              <a:p>
                <a:pPr>
                  <a:defRPr sz="1000" b="1"/>
                </a:pPr>
                <a:endParaRPr lang="en-US"/>
              </a:p>
            </c:txPr>
            <c:dLblPos val="bestFit"/>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'Summary 2018 - MF'!$B$21:$B$24</c:f>
              <c:strCache>
                <c:ptCount val="4"/>
                <c:pt idx="0">
                  <c:v>Chi phí hành chính
Administrative expenses</c:v>
                </c:pt>
                <c:pt idx="1">
                  <c:v>Hợp đồng thuê ngoài
Outsourced services contract </c:v>
                </c:pt>
                <c:pt idx="2">
                  <c:v>Chi phí sửa chữa, bảo trì hệ thống tòa nhà
Building system / facilities / repair &amp; maintenance</c:v>
                </c:pt>
                <c:pt idx="3">
                  <c:v>Chi phí tiện ích
Utilities</c:v>
                </c:pt>
              </c:strCache>
            </c:strRef>
          </c:cat>
          <c:val>
            <c:numRef>
              <c:f>'Summary 2018 - MF'!$D$21:$D$24</c:f>
              <c:numCache>
                <c:formatCode>_(* #,##0_);_(* \(#,##0\);_(* "-"??_);_(@_)</c:formatCode>
                <c:ptCount val="4"/>
                <c:pt idx="0">
                  <c:v>8983298001.3333359</c:v>
                </c:pt>
                <c:pt idx="1">
                  <c:v>7827185249.9047613</c:v>
                </c:pt>
                <c:pt idx="2">
                  <c:v>5938119333.333333</c:v>
                </c:pt>
                <c:pt idx="3">
                  <c:v>7474865841.9488964</c:v>
                </c:pt>
              </c:numCache>
            </c:numRef>
          </c:val>
        </c:ser>
        <c:dLbls>
          <c:showLegendKey val="0"/>
          <c:showVal val="0"/>
          <c:showCatName val="0"/>
          <c:showSerName val="0"/>
          <c:showPercent val="0"/>
          <c:showBubbleSize val="0"/>
          <c:showLeaderLines val="1"/>
        </c:dLbls>
      </c:pie3DChart>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dLbls>
            <c:dLbl>
              <c:idx val="0"/>
              <c:layout>
                <c:manualLayout>
                  <c:x val="-0.10769726528901391"/>
                  <c:y val="0.32555798858320889"/>
                </c:manualLayout>
              </c:layout>
              <c:tx>
                <c:rich>
                  <a:bodyPr/>
                  <a:lstStyle/>
                  <a:p>
                    <a:fld id="{C011FAA1-450C-453B-8F17-C24AA740A41D}" type="CATEGORYNAME">
                      <a:rPr lang="vi-VN" sz="1000">
                        <a:latin typeface="Calibri" panose="020F0502020204030204" pitchFamily="34" charset="0"/>
                        <a:cs typeface="Calibri" panose="020F0502020204030204" pitchFamily="34" charset="0"/>
                      </a:rPr>
                      <a:pPr/>
                      <a:t>[CATEGORY NAME]</a:t>
                    </a:fld>
                    <a:r>
                      <a:rPr lang="vi-VN" sz="1000" baseline="0">
                        <a:latin typeface="Calibri" panose="020F0502020204030204" pitchFamily="34" charset="0"/>
                        <a:cs typeface="Calibri" panose="020F0502020204030204" pitchFamily="34" charset="0"/>
                      </a:rPr>
                      <a:t>, </a:t>
                    </a:r>
                    <a:fld id="{41A3A423-8928-4090-B14D-08160A7EA3C7}" type="VALUE">
                      <a:rPr lang="vi-VN" sz="1000" baseline="0">
                        <a:latin typeface="Calibri" panose="020F0502020204030204" pitchFamily="34" charset="0"/>
                        <a:cs typeface="Calibri" panose="020F0502020204030204" pitchFamily="34" charset="0"/>
                      </a:rPr>
                      <a:pPr/>
                      <a:t>[VALUE]</a:t>
                    </a:fld>
                    <a:endParaRPr lang="vi-VN" sz="1000" baseline="0">
                      <a:latin typeface="Calibri" panose="020F0502020204030204" pitchFamily="34" charset="0"/>
                      <a:cs typeface="Calibri" panose="020F0502020204030204" pitchFamily="34" charset="0"/>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dLbl>
              <c:idx val="1"/>
              <c:layout>
                <c:manualLayout>
                  <c:x val="-9.4509845049542823E-2"/>
                  <c:y val="0.29985604211611344"/>
                </c:manualLayout>
              </c:layout>
              <c:showLegendKey val="0"/>
              <c:showVal val="1"/>
              <c:showCatName val="1"/>
              <c:showSerName val="0"/>
              <c:showPercent val="0"/>
              <c:showBubbleSize val="0"/>
              <c:extLst>
                <c:ext xmlns:c15="http://schemas.microsoft.com/office/drawing/2012/chart" uri="{CE6537A1-D6FC-4f65-9D91-7224C49458BB}"/>
              </c:extLst>
            </c:dLbl>
            <c:dLbl>
              <c:idx val="2"/>
              <c:layout>
                <c:manualLayout>
                  <c:x val="7.2933407491868928E-3"/>
                  <c:y val="-9.6909173143464422E-2"/>
                </c:manualLayout>
              </c:layout>
              <c:showLegendKey val="0"/>
              <c:showVal val="1"/>
              <c:showCatName val="1"/>
              <c:showSerName val="0"/>
              <c:showPercent val="0"/>
              <c:showBubbleSize val="0"/>
              <c:extLst>
                <c:ext xmlns:c15="http://schemas.microsoft.com/office/drawing/2012/chart" uri="{CE6537A1-D6FC-4f65-9D91-7224C49458BB}"/>
              </c:extLst>
            </c:dLbl>
            <c:spPr>
              <a:noFill/>
              <a:ln>
                <a:noFill/>
              </a:ln>
            </c:spPr>
            <c:txPr>
              <a:bodyPr/>
              <a:lstStyle/>
              <a:p>
                <a:pPr>
                  <a:defRPr b="1"/>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('Summary 2018 - MF'!$B$16,'Summary 2018 - MF'!$B$25,'Summary 2018 - MF'!$B$29)</c:f>
              <c:strCache>
                <c:ptCount val="3"/>
                <c:pt idx="0">
                  <c:v>TỔNG CỘNG DOANH THU/ TOTAL REVENUE</c:v>
                </c:pt>
                <c:pt idx="1">
                  <c:v>TỔNG CỘNG CHI PHÍ/ TOTAL EXPENSE</c:v>
                </c:pt>
                <c:pt idx="2">
                  <c:v>DOANH THU TRỪ CHI PHÍ/ REVENUE LESS EXPENDITURE</c:v>
                </c:pt>
              </c:strCache>
            </c:strRef>
          </c:cat>
          <c:val>
            <c:numRef>
              <c:f>('Summary 2018 - MF'!$D$16,'Summary 2018 - MF'!$D$25,'Summary 2018 - MF'!$D$29)</c:f>
              <c:numCache>
                <c:formatCode>_(* #,##0_);_(* \(#,##0\);_(* "-"??_);_(@_)</c:formatCode>
                <c:ptCount val="3"/>
                <c:pt idx="0">
                  <c:v>26354183630.303001</c:v>
                </c:pt>
                <c:pt idx="1">
                  <c:v>30223468426.520325</c:v>
                </c:pt>
                <c:pt idx="2">
                  <c:v>-3869284796.2173233</c:v>
                </c:pt>
              </c:numCache>
            </c:numRef>
          </c:val>
        </c:ser>
        <c:dLbls>
          <c:showLegendKey val="0"/>
          <c:showVal val="1"/>
          <c:showCatName val="0"/>
          <c:showSerName val="0"/>
          <c:showPercent val="0"/>
          <c:showBubbleSize val="0"/>
        </c:dLbls>
        <c:gapWidth val="150"/>
        <c:shape val="cone"/>
        <c:axId val="-936393968"/>
        <c:axId val="-936393424"/>
        <c:axId val="0"/>
      </c:bar3DChart>
      <c:catAx>
        <c:axId val="-936393968"/>
        <c:scaling>
          <c:orientation val="minMax"/>
        </c:scaling>
        <c:delete val="1"/>
        <c:axPos val="b"/>
        <c:numFmt formatCode="General" sourceLinked="0"/>
        <c:majorTickMark val="none"/>
        <c:minorTickMark val="none"/>
        <c:tickLblPos val="nextTo"/>
        <c:crossAx val="-936393424"/>
        <c:crosses val="autoZero"/>
        <c:auto val="1"/>
        <c:lblAlgn val="ctr"/>
        <c:lblOffset val="100"/>
        <c:noMultiLvlLbl val="0"/>
      </c:catAx>
      <c:valAx>
        <c:axId val="-936393424"/>
        <c:scaling>
          <c:orientation val="minMax"/>
        </c:scaling>
        <c:delete val="1"/>
        <c:axPos val="l"/>
        <c:numFmt formatCode="_(* #,##0_);_(* \(#,##0\);_(* &quot;-&quot;??_);_(@_)" sourceLinked="1"/>
        <c:majorTickMark val="none"/>
        <c:minorTickMark val="none"/>
        <c:tickLblPos val="nextTo"/>
        <c:crossAx val="-93639396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r>
              <a:rPr lang="vi-VN" sz="1600" b="1">
                <a:solidFill>
                  <a:srgbClr val="00B050"/>
                </a:solidFill>
                <a:latin typeface="+mn-lt"/>
              </a:rPr>
              <a:t>DỰ TOÁN CHI ĐẦU TƯ TỪ QUỸ BẢO TRÌ </a:t>
            </a:r>
            <a:r>
              <a:rPr lang="en-US" sz="1600" b="1">
                <a:solidFill>
                  <a:srgbClr val="00B050"/>
                </a:solidFill>
                <a:latin typeface="+mn-lt"/>
              </a:rPr>
              <a:t>TỪ</a:t>
            </a:r>
            <a:r>
              <a:rPr lang="en-US" sz="1600" b="1" baseline="0">
                <a:solidFill>
                  <a:srgbClr val="00B050"/>
                </a:solidFill>
                <a:latin typeface="+mn-lt"/>
              </a:rPr>
              <a:t> </a:t>
            </a:r>
            <a:r>
              <a:rPr lang="vi-VN" sz="1600" b="1">
                <a:solidFill>
                  <a:srgbClr val="00B050"/>
                </a:solidFill>
                <a:latin typeface="+mn-lt"/>
              </a:rPr>
              <a:t>NĂM 2018</a:t>
            </a:r>
            <a:r>
              <a:rPr lang="en-US" sz="1600" b="1">
                <a:solidFill>
                  <a:srgbClr val="00B050"/>
                </a:solidFill>
                <a:latin typeface="+mn-lt"/>
              </a:rPr>
              <a:t> ĐẾN</a:t>
            </a:r>
            <a:r>
              <a:rPr lang="en-US" sz="1600" b="1" baseline="0">
                <a:solidFill>
                  <a:srgbClr val="00B050"/>
                </a:solidFill>
                <a:latin typeface="+mn-lt"/>
              </a:rPr>
              <a:t> 2022</a:t>
            </a:r>
            <a:endParaRPr lang="vi-VN" sz="1600" b="1">
              <a:solidFill>
                <a:srgbClr val="00B050"/>
              </a:solidFill>
              <a:latin typeface="+mn-lt"/>
            </a:endParaRPr>
          </a:p>
          <a:p>
            <a:pPr>
              <a:defRPr/>
            </a:pPr>
            <a:r>
              <a:rPr lang="vi-VN" sz="1600" b="1">
                <a:solidFill>
                  <a:srgbClr val="00B050"/>
                </a:solidFill>
                <a:latin typeface="+mn-lt"/>
              </a:rPr>
              <a:t>INVESTMENT EXPENDITURE PROJECTION 2018</a:t>
            </a:r>
            <a:r>
              <a:rPr lang="en-US" sz="1600" b="1">
                <a:solidFill>
                  <a:srgbClr val="00B050"/>
                </a:solidFill>
                <a:latin typeface="+mn-lt"/>
              </a:rPr>
              <a:t> - 2022 </a:t>
            </a:r>
            <a:r>
              <a:rPr lang="vi-VN" sz="1600" b="1">
                <a:solidFill>
                  <a:srgbClr val="00B050"/>
                </a:solidFill>
                <a:latin typeface="+mn-lt"/>
              </a:rPr>
              <a:t>FROM SINKING FUND</a:t>
            </a:r>
            <a:endParaRPr lang="en-US" sz="1600" b="1">
              <a:solidFill>
                <a:srgbClr val="00B050"/>
              </a:solidFill>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'2018-2022 SF'!$D$6</c:f>
              <c:strCache>
                <c:ptCount val="1"/>
                <c:pt idx="0">
                  <c:v>BUDGET 2018
DỰ TOÁN 2018</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SF'!$C$7</c:f>
              <c:strCache>
                <c:ptCount val="1"/>
                <c:pt idx="0">
                  <c:v>BUILDING SYSTEM/ FACILITIES REPAIR &amp; MAINTENANCE
CHI PHÍ SỬA CHỮA BẢO TRÌ HỆ THỐNG TÒA NHÀ</c:v>
                </c:pt>
              </c:strCache>
            </c:strRef>
          </c:cat>
          <c:val>
            <c:numRef>
              <c:f>'2018-2022 SF'!$D$7</c:f>
              <c:numCache>
                <c:formatCode>_(* #,##0_);_(* \(#,##0\);_(* "-"??_);_(@_)</c:formatCode>
                <c:ptCount val="1"/>
                <c:pt idx="0">
                  <c:v>14699050000</c:v>
                </c:pt>
              </c:numCache>
            </c:numRef>
          </c:val>
        </c:ser>
        <c:ser>
          <c:idx val="1"/>
          <c:order val="1"/>
          <c:tx>
            <c:strRef>
              <c:f>'2018-2022 SF'!$E$6</c:f>
              <c:strCache>
                <c:ptCount val="1"/>
                <c:pt idx="0">
                  <c:v>BUDGET 2019
DỰ TOÁN 2019</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SF'!$C$7</c:f>
              <c:strCache>
                <c:ptCount val="1"/>
                <c:pt idx="0">
                  <c:v>BUILDING SYSTEM/ FACILITIES REPAIR &amp; MAINTENANCE
CHI PHÍ SỬA CHỮA BẢO TRÌ HỆ THỐNG TÒA NHÀ</c:v>
                </c:pt>
              </c:strCache>
            </c:strRef>
          </c:cat>
          <c:val>
            <c:numRef>
              <c:f>'2018-2022 SF'!$E$7</c:f>
              <c:numCache>
                <c:formatCode>_(* #,##0_);_(* \(#,##0\);_(* "-"??_);_(@_)</c:formatCode>
                <c:ptCount val="1"/>
                <c:pt idx="0">
                  <c:v>400000000</c:v>
                </c:pt>
              </c:numCache>
            </c:numRef>
          </c:val>
        </c:ser>
        <c:ser>
          <c:idx val="2"/>
          <c:order val="2"/>
          <c:tx>
            <c:strRef>
              <c:f>'2018-2022 SF'!$F$6</c:f>
              <c:strCache>
                <c:ptCount val="1"/>
                <c:pt idx="0">
                  <c:v>BUDGET 2020
DỰ TOÁN 2020</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chemeClr val="accent3">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SF'!$C$7</c:f>
              <c:strCache>
                <c:ptCount val="1"/>
                <c:pt idx="0">
                  <c:v>BUILDING SYSTEM/ FACILITIES REPAIR &amp; MAINTENANCE
CHI PHÍ SỬA CHỮA BẢO TRÌ HỆ THỐNG TÒA NHÀ</c:v>
                </c:pt>
              </c:strCache>
            </c:strRef>
          </c:cat>
          <c:val>
            <c:numRef>
              <c:f>'2018-2022 SF'!$F$7</c:f>
              <c:numCache>
                <c:formatCode>_(* #,##0_);_(* \(#,##0\);_(* "-"??_);_(@_)</c:formatCode>
                <c:ptCount val="1"/>
                <c:pt idx="0">
                  <c:v>0</c:v>
                </c:pt>
              </c:numCache>
            </c:numRef>
          </c:val>
        </c:ser>
        <c:ser>
          <c:idx val="3"/>
          <c:order val="3"/>
          <c:tx>
            <c:strRef>
              <c:f>'2018-2022 SF'!$G$6</c:f>
              <c:strCache>
                <c:ptCount val="1"/>
                <c:pt idx="0">
                  <c:v>BUDGET 2021
DỰ TOÁN 2021</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chemeClr val="accent4">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SF'!$C$7</c:f>
              <c:strCache>
                <c:ptCount val="1"/>
                <c:pt idx="0">
                  <c:v>BUILDING SYSTEM/ FACILITIES REPAIR &amp; MAINTENANCE
CHI PHÍ SỬA CHỮA BẢO TRÌ HỆ THỐNG TÒA NHÀ</c:v>
                </c:pt>
              </c:strCache>
            </c:strRef>
          </c:cat>
          <c:val>
            <c:numRef>
              <c:f>'2018-2022 SF'!$G$7</c:f>
              <c:numCache>
                <c:formatCode>_(* #,##0_);_(* \(#,##0\);_(* "-"??_);_(@_)</c:formatCode>
                <c:ptCount val="1"/>
                <c:pt idx="0">
                  <c:v>0</c:v>
                </c:pt>
              </c:numCache>
            </c:numRef>
          </c:val>
        </c:ser>
        <c:ser>
          <c:idx val="4"/>
          <c:order val="4"/>
          <c:tx>
            <c:strRef>
              <c:f>'2018-2022 SF'!$H$6</c:f>
              <c:strCache>
                <c:ptCount val="1"/>
                <c:pt idx="0">
                  <c:v>BUDGET 2022
DỰ TOÁN 2022</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SF'!$C$7</c:f>
              <c:strCache>
                <c:ptCount val="1"/>
                <c:pt idx="0">
                  <c:v>BUILDING SYSTEM/ FACILITIES REPAIR &amp; MAINTENANCE
CHI PHÍ SỬA CHỮA BẢO TRÌ HỆ THỐNG TÒA NHÀ</c:v>
                </c:pt>
              </c:strCache>
            </c:strRef>
          </c:cat>
          <c:val>
            <c:numRef>
              <c:f>'2018-2022 SF'!$H$7</c:f>
              <c:numCache>
                <c:formatCode>_(* #,##0_);_(* \(#,##0\);_(* "-"??_);_(@_)</c:formatCode>
                <c:ptCount val="1"/>
                <c:pt idx="0">
                  <c:v>15173000000</c:v>
                </c:pt>
              </c:numCache>
            </c:numRef>
          </c:val>
        </c:ser>
        <c:dLbls>
          <c:showLegendKey val="0"/>
          <c:showVal val="1"/>
          <c:showCatName val="0"/>
          <c:showSerName val="0"/>
          <c:showPercent val="0"/>
          <c:showBubbleSize val="0"/>
        </c:dLbls>
        <c:gapWidth val="84"/>
        <c:gapDepth val="53"/>
        <c:shape val="box"/>
        <c:axId val="-936392336"/>
        <c:axId val="-936389072"/>
        <c:axId val="0"/>
      </c:bar3DChart>
      <c:dateAx>
        <c:axId val="-936392336"/>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36389072"/>
        <c:crosses val="autoZero"/>
        <c:auto val="0"/>
        <c:lblOffset val="100"/>
        <c:baseTimeUnit val="days"/>
      </c:dateAx>
      <c:valAx>
        <c:axId val="-936389072"/>
        <c:scaling>
          <c:orientation val="minMax"/>
        </c:scaling>
        <c:delete val="1"/>
        <c:axPos val="r"/>
        <c:numFmt formatCode="_(* #,##0_);_(* \(#,##0\);_(* &quot;-&quot;??_);_(@_)" sourceLinked="1"/>
        <c:majorTickMark val="out"/>
        <c:minorTickMark val="none"/>
        <c:tickLblPos val="nextTo"/>
        <c:crossAx val="-936392336"/>
        <c:crossesAt val="1"/>
        <c:crossBetween val="between"/>
      </c:valAx>
      <c:spPr>
        <a:noFill/>
        <a:ln>
          <a:noFill/>
        </a:ln>
        <a:effectLst/>
      </c:spPr>
    </c:plotArea>
    <c:legend>
      <c:legendPos val="t"/>
      <c:layout>
        <c:manualLayout>
          <c:xMode val="edge"/>
          <c:yMode val="edge"/>
          <c:x val="0.22279845384389868"/>
          <c:y val="0.27659707711889148"/>
          <c:w val="0.56102231616491782"/>
          <c:h val="7.378992772134748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vi-VN" sz="1600" b="1" i="0" cap="all" baseline="0">
                <a:solidFill>
                  <a:srgbClr val="00B050"/>
                </a:solidFill>
                <a:effectLst/>
                <a:latin typeface="+mn-lt"/>
              </a:rPr>
              <a:t>DỰ TOÁN CHI ĐẦU TƯ TỪ QUỸ BẢO TRÌ NĂM 2018</a:t>
            </a:r>
            <a:r>
              <a:rPr lang="en-US" sz="1600" b="1" i="0" cap="all" baseline="0">
                <a:solidFill>
                  <a:srgbClr val="00B050"/>
                </a:solidFill>
                <a:effectLst/>
                <a:latin typeface="+mn-lt"/>
              </a:rPr>
              <a:t> </a:t>
            </a:r>
            <a:endParaRPr lang="en-US" sz="1600">
              <a:solidFill>
                <a:srgbClr val="00B050"/>
              </a:solidFill>
              <a:effectLst/>
              <a:latin typeface="+mn-lt"/>
            </a:endParaRPr>
          </a:p>
          <a:p>
            <a:pPr>
              <a:defRPr/>
            </a:pPr>
            <a:r>
              <a:rPr lang="vi-VN" sz="1600" b="1" i="0" cap="all" baseline="0">
                <a:solidFill>
                  <a:srgbClr val="00B050"/>
                </a:solidFill>
                <a:effectLst/>
                <a:latin typeface="+mn-lt"/>
              </a:rPr>
              <a:t>INVESTMENT EXPENDITURE PROJECTION 2018</a:t>
            </a:r>
            <a:r>
              <a:rPr lang="en-US" sz="1600" b="1" i="0" cap="all" baseline="0">
                <a:solidFill>
                  <a:srgbClr val="00B050"/>
                </a:solidFill>
                <a:effectLst/>
                <a:latin typeface="+mn-lt"/>
              </a:rPr>
              <a:t> </a:t>
            </a:r>
            <a:r>
              <a:rPr lang="vi-VN" sz="1600" b="1" i="0" cap="all" baseline="0">
                <a:solidFill>
                  <a:srgbClr val="00B050"/>
                </a:solidFill>
                <a:effectLst/>
                <a:latin typeface="+mn-lt"/>
              </a:rPr>
              <a:t>FROM SINKING FUND</a:t>
            </a:r>
            <a:endParaRPr lang="en-US" sz="1600">
              <a:solidFill>
                <a:srgbClr val="00B050"/>
              </a:solidFill>
              <a:effectLst/>
              <a:latin typeface="+mn-lt"/>
            </a:endParaRPr>
          </a:p>
        </c:rich>
      </c:tx>
      <c:layout>
        <c:manualLayout>
          <c:xMode val="edge"/>
          <c:yMode val="edge"/>
          <c:x val="0.20534142095747951"/>
          <c:y val="5.298512786729854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29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09918460703868E-2"/>
          <c:y val="0.17656688913466942"/>
          <c:w val="0.85154076465224959"/>
          <c:h val="0.70530881776829146"/>
        </c:manualLayout>
      </c:layout>
      <c:pie3DChart>
        <c:varyColors val="1"/>
        <c:ser>
          <c:idx val="0"/>
          <c:order val="0"/>
          <c:explosion val="1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dLbl>
            <c:dLbl>
              <c:idx val="1"/>
              <c:layout>
                <c:manualLayout>
                  <c:x val="2.285632046446643E-2"/>
                  <c:y val="-6.74773947504671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('2018-2022 SF'!$C$8,'2018-2022 SF'!$C$10,'2018-2022 SF'!$C$15,'2018-2022 SF'!$C$17)</c:f>
              <c:strCache>
                <c:ptCount val="4"/>
                <c:pt idx="0">
                  <c:v>Lifts/ Thang máy</c:v>
                </c:pt>
                <c:pt idx="1">
                  <c:v>Security System (CCTV &amp; Acces Control ) / Hệ thống an ninh</c:v>
                </c:pt>
                <c:pt idx="2">
                  <c:v>Sewage Treatment Plant &amp; Drainage systems / Hệ thống xử lý nước thải&amp; thoát nước.</c:v>
                </c:pt>
                <c:pt idx="3">
                  <c:v>Public area facilities replacement / Enhancements
 Chi phí thay mới trang thiết bị công cộng</c:v>
                </c:pt>
              </c:strCache>
            </c:strRef>
          </c:cat>
          <c:val>
            <c:numRef>
              <c:f>('2018-2022 SF'!$D$8,'2018-2022 SF'!$D$10,'2018-2022 SF'!$D$15,'2018-2022 SF'!$D$17)</c:f>
              <c:numCache>
                <c:formatCode>_(* #,##0_);_(* \(#,##0\);_(* "-"??_);_(@_)</c:formatCode>
                <c:ptCount val="4"/>
                <c:pt idx="0">
                  <c:v>4150800000</c:v>
                </c:pt>
                <c:pt idx="1">
                  <c:v>1040250000</c:v>
                </c:pt>
                <c:pt idx="2">
                  <c:v>168000000</c:v>
                </c:pt>
                <c:pt idx="3">
                  <c:v>9340000000</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500" b="1">
                <a:solidFill>
                  <a:srgbClr val="00B050"/>
                </a:solidFill>
                <a:latin typeface="Arial" panose="020B0604020202020204" pitchFamily="34" charset="0"/>
                <a:cs typeface="Arial" panose="020B0604020202020204" pitchFamily="34" charset="0"/>
              </a:rPr>
              <a:t>Security System (CCTV &amp; Acces Control ) / Hệ thống an ninh năm</a:t>
            </a:r>
            <a:r>
              <a:rPr lang="en-US" sz="1500" b="1" baseline="0">
                <a:solidFill>
                  <a:srgbClr val="00B050"/>
                </a:solidFill>
                <a:latin typeface="Arial" panose="020B0604020202020204" pitchFamily="34" charset="0"/>
                <a:cs typeface="Arial" panose="020B0604020202020204" pitchFamily="34" charset="0"/>
              </a:rPr>
              <a:t> 2018</a:t>
            </a:r>
            <a:endParaRPr lang="en-US" sz="1500" b="1">
              <a:solidFill>
                <a:srgbClr val="00B05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284781471218337E-2"/>
          <c:y val="0.45351816655102023"/>
          <c:w val="0.88813912427929687"/>
          <c:h val="0.26867348477991976"/>
        </c:manualLayout>
      </c:layout>
      <c:bar3DChart>
        <c:barDir val="col"/>
        <c:grouping val="standar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('2018-2022 SF'!$C$11,'2018-2022 SF'!$C$12,'2018-2022 SF'!$C$13,'2018-2022 SF'!$C$14)</c:f>
              <c:strCache>
                <c:ptCount val="4"/>
                <c:pt idx="0">
                  <c:v>Install 15 new Cameras for Passenger Lifts
 Lắp đặt 15 camera mới cho thang khách</c:v>
                </c:pt>
                <c:pt idx="1">
                  <c:v>New installation 02 camera in Gym room
 Lắp đặt 2 camera cho phòng Gym</c:v>
                </c:pt>
                <c:pt idx="2">
                  <c:v>New installation 30 camera in parking area
Lắp đặt mới 30 camera bãi xe</c:v>
                </c:pt>
                <c:pt idx="3">
                  <c:v>Upgrade PA system: more text message and more speaker to upper floors (from GF-RF)/ Nâng cấp hệ thống phát thanh công cộng </c:v>
                </c:pt>
              </c:strCache>
            </c:strRef>
          </c:cat>
          <c:val>
            <c:numRef>
              <c:f>('2018-2022 SF'!$D$11,'2018-2022 SF'!$D$12,'2018-2022 SF'!$D$13,'2018-2022 SF'!$D$14)</c:f>
              <c:numCache>
                <c:formatCode>_(* #,##0_);_(* \(#,##0\);_(* "-"??_);_(@_)</c:formatCode>
                <c:ptCount val="4"/>
                <c:pt idx="0">
                  <c:v>165000000</c:v>
                </c:pt>
                <c:pt idx="1">
                  <c:v>25250000</c:v>
                </c:pt>
                <c:pt idx="2">
                  <c:v>500000000</c:v>
                </c:pt>
                <c:pt idx="3">
                  <c:v>350000000</c:v>
                </c:pt>
              </c:numCache>
            </c:numRef>
          </c:val>
        </c:ser>
        <c:dLbls>
          <c:showLegendKey val="0"/>
          <c:showVal val="1"/>
          <c:showCatName val="0"/>
          <c:showSerName val="0"/>
          <c:showPercent val="0"/>
          <c:showBubbleSize val="0"/>
        </c:dLbls>
        <c:gapWidth val="84"/>
        <c:gapDepth val="53"/>
        <c:shape val="box"/>
        <c:axId val="-936385264"/>
        <c:axId val="-936384720"/>
        <c:axId val="-856741952"/>
      </c:bar3DChart>
      <c:catAx>
        <c:axId val="-936385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36384720"/>
        <c:crosses val="autoZero"/>
        <c:auto val="1"/>
        <c:lblAlgn val="ctr"/>
        <c:lblOffset val="100"/>
        <c:noMultiLvlLbl val="0"/>
      </c:catAx>
      <c:valAx>
        <c:axId val="-936384720"/>
        <c:scaling>
          <c:orientation val="minMax"/>
        </c:scaling>
        <c:delete val="1"/>
        <c:axPos val="l"/>
        <c:numFmt formatCode="_(* #,##0_);_(* \(#,##0\);_(* &quot;-&quot;??_);_(@_)" sourceLinked="1"/>
        <c:majorTickMark val="out"/>
        <c:minorTickMark val="none"/>
        <c:tickLblPos val="nextTo"/>
        <c:crossAx val="-936385264"/>
        <c:crosses val="autoZero"/>
        <c:crossBetween val="between"/>
      </c:valAx>
      <c:serAx>
        <c:axId val="-856741952"/>
        <c:scaling>
          <c:orientation val="minMax"/>
        </c:scaling>
        <c:delete val="1"/>
        <c:axPos val="b"/>
        <c:majorTickMark val="none"/>
        <c:minorTickMark val="none"/>
        <c:tickLblPos val="nextTo"/>
        <c:crossAx val="-936384720"/>
        <c:crosses val="autoZero"/>
      </c:serAx>
      <c:spPr>
        <a:noFill/>
        <a:ln>
          <a:noFill/>
        </a:ln>
        <a:effectLst>
          <a:glow rad="127000">
            <a:schemeClr val="bg1"/>
          </a:glow>
        </a:effectLst>
      </c:spPr>
    </c:plotArea>
    <c:plotVisOnly val="1"/>
    <c:dispBlanksAs val="gap"/>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500" b="1" i="0" cap="all" baseline="0">
                <a:solidFill>
                  <a:srgbClr val="00B050"/>
                </a:solidFill>
                <a:effectLst/>
                <a:latin typeface="+mn-lt"/>
              </a:rPr>
              <a:t>DỰ TOÁN CHI ĐẦU TƯ TỪ QUỸ BẢO TRÌ NĂM 2018</a:t>
            </a:r>
            <a:r>
              <a:rPr lang="en-US" sz="1500" b="1" i="0" cap="all" baseline="0">
                <a:solidFill>
                  <a:srgbClr val="00B050"/>
                </a:solidFill>
                <a:effectLst/>
                <a:latin typeface="+mn-lt"/>
              </a:rPr>
              <a:t> </a:t>
            </a:r>
            <a:endParaRPr lang="en-US" sz="1500">
              <a:solidFill>
                <a:srgbClr val="00B050"/>
              </a:solidFill>
              <a:effectLst/>
              <a:latin typeface="+mn-lt"/>
            </a:endParaRPr>
          </a:p>
          <a:p>
            <a:pPr>
              <a:defRPr/>
            </a:pPr>
            <a:r>
              <a:rPr lang="vi-VN" sz="1500" b="1" i="0" cap="all" baseline="0">
                <a:solidFill>
                  <a:srgbClr val="00B050"/>
                </a:solidFill>
                <a:effectLst/>
                <a:latin typeface="+mn-lt"/>
              </a:rPr>
              <a:t>INVESTMENT EXPENDITURE PROJECTION 2018</a:t>
            </a:r>
            <a:r>
              <a:rPr lang="en-US" sz="1500" b="1" i="0" cap="all" baseline="0">
                <a:solidFill>
                  <a:srgbClr val="00B050"/>
                </a:solidFill>
                <a:effectLst/>
                <a:latin typeface="+mn-lt"/>
              </a:rPr>
              <a:t> </a:t>
            </a:r>
            <a:r>
              <a:rPr lang="vi-VN" sz="1500" b="1" i="0" cap="all" baseline="0">
                <a:solidFill>
                  <a:srgbClr val="00B050"/>
                </a:solidFill>
                <a:effectLst/>
                <a:latin typeface="+mn-lt"/>
              </a:rPr>
              <a:t>FROM SF</a:t>
            </a:r>
            <a:endParaRPr lang="en-US" sz="1500">
              <a:solidFill>
                <a:srgbClr val="00B050"/>
              </a:solidFill>
              <a:effectLst/>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650560942217152E-3"/>
          <c:y val="0.11384089032220891"/>
          <c:w val="0.97272447210043489"/>
          <c:h val="0.60661035066503655"/>
        </c:manualLayout>
      </c:layout>
      <c:bar3DChart>
        <c:barDir val="col"/>
        <c:grouping val="standar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('2018-2022 SF'!$C$18,'2018-2022 SF'!$C$19,'2018-2022 SF'!$C$20,'2018-2022 SF'!$C$22,'2018-2022 SF'!$C$23,'2018-2022 SF'!$C$26)</c:f>
              <c:strCache>
                <c:ptCount val="6"/>
                <c:pt idx="0">
                  <c:v>Internal painting (corridors)/ Sơn bên trong hành lang</c:v>
                </c:pt>
                <c:pt idx="1">
                  <c:v>Exterior painting/ Sơn mặt ngoài tòa nhà</c:v>
                </c:pt>
                <c:pt idx="2">
                  <c:v>Sửa chữa mặt ngoài và xử lý các vết nứt/ Repair crack and external  touch up</c:v>
                </c:pt>
                <c:pt idx="3">
                  <c:v>Wooden foor replacement (for water Cascade P3 and Sky garden T1-17F)/ Thay thế sàn gỗ mới cho khu vực P3 và Sky Garden T1-17th Floor</c:v>
                </c:pt>
                <c:pt idx="4">
                  <c:v>Smart parking system (Cars, motorbikes)/ Hệ thống bãi xe thông minh</c:v>
                </c:pt>
                <c:pt idx="5">
                  <c:v>Thermal paint  for parking plots/ Sơn nhiệt cho ô đậu xe</c:v>
                </c:pt>
              </c:strCache>
            </c:strRef>
          </c:cat>
          <c:val>
            <c:numRef>
              <c:f>('2018-2022 SF'!$D$18,'2018-2022 SF'!$D$19,'2018-2022 SF'!$D$20,'2018-2022 SF'!$D$22,'2018-2022 SF'!$D$23,'2018-2022 SF'!$D$26)</c:f>
              <c:numCache>
                <c:formatCode>_(* #,##0_);_(* \(#,##0\);_(* "-"??_);_(@_)</c:formatCode>
                <c:ptCount val="6"/>
                <c:pt idx="0">
                  <c:v>1560000000</c:v>
                </c:pt>
                <c:pt idx="1">
                  <c:v>2400000000</c:v>
                </c:pt>
                <c:pt idx="2">
                  <c:v>4800000000</c:v>
                </c:pt>
                <c:pt idx="3">
                  <c:v>300000000</c:v>
                </c:pt>
                <c:pt idx="5">
                  <c:v>280000000</c:v>
                </c:pt>
              </c:numCache>
            </c:numRef>
          </c:val>
        </c:ser>
        <c:dLbls>
          <c:showLegendKey val="0"/>
          <c:showVal val="0"/>
          <c:showCatName val="0"/>
          <c:showSerName val="0"/>
          <c:showPercent val="0"/>
          <c:showBubbleSize val="0"/>
        </c:dLbls>
        <c:gapWidth val="150"/>
        <c:shape val="box"/>
        <c:axId val="-865005392"/>
        <c:axId val="-865002672"/>
        <c:axId val="-939700880"/>
      </c:bar3DChart>
      <c:catAx>
        <c:axId val="-86500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002672"/>
        <c:crosses val="autoZero"/>
        <c:auto val="1"/>
        <c:lblAlgn val="ctr"/>
        <c:lblOffset val="100"/>
        <c:noMultiLvlLbl val="0"/>
      </c:catAx>
      <c:valAx>
        <c:axId val="-86500267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865005392"/>
        <c:crosses val="autoZero"/>
        <c:crossBetween val="between"/>
      </c:valAx>
      <c:serAx>
        <c:axId val="-939700880"/>
        <c:scaling>
          <c:orientation val="minMax"/>
        </c:scaling>
        <c:delete val="1"/>
        <c:axPos val="b"/>
        <c:majorTickMark val="none"/>
        <c:minorTickMark val="none"/>
        <c:tickLblPos val="nextTo"/>
        <c:crossAx val="-86500267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image" Target="../media/image1.jpeg"/><Relationship Id="rId4" Type="http://schemas.openxmlformats.org/officeDocument/2006/relationships/image" Target="../media/image2.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131278" cy="1580029"/>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4131278" cy="1580029"/>
        </a:xfrm>
        <a:prstGeom prst="rect">
          <a:avLst/>
        </a:prstGeom>
      </xdr:spPr>
    </xdr:pic>
    <xdr:clientData/>
  </xdr:oneCellAnchor>
  <xdr:twoCellAnchor editAs="oneCell">
    <xdr:from>
      <xdr:col>18</xdr:col>
      <xdr:colOff>0</xdr:colOff>
      <xdr:row>0</xdr:row>
      <xdr:rowOff>60325</xdr:rowOff>
    </xdr:from>
    <xdr:to>
      <xdr:col>20</xdr:col>
      <xdr:colOff>562670</xdr:colOff>
      <xdr:row>9</xdr:row>
      <xdr:rowOff>79175</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0972800" y="60325"/>
          <a:ext cx="1781870" cy="17333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19</xdr:col>
      <xdr:colOff>0</xdr:colOff>
      <xdr:row>0</xdr:row>
      <xdr:rowOff>0</xdr:rowOff>
    </xdr:from>
    <xdr:to>
      <xdr:col>19</xdr:col>
      <xdr:colOff>969070</xdr:colOff>
      <xdr:row>4</xdr:row>
      <xdr:rowOff>47878</xdr:rowOff>
    </xdr:to>
    <xdr:pic>
      <xdr:nvPicPr>
        <xdr:cNvPr id="4" name="Picture 41" descr="savills"/>
        <xdr:cNvPicPr>
          <a:picLocks noChangeAspect="1" noChangeArrowheads="1"/>
        </xdr:cNvPicPr>
      </xdr:nvPicPr>
      <xdr:blipFill>
        <a:blip xmlns:r="http://schemas.openxmlformats.org/officeDocument/2006/relationships" r:embed="rId1" cstate="print"/>
        <a:srcRect/>
        <a:stretch>
          <a:fillRect/>
        </a:stretch>
      </xdr:blipFill>
      <xdr:spPr bwMode="auto">
        <a:xfrm>
          <a:off x="18230850" y="0"/>
          <a:ext cx="969070" cy="943228"/>
        </a:xfrm>
        <a:prstGeom prst="rect">
          <a:avLst/>
        </a:prstGeom>
        <a:noFill/>
        <a:ln w="9525">
          <a:noFill/>
          <a:miter lim="800000"/>
          <a:headEnd/>
          <a:tailEnd/>
        </a:ln>
      </xdr:spPr>
    </xdr:pic>
    <xdr:clientData/>
  </xdr:twoCellAnchor>
  <xdr:oneCellAnchor>
    <xdr:from>
      <xdr:col>0</xdr:col>
      <xdr:colOff>0</xdr:colOff>
      <xdr:row>0</xdr:row>
      <xdr:rowOff>0</xdr:rowOff>
    </xdr:from>
    <xdr:ext cx="2190750" cy="837864"/>
    <xdr:pic>
      <xdr:nvPicPr>
        <xdr:cNvPr id="5" name="Picture 4" descr="logo.jpg"/>
        <xdr:cNvPicPr>
          <a:picLocks noChangeAspect="1"/>
        </xdr:cNvPicPr>
      </xdr:nvPicPr>
      <xdr:blipFill>
        <a:blip xmlns:r="http://schemas.openxmlformats.org/officeDocument/2006/relationships" r:embed="rId2" cstate="print"/>
        <a:stretch>
          <a:fillRect/>
        </a:stretch>
      </xdr:blipFill>
      <xdr:spPr>
        <a:xfrm>
          <a:off x="0" y="0"/>
          <a:ext cx="2190750" cy="837864"/>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178593</xdr:colOff>
      <xdr:row>0</xdr:row>
      <xdr:rowOff>11906</xdr:rowOff>
    </xdr:from>
    <xdr:to>
      <xdr:col>2</xdr:col>
      <xdr:colOff>500542</xdr:colOff>
      <xdr:row>0</xdr:row>
      <xdr:rowOff>724958</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8593" y="11906"/>
          <a:ext cx="1350649" cy="713052"/>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329045</xdr:colOff>
      <xdr:row>59</xdr:row>
      <xdr:rowOff>0</xdr:rowOff>
    </xdr:from>
    <xdr:to>
      <xdr:col>4</xdr:col>
      <xdr:colOff>346364</xdr:colOff>
      <xdr:row>59</xdr:row>
      <xdr:rowOff>0</xdr:rowOff>
    </xdr:to>
    <xdr:cxnSp macro="">
      <xdr:nvCxnSpPr>
        <xdr:cNvPr id="21" name="Straight Connector 20"/>
        <xdr:cNvCxnSpPr/>
      </xdr:nvCxnSpPr>
      <xdr:spPr>
        <a:xfrm>
          <a:off x="952500" y="11326091"/>
          <a:ext cx="280554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1343891</xdr:colOff>
      <xdr:row>58</xdr:row>
      <xdr:rowOff>148937</xdr:rowOff>
    </xdr:from>
    <xdr:to>
      <xdr:col>13</xdr:col>
      <xdr:colOff>131619</xdr:colOff>
      <xdr:row>58</xdr:row>
      <xdr:rowOff>148937</xdr:rowOff>
    </xdr:to>
    <xdr:cxnSp macro="">
      <xdr:nvCxnSpPr>
        <xdr:cNvPr id="24" name="Straight Connector 23"/>
        <xdr:cNvCxnSpPr/>
      </xdr:nvCxnSpPr>
      <xdr:spPr>
        <a:xfrm>
          <a:off x="8497166" y="11417012"/>
          <a:ext cx="2807278"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443344</xdr:colOff>
      <xdr:row>81</xdr:row>
      <xdr:rowOff>148937</xdr:rowOff>
    </xdr:from>
    <xdr:to>
      <xdr:col>11</xdr:col>
      <xdr:colOff>218208</xdr:colOff>
      <xdr:row>81</xdr:row>
      <xdr:rowOff>148937</xdr:rowOff>
    </xdr:to>
    <xdr:cxnSp macro="">
      <xdr:nvCxnSpPr>
        <xdr:cNvPr id="29" name="Straight Connector 28"/>
        <xdr:cNvCxnSpPr/>
      </xdr:nvCxnSpPr>
      <xdr:spPr>
        <a:xfrm>
          <a:off x="6920344" y="14003482"/>
          <a:ext cx="280554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0</xdr:row>
      <xdr:rowOff>0</xdr:rowOff>
    </xdr:from>
    <xdr:ext cx="2076450" cy="794149"/>
    <xdr:pic>
      <xdr:nvPicPr>
        <xdr:cNvPr id="14" name="Picture 13" descr="logo.jpg"/>
        <xdr:cNvPicPr>
          <a:picLocks noChangeAspect="1"/>
        </xdr:cNvPicPr>
      </xdr:nvPicPr>
      <xdr:blipFill>
        <a:blip xmlns:r="http://schemas.openxmlformats.org/officeDocument/2006/relationships" r:embed="rId1" cstate="print"/>
        <a:stretch>
          <a:fillRect/>
        </a:stretch>
      </xdr:blipFill>
      <xdr:spPr>
        <a:xfrm>
          <a:off x="0" y="0"/>
          <a:ext cx="2076450" cy="794149"/>
        </a:xfrm>
        <a:prstGeom prst="rect">
          <a:avLst/>
        </a:prstGeom>
      </xdr:spPr>
    </xdr:pic>
    <xdr:clientData/>
  </xdr:oneCellAnchor>
  <xdr:twoCellAnchor editAs="oneCell">
    <xdr:from>
      <xdr:col>29</xdr:col>
      <xdr:colOff>533400</xdr:colOff>
      <xdr:row>0</xdr:row>
      <xdr:rowOff>0</xdr:rowOff>
    </xdr:from>
    <xdr:to>
      <xdr:col>29</xdr:col>
      <xdr:colOff>1388170</xdr:colOff>
      <xdr:row>3</xdr:row>
      <xdr:rowOff>127126</xdr:rowOff>
    </xdr:to>
    <xdr:pic>
      <xdr:nvPicPr>
        <xdr:cNvPr id="15"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6135350" y="0"/>
          <a:ext cx="854770" cy="831976"/>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54429</xdr:colOff>
      <xdr:row>2</xdr:row>
      <xdr:rowOff>170088</xdr:rowOff>
    </xdr:from>
    <xdr:to>
      <xdr:col>0</xdr:col>
      <xdr:colOff>1673679</xdr:colOff>
      <xdr:row>6</xdr:row>
      <xdr:rowOff>176891</xdr:rowOff>
    </xdr:to>
    <xdr:pic>
      <xdr:nvPicPr>
        <xdr:cNvPr id="2" name="Picture 1" descr="Top.jpg"/>
        <xdr:cNvPicPr/>
      </xdr:nvPicPr>
      <xdr:blipFill>
        <a:blip xmlns:r="http://schemas.openxmlformats.org/officeDocument/2006/relationships" r:embed="rId1" cstate="print"/>
        <a:stretch>
          <a:fillRect/>
        </a:stretch>
      </xdr:blipFill>
      <xdr:spPr>
        <a:xfrm>
          <a:off x="54429" y="646338"/>
          <a:ext cx="1619250" cy="1073603"/>
        </a:xfrm>
        <a:prstGeom prst="rect">
          <a:avLst/>
        </a:prstGeom>
      </xdr:spPr>
    </xdr:pic>
    <xdr:clientData/>
  </xdr:twoCellAnchor>
  <xdr:twoCellAnchor editAs="oneCell">
    <xdr:from>
      <xdr:col>8</xdr:col>
      <xdr:colOff>802822</xdr:colOff>
      <xdr:row>1</xdr:row>
      <xdr:rowOff>122465</xdr:rowOff>
    </xdr:from>
    <xdr:to>
      <xdr:col>9</xdr:col>
      <xdr:colOff>1111248</xdr:colOff>
      <xdr:row>6</xdr:row>
      <xdr:rowOff>2</xdr:rowOff>
    </xdr:to>
    <xdr:pic>
      <xdr:nvPicPr>
        <xdr:cNvPr id="3" name="Picture 32"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9728997" y="360590"/>
          <a:ext cx="1375226" cy="1182462"/>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156479</xdr:colOff>
      <xdr:row>5</xdr:row>
      <xdr:rowOff>13615</xdr:rowOff>
    </xdr:from>
    <xdr:to>
      <xdr:col>27</xdr:col>
      <xdr:colOff>513668</xdr:colOff>
      <xdr:row>14</xdr:row>
      <xdr:rowOff>81644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73787</xdr:colOff>
      <xdr:row>15</xdr:row>
      <xdr:rowOff>101372</xdr:rowOff>
    </xdr:from>
    <xdr:to>
      <xdr:col>28</xdr:col>
      <xdr:colOff>39400</xdr:colOff>
      <xdr:row>27</xdr:row>
      <xdr:rowOff>323170</xdr:rowOff>
    </xdr:to>
    <xdr:graphicFrame macro="">
      <xdr:nvGraphicFramePr>
        <xdr:cNvPr id="4" name="Chart 3" title="DỰ TOÁN CHI 2018/ BUDGET 20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503464</xdr:colOff>
      <xdr:row>29</xdr:row>
      <xdr:rowOff>9525</xdr:rowOff>
    </xdr:from>
    <xdr:to>
      <xdr:col>28</xdr:col>
      <xdr:colOff>533400</xdr:colOff>
      <xdr:row>42</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95249</xdr:colOff>
      <xdr:row>0</xdr:row>
      <xdr:rowOff>66675</xdr:rowOff>
    </xdr:from>
    <xdr:to>
      <xdr:col>27</xdr:col>
      <xdr:colOff>559496</xdr:colOff>
      <xdr:row>3</xdr:row>
      <xdr:rowOff>43625</xdr:rowOff>
    </xdr:to>
    <xdr:pic>
      <xdr:nvPicPr>
        <xdr:cNvPr id="9" name="Picture 41" descr="savills"/>
        <xdr:cNvPicPr>
          <a:picLocks noChangeAspect="1" noChangeArrowheads="1"/>
        </xdr:cNvPicPr>
      </xdr:nvPicPr>
      <xdr:blipFill>
        <a:blip xmlns:r="http://schemas.openxmlformats.org/officeDocument/2006/relationships" r:embed="rId4" cstate="print"/>
        <a:srcRect/>
        <a:stretch>
          <a:fillRect/>
        </a:stretch>
      </xdr:blipFill>
      <xdr:spPr bwMode="auto">
        <a:xfrm>
          <a:off x="25693687" y="66675"/>
          <a:ext cx="1059559" cy="1019938"/>
        </a:xfrm>
        <a:prstGeom prst="rect">
          <a:avLst/>
        </a:prstGeom>
        <a:noFill/>
        <a:ln w="9525">
          <a:noFill/>
          <a:miter lim="800000"/>
          <a:headEnd/>
          <a:tailEnd/>
        </a:ln>
      </xdr:spPr>
    </xdr:pic>
    <xdr:clientData/>
  </xdr:twoCellAnchor>
  <xdr:oneCellAnchor>
    <xdr:from>
      <xdr:col>0</xdr:col>
      <xdr:colOff>0</xdr:colOff>
      <xdr:row>0</xdr:row>
      <xdr:rowOff>0</xdr:rowOff>
    </xdr:from>
    <xdr:ext cx="2214562" cy="846971"/>
    <xdr:pic>
      <xdr:nvPicPr>
        <xdr:cNvPr id="10" name="Picture 9" descr="logo.jpg"/>
        <xdr:cNvPicPr>
          <a:picLocks noChangeAspect="1"/>
        </xdr:cNvPicPr>
      </xdr:nvPicPr>
      <xdr:blipFill>
        <a:blip xmlns:r="http://schemas.openxmlformats.org/officeDocument/2006/relationships" r:embed="rId5" cstate="print"/>
        <a:stretch>
          <a:fillRect/>
        </a:stretch>
      </xdr:blipFill>
      <xdr:spPr>
        <a:xfrm>
          <a:off x="0" y="0"/>
          <a:ext cx="2214562" cy="846971"/>
        </a:xfrm>
        <a:prstGeom prst="rect">
          <a:avLst/>
        </a:prstGeom>
      </xdr:spPr>
    </xdr:pic>
    <xdr:clientData/>
  </xdr:oneCellAnchor>
  <xdr:twoCellAnchor>
    <xdr:from>
      <xdr:col>9</xdr:col>
      <xdr:colOff>54429</xdr:colOff>
      <xdr:row>28</xdr:row>
      <xdr:rowOff>326571</xdr:rowOff>
    </xdr:from>
    <xdr:to>
      <xdr:col>20</xdr:col>
      <xdr:colOff>54430</xdr:colOff>
      <xdr:row>44</xdr:row>
      <xdr:rowOff>40822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4131278" cy="1580029"/>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4131278" cy="1580029"/>
        </a:xfrm>
        <a:prstGeom prst="rect">
          <a:avLst/>
        </a:prstGeom>
      </xdr:spPr>
    </xdr:pic>
    <xdr:clientData/>
  </xdr:oneCellAnchor>
  <xdr:twoCellAnchor editAs="oneCell">
    <xdr:from>
      <xdr:col>18</xdr:col>
      <xdr:colOff>0</xdr:colOff>
      <xdr:row>0</xdr:row>
      <xdr:rowOff>60325</xdr:rowOff>
    </xdr:from>
    <xdr:to>
      <xdr:col>20</xdr:col>
      <xdr:colOff>562670</xdr:colOff>
      <xdr:row>9</xdr:row>
      <xdr:rowOff>79175</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0972800" y="60325"/>
          <a:ext cx="1781870" cy="17333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2076450" cy="794149"/>
    <xdr:pic>
      <xdr:nvPicPr>
        <xdr:cNvPr id="12" name="Picture 11" descr="logo.jpg"/>
        <xdr:cNvPicPr>
          <a:picLocks noChangeAspect="1"/>
        </xdr:cNvPicPr>
      </xdr:nvPicPr>
      <xdr:blipFill>
        <a:blip xmlns:r="http://schemas.openxmlformats.org/officeDocument/2006/relationships" r:embed="rId1" cstate="print"/>
        <a:stretch>
          <a:fillRect/>
        </a:stretch>
      </xdr:blipFill>
      <xdr:spPr>
        <a:xfrm>
          <a:off x="0" y="0"/>
          <a:ext cx="2076450" cy="794149"/>
        </a:xfrm>
        <a:prstGeom prst="rect">
          <a:avLst/>
        </a:prstGeom>
      </xdr:spPr>
    </xdr:pic>
    <xdr:clientData/>
  </xdr:oneCellAnchor>
  <xdr:twoCellAnchor editAs="oneCell">
    <xdr:from>
      <xdr:col>21</xdr:col>
      <xdr:colOff>4629150</xdr:colOff>
      <xdr:row>0</xdr:row>
      <xdr:rowOff>0</xdr:rowOff>
    </xdr:from>
    <xdr:to>
      <xdr:col>21</xdr:col>
      <xdr:colOff>5483920</xdr:colOff>
      <xdr:row>2</xdr:row>
      <xdr:rowOff>108076</xdr:rowOff>
    </xdr:to>
    <xdr:pic>
      <xdr:nvPicPr>
        <xdr:cNvPr id="1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2963525" y="0"/>
          <a:ext cx="854770" cy="831976"/>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1860175</xdr:colOff>
      <xdr:row>7</xdr:row>
      <xdr:rowOff>69907</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2532528" cy="133617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131278" cy="1580029"/>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4131278" cy="1580029"/>
        </a:xfrm>
        <a:prstGeom prst="rect">
          <a:avLst/>
        </a:prstGeom>
      </xdr:spPr>
    </xdr:pic>
    <xdr:clientData/>
  </xdr:oneCellAnchor>
  <xdr:twoCellAnchor editAs="oneCell">
    <xdr:from>
      <xdr:col>18</xdr:col>
      <xdr:colOff>0</xdr:colOff>
      <xdr:row>0</xdr:row>
      <xdr:rowOff>60325</xdr:rowOff>
    </xdr:from>
    <xdr:to>
      <xdr:col>20</xdr:col>
      <xdr:colOff>562670</xdr:colOff>
      <xdr:row>9</xdr:row>
      <xdr:rowOff>79175</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0972800" y="60325"/>
          <a:ext cx="1781870" cy="17333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1000125</xdr:colOff>
      <xdr:row>47</xdr:row>
      <xdr:rowOff>9525</xdr:rowOff>
    </xdr:from>
    <xdr:to>
      <xdr:col>7</xdr:col>
      <xdr:colOff>2905125</xdr:colOff>
      <xdr:row>47</xdr:row>
      <xdr:rowOff>9525</xdr:rowOff>
    </xdr:to>
    <xdr:cxnSp macro="">
      <xdr:nvCxnSpPr>
        <xdr:cNvPr id="9" name="Straight Connector 8"/>
        <xdr:cNvCxnSpPr/>
      </xdr:nvCxnSpPr>
      <xdr:spPr>
        <a:xfrm>
          <a:off x="8220075" y="7781925"/>
          <a:ext cx="19050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1000125</xdr:colOff>
      <xdr:row>65</xdr:row>
      <xdr:rowOff>0</xdr:rowOff>
    </xdr:from>
    <xdr:to>
      <xdr:col>7</xdr:col>
      <xdr:colOff>2905125</xdr:colOff>
      <xdr:row>65</xdr:row>
      <xdr:rowOff>0</xdr:rowOff>
    </xdr:to>
    <xdr:cxnSp macro="">
      <xdr:nvCxnSpPr>
        <xdr:cNvPr id="17" name="Straight Connector 16"/>
        <xdr:cNvCxnSpPr/>
      </xdr:nvCxnSpPr>
      <xdr:spPr>
        <a:xfrm>
          <a:off x="8220075" y="11630025"/>
          <a:ext cx="19050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202667</xdr:colOff>
      <xdr:row>5</xdr:row>
      <xdr:rowOff>116398</xdr:rowOff>
    </xdr:from>
    <xdr:to>
      <xdr:col>17</xdr:col>
      <xdr:colOff>689963</xdr:colOff>
      <xdr:row>15</xdr:row>
      <xdr:rowOff>208619</xdr:rowOff>
    </xdr:to>
    <xdr:graphicFrame macro="">
      <xdr:nvGraphicFramePr>
        <xdr:cNvPr id="4" name="Chart 3" title="DOANH THU/ REVEN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204107</xdr:colOff>
      <xdr:row>14</xdr:row>
      <xdr:rowOff>297782</xdr:rowOff>
    </xdr:from>
    <xdr:to>
      <xdr:col>18</xdr:col>
      <xdr:colOff>79170</xdr:colOff>
      <xdr:row>24</xdr:row>
      <xdr:rowOff>303069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300956</xdr:colOff>
      <xdr:row>24</xdr:row>
      <xdr:rowOff>303069</xdr:rowOff>
    </xdr:from>
    <xdr:to>
      <xdr:col>18</xdr:col>
      <xdr:colOff>147204</xdr:colOff>
      <xdr:row>34</xdr:row>
      <xdr:rowOff>194212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1000125</xdr:colOff>
      <xdr:row>107</xdr:row>
      <xdr:rowOff>9525</xdr:rowOff>
    </xdr:from>
    <xdr:to>
      <xdr:col>7</xdr:col>
      <xdr:colOff>2905125</xdr:colOff>
      <xdr:row>107</xdr:row>
      <xdr:rowOff>9525</xdr:rowOff>
    </xdr:to>
    <xdr:cxnSp macro="">
      <xdr:nvCxnSpPr>
        <xdr:cNvPr id="19" name="Straight Connector 18"/>
        <xdr:cNvCxnSpPr/>
      </xdr:nvCxnSpPr>
      <xdr:spPr>
        <a:xfrm>
          <a:off x="10361839" y="12310382"/>
          <a:ext cx="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0</xdr:row>
      <xdr:rowOff>0</xdr:rowOff>
    </xdr:from>
    <xdr:ext cx="2190750" cy="837864"/>
    <xdr:pic>
      <xdr:nvPicPr>
        <xdr:cNvPr id="21" name="Picture 20" descr="logo.jpg"/>
        <xdr:cNvPicPr>
          <a:picLocks noChangeAspect="1"/>
        </xdr:cNvPicPr>
      </xdr:nvPicPr>
      <xdr:blipFill>
        <a:blip xmlns:r="http://schemas.openxmlformats.org/officeDocument/2006/relationships" r:embed="rId4" cstate="print"/>
        <a:stretch>
          <a:fillRect/>
        </a:stretch>
      </xdr:blipFill>
      <xdr:spPr>
        <a:xfrm>
          <a:off x="0" y="0"/>
          <a:ext cx="2190750" cy="837864"/>
        </a:xfrm>
        <a:prstGeom prst="rect">
          <a:avLst/>
        </a:prstGeom>
      </xdr:spPr>
    </xdr:pic>
    <xdr:clientData/>
  </xdr:oneCellAnchor>
  <xdr:twoCellAnchor editAs="oneCell">
    <xdr:from>
      <xdr:col>16</xdr:col>
      <xdr:colOff>447675</xdr:colOff>
      <xdr:row>0</xdr:row>
      <xdr:rowOff>9525</xdr:rowOff>
    </xdr:from>
    <xdr:to>
      <xdr:col>17</xdr:col>
      <xdr:colOff>702370</xdr:colOff>
      <xdr:row>5</xdr:row>
      <xdr:rowOff>253</xdr:rowOff>
    </xdr:to>
    <xdr:pic>
      <xdr:nvPicPr>
        <xdr:cNvPr id="23" name="Picture 41" descr="savills"/>
        <xdr:cNvPicPr>
          <a:picLocks noChangeAspect="1" noChangeArrowheads="1"/>
        </xdr:cNvPicPr>
      </xdr:nvPicPr>
      <xdr:blipFill>
        <a:blip xmlns:r="http://schemas.openxmlformats.org/officeDocument/2006/relationships" r:embed="rId5" cstate="print"/>
        <a:srcRect/>
        <a:stretch>
          <a:fillRect/>
        </a:stretch>
      </xdr:blipFill>
      <xdr:spPr bwMode="auto">
        <a:xfrm>
          <a:off x="16525875" y="9525"/>
          <a:ext cx="969070" cy="943228"/>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190750" cy="837864"/>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2190750" cy="837864"/>
        </a:xfrm>
        <a:prstGeom prst="rect">
          <a:avLst/>
        </a:prstGeom>
      </xdr:spPr>
    </xdr:pic>
    <xdr:clientData/>
  </xdr:oneCellAnchor>
  <xdr:twoCellAnchor editAs="oneCell">
    <xdr:from>
      <xdr:col>20</xdr:col>
      <xdr:colOff>1104900</xdr:colOff>
      <xdr:row>0</xdr:row>
      <xdr:rowOff>0</xdr:rowOff>
    </xdr:from>
    <xdr:to>
      <xdr:col>20</xdr:col>
      <xdr:colOff>2073970</xdr:colOff>
      <xdr:row>4</xdr:row>
      <xdr:rowOff>200278</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20964525" y="0"/>
          <a:ext cx="969070" cy="9432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1000125</xdr:colOff>
      <xdr:row>47</xdr:row>
      <xdr:rowOff>9525</xdr:rowOff>
    </xdr:from>
    <xdr:to>
      <xdr:col>6</xdr:col>
      <xdr:colOff>2905125</xdr:colOff>
      <xdr:row>47</xdr:row>
      <xdr:rowOff>9525</xdr:rowOff>
    </xdr:to>
    <xdr:cxnSp macro="">
      <xdr:nvCxnSpPr>
        <xdr:cNvPr id="2" name="Straight Connector 1"/>
        <xdr:cNvCxnSpPr/>
      </xdr:nvCxnSpPr>
      <xdr:spPr>
        <a:xfrm>
          <a:off x="10363200" y="11915775"/>
          <a:ext cx="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65</xdr:row>
      <xdr:rowOff>0</xdr:rowOff>
    </xdr:from>
    <xdr:to>
      <xdr:col>6</xdr:col>
      <xdr:colOff>2905125</xdr:colOff>
      <xdr:row>65</xdr:row>
      <xdr:rowOff>0</xdr:rowOff>
    </xdr:to>
    <xdr:cxnSp macro="">
      <xdr:nvCxnSpPr>
        <xdr:cNvPr id="3" name="Straight Connector 2"/>
        <xdr:cNvCxnSpPr/>
      </xdr:nvCxnSpPr>
      <xdr:spPr>
        <a:xfrm>
          <a:off x="10363200" y="15335250"/>
          <a:ext cx="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107</xdr:row>
      <xdr:rowOff>9525</xdr:rowOff>
    </xdr:from>
    <xdr:to>
      <xdr:col>6</xdr:col>
      <xdr:colOff>2905125</xdr:colOff>
      <xdr:row>107</xdr:row>
      <xdr:rowOff>9525</xdr:rowOff>
    </xdr:to>
    <xdr:cxnSp macro="">
      <xdr:nvCxnSpPr>
        <xdr:cNvPr id="7" name="Straight Connector 6"/>
        <xdr:cNvCxnSpPr/>
      </xdr:nvCxnSpPr>
      <xdr:spPr>
        <a:xfrm>
          <a:off x="10363200" y="22945725"/>
          <a:ext cx="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0</xdr:row>
      <xdr:rowOff>0</xdr:rowOff>
    </xdr:from>
    <xdr:ext cx="2190750" cy="837864"/>
    <xdr:pic>
      <xdr:nvPicPr>
        <xdr:cNvPr id="8" name="Picture 7" descr="logo.jpg"/>
        <xdr:cNvPicPr>
          <a:picLocks noChangeAspect="1"/>
        </xdr:cNvPicPr>
      </xdr:nvPicPr>
      <xdr:blipFill>
        <a:blip xmlns:r="http://schemas.openxmlformats.org/officeDocument/2006/relationships" r:embed="rId1" cstate="print"/>
        <a:stretch>
          <a:fillRect/>
        </a:stretch>
      </xdr:blipFill>
      <xdr:spPr>
        <a:xfrm>
          <a:off x="0" y="0"/>
          <a:ext cx="2190750" cy="837864"/>
        </a:xfrm>
        <a:prstGeom prst="rect">
          <a:avLst/>
        </a:prstGeom>
      </xdr:spPr>
    </xdr:pic>
    <xdr:clientData/>
  </xdr:oneCellAnchor>
  <xdr:twoCellAnchor editAs="oneCell">
    <xdr:from>
      <xdr:col>15</xdr:col>
      <xdr:colOff>447675</xdr:colOff>
      <xdr:row>0</xdr:row>
      <xdr:rowOff>9525</xdr:rowOff>
    </xdr:from>
    <xdr:to>
      <xdr:col>16</xdr:col>
      <xdr:colOff>702370</xdr:colOff>
      <xdr:row>5</xdr:row>
      <xdr:rowOff>253</xdr:rowOff>
    </xdr:to>
    <xdr:pic>
      <xdr:nvPicPr>
        <xdr:cNvPr id="9"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16525875" y="9525"/>
          <a:ext cx="969070" cy="943228"/>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2190750" cy="837864"/>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2190750" cy="837864"/>
        </a:xfrm>
        <a:prstGeom prst="rect">
          <a:avLst/>
        </a:prstGeom>
      </xdr:spPr>
    </xdr:pic>
    <xdr:clientData/>
  </xdr:oneCellAnchor>
  <xdr:twoCellAnchor editAs="oneCell">
    <xdr:from>
      <xdr:col>21</xdr:col>
      <xdr:colOff>1104900</xdr:colOff>
      <xdr:row>0</xdr:row>
      <xdr:rowOff>0</xdr:rowOff>
    </xdr:from>
    <xdr:to>
      <xdr:col>21</xdr:col>
      <xdr:colOff>2073970</xdr:colOff>
      <xdr:row>4</xdr:row>
      <xdr:rowOff>200278</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20964525" y="0"/>
          <a:ext cx="969070" cy="943228"/>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1490389</xdr:colOff>
      <xdr:row>4</xdr:row>
      <xdr:rowOff>104775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 y="0"/>
          <a:ext cx="2261913" cy="847725"/>
        </a:xfrm>
        <a:prstGeom prst="rect">
          <a:avLst/>
        </a:prstGeom>
        <a:noFill/>
        <a:ln w="9525">
          <a:noFill/>
          <a:miter lim="800000"/>
          <a:headEnd/>
          <a:tailEnd/>
        </a:ln>
      </xdr:spPr>
    </xdr:pic>
    <xdr:clientData/>
  </xdr:twoCellAnchor>
  <xdr:twoCellAnchor editAs="oneCell">
    <xdr:from>
      <xdr:col>32</xdr:col>
      <xdr:colOff>1476375</xdr:colOff>
      <xdr:row>0</xdr:row>
      <xdr:rowOff>0</xdr:rowOff>
    </xdr:from>
    <xdr:to>
      <xdr:col>32</xdr:col>
      <xdr:colOff>2449927</xdr:colOff>
      <xdr:row>4</xdr:row>
      <xdr:rowOff>204200</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22955250" y="0"/>
          <a:ext cx="973552" cy="9471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178593</xdr:colOff>
      <xdr:row>0</xdr:row>
      <xdr:rowOff>11906</xdr:rowOff>
    </xdr:from>
    <xdr:to>
      <xdr:col>2</xdr:col>
      <xdr:colOff>679136</xdr:colOff>
      <xdr:row>0</xdr:row>
      <xdr:rowOff>724958</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78593" y="11906"/>
          <a:ext cx="1348268" cy="713052"/>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2190750" cy="837864"/>
    <xdr:pic>
      <xdr:nvPicPr>
        <xdr:cNvPr id="2" name="Picture 1" descr="logo.jpg"/>
        <xdr:cNvPicPr>
          <a:picLocks noChangeAspect="1"/>
        </xdr:cNvPicPr>
      </xdr:nvPicPr>
      <xdr:blipFill>
        <a:blip xmlns:r="http://schemas.openxmlformats.org/officeDocument/2006/relationships" r:embed="rId1" cstate="print"/>
        <a:stretch>
          <a:fillRect/>
        </a:stretch>
      </xdr:blipFill>
      <xdr:spPr>
        <a:xfrm>
          <a:off x="0" y="0"/>
          <a:ext cx="2190750" cy="837864"/>
        </a:xfrm>
        <a:prstGeom prst="rect">
          <a:avLst/>
        </a:prstGeom>
      </xdr:spPr>
    </xdr:pic>
    <xdr:clientData/>
  </xdr:oneCellAnchor>
  <xdr:twoCellAnchor editAs="oneCell">
    <xdr:from>
      <xdr:col>20</xdr:col>
      <xdr:colOff>1104900</xdr:colOff>
      <xdr:row>0</xdr:row>
      <xdr:rowOff>0</xdr:rowOff>
    </xdr:from>
    <xdr:to>
      <xdr:col>20</xdr:col>
      <xdr:colOff>2073970</xdr:colOff>
      <xdr:row>4</xdr:row>
      <xdr:rowOff>200278</xdr:rowOff>
    </xdr:to>
    <xdr:pic>
      <xdr:nvPicPr>
        <xdr:cNvPr id="3" name="Picture 41" descr="savills"/>
        <xdr:cNvPicPr>
          <a:picLocks noChangeAspect="1" noChangeArrowheads="1"/>
        </xdr:cNvPicPr>
      </xdr:nvPicPr>
      <xdr:blipFill>
        <a:blip xmlns:r="http://schemas.openxmlformats.org/officeDocument/2006/relationships" r:embed="rId2" cstate="print"/>
        <a:srcRect/>
        <a:stretch>
          <a:fillRect/>
        </a:stretch>
      </xdr:blipFill>
      <xdr:spPr bwMode="auto">
        <a:xfrm>
          <a:off x="20964525" y="0"/>
          <a:ext cx="969070" cy="94322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T\SNT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pthibichdao\Local%20Settings\Temporary%20Internet%20Files\Content.Outlook\EBW4ODSB\SHK%20Finance\ACCOUNT\Cicely%20Yu\Board%20Meeting\Board%20Meeting%202005-09-21\Financial%20Report%202005%20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Vinh\dung\HUONG\HCM_BVTC\DT-cac%20co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CCOUNTS\CambridgeAccounts\MonthlyReports\MASTER\L&amp;P\L&amp;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haib\Local%20Settings\Temporary%20Internet%20Files\Content.IE5\U86F8DSJ\FSs%202012-01%20Final%20(gop%20chung%20CF)-up%20to%20SU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CCOUNTS\CambridgeAccounts\Regional%20Team%20L&amp;S\National%20Stats%202002\Lead%20Tim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inside.nokiasiemensnetworks.com/USERS/P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ilibwss/Taichinh/duan$/Tong%20hop%20du%20an%201999%20(new).V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pthibichdao\Local%20Settings\Temporary%20Internet%20Files\Content.Outlook\EBW4ODSB\Temp\Book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T\SNT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fs\KAA_AM1\GIC\04%20Premier%20Place(HWASAN)\07%20Report_to%20GIC\002%20Budget\Budget%202006\Second%20Draft\PP_Budget%202006_2nd%20draf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44053;&#46041;&#54840;\&#44053;&#46041;&#54840;\MSOFFICE\EXCEL\EXAMPLES\TEST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hanhtuan\AppData\Local\Microsoft\Windows\Temporary%20Internet%20Files\Content.Outlook\1BUEZ83A\Budget%202016-Discussion.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9569;&#52292;&#54861;\&#50868;&#50689;\&#49324;&#50629;&#49548;\&#47196;&#45812;&#53076;&#53440;&#50892;\&#54620;&#44397;&#51473;&#44277;&#50629;&#48372;&#5050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hanhtuan\AppData\Local\Microsoft\Windows\Temporary%20Internet%20Files\Content.Outlook\1BUEZ83A\Capex%20Master%202016.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49324;&#50629;&#51109;\&#47196;&#45812;&#53076;&#53440;&#50892;\&#50900;&#47568;&#48372;&#44256;&#49436;\MJR\&#44277;&#50976;\&#54620;&#44397;&#51473;&#44277;&#50629;&#49884;&#4944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49324;&#50629;&#51109;\&#47196;&#45812;&#53076;&#53440;&#50892;\&#50900;&#47568;&#48372;&#44256;&#49436;\MJR\&#44277;&#50976;\&#54620;&#44397;&#51473;&#44277;&#50629;&#48372;&#505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9569;&#52292;&#54861;\&#50868;&#50689;\&#49324;&#50629;&#49548;\&#47196;&#45812;&#53076;&#53440;&#50892;\&#54620;&#44397;&#51473;&#44277;&#50629;&#49884;&#4944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Tv-hienphu\betong\betong\Nguyetanh\Asset-01-200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F\T\SNT7.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My%20working\Receipt\Temporary-3380501\temp%2009.2010\Temp%2023.09%20~%2025.0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phong%20nen\DT-THL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d2\D\8+4%202000%20and%20budget\New%20MR%20forma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Tuan%202010\HK%20Report%202010\Report\Actual%202010%20-%20Format%202003\Aug\Actual\HCM-Actual08-20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Database%20-%20Tuan\Report\Budget\Budget%202017%20(Normal).xlsx"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Worksheet%20in%2022311%20Draf%20Financial%20Statements%20-%2030%201%202005"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My%20Documents\D&#249;%20to&#184;n%20ch&#221;nh%20th&#248;c\C&#199;u\km86-147(TKKT)_lap.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Users\Administrator\AppData\Local\Microsoft\Windows\Temporary%20Internet%20Files\Content.IE5\OJ63V8YJ\Diep.Dinh\Accounting%20data\Lien%20Data\Accounting\Accouting\budget\2012\Riviera%20Cove_Budget%20(Collin)%202012081"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Users\nguyenduong\AppData\Local\Microsoft\Windows\Temporary%20Internet%20Files\Content.Outlook\2LPTTG8E\Documents%20and%20Settings\nguyenduong\Local%20Settings\Temporary%20Internet%20Files\Content.Outlook\BEJ8EUUI\780215%20780900.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IEN2\C\WINDOWS\TEMP\MATERIAL\&#33457;&#3602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dtdung\Local%20Settings\Temporary%20Internet%20Files\OLK60\Copy%20of%20KhungLuongCMCCorp_htMinhv2%207%20xls%20(file%20gui%20S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54140;&#45768;&#52376;\C\&#51648;&#54812;&#48169;\&#50629;&#47924;\&#49888;&#44032;&#44201;&#5436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20LOAN%20TRAN\Savills%20reports\Nhat%20ky%20chung\2017\2017%20NKC\At%20as%2031.08.2017.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PDASIAFS01\cng$\CARRIE\BUDGET\02budget\Shanghai\Bdgtce.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44053;&#46041;&#54840;\&#44053;&#46041;&#54840;\data\XLS\dongaest\MSOFFICE\EXCEL\EXAMPLES\CUSTOME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ay2\my%20documents\THAIBAO\THU%20VIEN%20TN\d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fs\KAA_AM2\Documents%20and%20Settings\dslim\Local%20Settings\Temporary%20Internet%20Files\OLK2\&#49569;&#52292;&#54861;\&#50868;&#50689;\&#44288;&#47144;&#51088;&#47308;\SM\Inspection%20&amp;%20Checklist\QPQ_200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WINDOWS\TEMP\IBASE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fs\KAA_AM2\Documents%20and%20Settings\dslim\Local%20Settings\Temporary%20Internet%20Files\OLK2\&#49324;&#50629;&#51109;\&#47196;&#45812;&#53076;&#53440;&#50892;\&#50900;&#47568;&#48372;&#44256;&#49436;\MJR\&#44277;&#50976;\&#47196;&#45812;&#53076;&#52509;&#44292;&#51228;&#50504;&#44204;&#5120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ttmtrang\Local%20Settings\Temporary%20Internet%20Files\OLK6A\KhungLuongCMCCorp_htMinhv2%207%204.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Common\Ke%20hoach%20nam%202008\Baove\CBU%234\Kehoachngansach%20CBU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Kfs1\fn\Documents%20and%20Settings\kdjeon\Local%20Settings\Temporary%20Internet%20Files\OLK516\&#51333;&#54633;&#50629;&#47924;\&#49352;%20&#54260;&#45908;\MJR\&#44277;&#50976;\&#54620;&#44397;&#51473;&#44277;&#50629;&#48372;&#505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ain\users\thanhSV\Public\CMS%20Price\Kinh%20doanh\Price%202003\COST_08-2K3_phanphhoi_v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Ed2\D\8+4%202000%20and%20budget\8+4_Budget%202001%20V3%20%20ecu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savhkfs01\Documents%20and%20Settings\masfau\Local%20Settings\Temporary%20Internet%20Files\OLKFA\From%20JOS\Savills_PC%20%20Server%20Maint%20%20(MA-7992a)%2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fs\kaa_am1\GIC\03%20Kolon(HWASAN)\07%20Report_to%20GIC\002%20Budget\Budget%202006\1st%20Draft\KLB_Budget%202006_2nd%20draft-back-up.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Bang\c\Dung%20Quat\Nhom%20GC\New%20Folder\My%20Documents\3533\98Q\3533\Q\98Q2943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ianh\shared%20file\My%20Documents\Excel%20job\Hanoi%202002\My%20Documents\Ketoan2001\CDTKM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49324;&#50629;&#51109;\&#47196;&#45812;&#53076;&#53440;&#50892;\&#50900;&#47568;&#48372;&#44256;&#49436;\MJR\&#44277;&#50976;\&#47196;&#45812;&#53076;&#52509;&#44292;&#51228;&#50504;&#44204;&#51201;3.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Apple\Library\Containers\com.apple.mail\Data\Library\Mail%20Downloads\0BA31553-C575-4A8C-861B-81649B9505DD\fscluster\usersdefpaths\cushman\live\43910622876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USER\AppData\Local\Temp\Rar$DI16.424\SoketoanA5_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Administrator\AppData\Local\Microsoft\Windows\Temporary%20Internet%20Files\Content.IE5\OJ63V8YJ\Diep.Dinh\Accounting%20data\Lien%20Data\Accounting\Accouting\budget\2012\Riviera%20Cove_Budget%20(Collin)%2020120817%20diff.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MGT-DRT\MGT-IMPR\MGT-SC@\BA0397\INSULT'N\INS\ASK\PIPE-03E.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ACCOUNTS\CambridgeAccounts\MonthlyReports\MASTER\L&amp;P\L&amp;P.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ydocs\CMC\Ke%20hoach%20nam%202007\Bao%20ve\CBU%236\CBU%20%236.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HanoiAccount\Accounting\ALIBABA\2010\HK%20Reports\FS\FS-08-2010.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WINDOWS\TEMP\HRLuongCMCSoft2001_v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han\c\TIEN\hoasenbosung.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2015-FIN\2015-Genneral\Payroll\HO\July%202015\072015%20-%20SALARY%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Administrator\AppData\Local\Microsoft\Windows\Temporary%20Internet%20Files\Content.IE5\OJ63V8YJ\T\SNT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Hungnd\dutoan\DUTOAN\DANANG\Phonam\P.NamKT4.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main\Work\WINDOWS\TEMP\DADA-BVH-VienKHXH-Dutoan%20V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Documents%20and%20Settings\dnbich\Local%20Settings\Temporary%20Internet%20Files\OLK32E\Du%20an%20iLib%203%20Oct%202005.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My%20documents\CMCsoft_BP2003_v4.3.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hanhtuan\AppData\Local\Microsoft\Windows\Temporary%20Internet%20Files\Content.Outlook\1BUEZ83A\User%20Count%20Master.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server02\Am_team\&#45216;&#47560;&#45796;&#48372;&#44256;&#54616;&#45264;\9&#50900;\20021010&#47785;\&#49352;%20&#54260;&#45908;\&#51204;&#44592;&#48516;&#50556;\&#51204;&#44592;xls\&#50629;&#47924;&#48372;&#44256;\0118monthly\WINDOWS\Temporary%20Internet%20Files\OLKE353\&#49324;&#50629;&#51109;\&#47196;&#45812;&#53076;&#53440;&#50892;\&#50900;&#47568;&#48372;&#44256;&#49436;\MJR\&#44277;&#50976;\&#47196;&#45812;&#53076;&#52509;&#44292;&#51228;&#50504;&#44204;&#51201;3.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server02\Am_team\&#45216;&#47560;&#45796;&#48372;&#44256;&#54616;&#45264;\9&#50900;\20021010&#47785;\&#49352;%20&#54260;&#45908;\&#51204;&#44592;&#48516;&#50556;\&#51204;&#44592;xls\&#50629;&#47924;&#48372;&#44256;\0118monthly\WINDOWS\Temporary%20Internet%20Files\OLKE353\&#49324;&#50629;&#51109;\&#47196;&#45812;&#53076;&#53440;&#50892;\&#50900;&#47568;&#48372;&#44256;&#49436;\MJR\&#44277;&#50976;\&#54620;&#44397;&#51473;&#44277;&#50629;&#49884;&#49444;.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fs\KAA_AM3\&#51228;&#50504;&#49436;\&#51008;&#49437;&#48716;&#46377;\&#47196;&#45812;&#53076;&#52509;&#44292;&#51228;&#50504;&#44204;&#51201;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T\SNT7.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fs\kaa_am3\Windows\Temporary%20Internet%20Files\OLKB355\&#49324;&#50629;&#51109;\&#47196;&#45812;&#53076;&#53440;&#50892;\&#50900;&#47568;&#48372;&#44256;&#49436;\MJR\&#44277;&#50976;\&#47196;&#45812;&#53076;&#52509;&#44292;&#51228;&#50504;&#44204;&#51201;3.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dfs\KAA_AM2\Documents%20and%20Settings\dslim\Local%20Settings\Temporary%20Internet%20Files\OLK2\&#49324;&#50629;&#51109;\&#47196;&#45812;&#53076;&#53440;&#50892;\&#50900;&#47568;&#48372;&#44256;&#49436;\MJR\&#44277;&#50976;\&#54620;&#44397;&#51473;&#44277;&#50629;&#49884;&#49444;.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mail3.hanmir.com/Windows/Temporary%20Internet%20Files/OLKB355/&#49324;&#50629;&#51109;/&#47196;&#45812;&#53076;&#53440;&#50892;/&#50900;&#47568;&#48372;&#44256;&#49436;/MJR/&#44277;&#50976;/&#47196;&#45812;&#53076;&#52509;&#44292;&#51228;&#50504;&#44204;&#51201;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Users\hanhtuan\AppData\Local\Microsoft\Windows\Temporary%20Internet%20Files\Content.Outlook\1BUEZ83A\Budget%20%20Forecast%202016%20-%2019%2008%202015.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1.%20LOAN%20TRAN\Savills%20reports\Nhat%20ky%20chung\2017\2017.09%20NKC%20MF\9.1%20GL%20-%20NKC%20MF%20Savills%2001.09-30.09.17.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T:\5.%20Finance\BOC%20Account\BANK%20LOG%20BOOK%20BOC.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D:\1.%20LOAN%20TRAN\Budget\2018\Budget%202018\Engineering\Copy%20of%20Budget%202018%20-%20Engineering%2011%2012%202017%20Sent%20Mr%20%20Thanh%2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SHK%20Finance\ACCOUNT\Cicely%20Yu\Board%20Meeting\Board%20Meeting%202005-09-21\Financial%20Report%202005%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 val="THU-TIEN"/>
      <sheetName val="CONG-NO"/>
      <sheetName val="XL4Poppy"/>
      <sheetName val="dg-VTu"/>
      <sheetName val="GENERAL DATA - 2015"/>
      <sheetName val="VL"/>
      <sheetName val="TN"/>
      <sheetName val="ND"/>
      <sheetName val="MTO REV.2(ARMO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ge 1"/>
      <sheetName val="page 2"/>
      <sheetName val="page 3"/>
      <sheetName val="page 4"/>
      <sheetName val="page 5"/>
      <sheetName val="page 6"/>
      <sheetName val="page 7"/>
      <sheetName val="page 8-10"/>
      <sheetName val="page 1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DTCT"/>
      <sheetName val="ဳ0000000"/>
      <sheetName val="VaoMavaKL"/>
      <sheetName val="VaoSL"/>
      <sheetName val="KQPTVL"/>
      <sheetName val="KQPTVLNgang"/>
      <sheetName val="DMCTDoiDonVi"/>
      <sheetName val="CMa"/>
      <sheetName val="NC"/>
      <sheetName val="MTC"/>
      <sheetName val="XL_x0014_Poppy"/>
      <sheetName val="Tra_bang"/>
      <sheetName val="TT"/>
      <sheetName val="THM"/>
      <sheetName val="THAT"/>
      <sheetName val="THTN"/>
      <sheetName val="THGC"/>
      <sheetName val="GCTL"/>
      <sheetName val="DGduong"/>
      <sheetName val="PhatsiûÎ"/>
      <sheetName val="DT32"/>
      <sheetName val="BangLuong2008"/>
      <sheetName val="XL4Poppy (2䀁"/>
      <sheetName val="FHANCONGduong"/>
      <sheetName val="N`an cong cong"/>
      <sheetName val="NHALCONGdu_x000f_ng"/>
      <sheetName val="Nha_x000e_ cong`#/.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
      <sheetName val="vua"/>
      <sheetName val="gVL"/>
      <sheetName val="dtoan"/>
      <sheetName val="goithau-so4"/>
      <sheetName val="tkp"/>
      <sheetName val="VL"/>
      <sheetName val="TN"/>
      <sheetName val="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Sheet1"/>
      <sheetName val="Sheet2"/>
      <sheetName val="Sheet3"/>
      <sheetName val="Sheet4"/>
      <sheetName val="Sheet5"/>
      <sheetName val="Gia VL"/>
      <sheetName val="Bang gia ca may"/>
      <sheetName val="Bang luong CB"/>
      <sheetName val="Bang P.tich CT"/>
      <sheetName val="D.toan chi tiet"/>
      <sheetName val="Bang TH Dtoan"/>
      <sheetName val="XXXXXXXX"/>
      <sheetName val="NC10"/>
      <sheetName val="VL10"/>
      <sheetName val="CFmay10"/>
      <sheetName val="627(10)"/>
      <sheetName val="CN"/>
      <sheetName val="Capphoivua"/>
      <sheetName val="cau"/>
      <sheetName val="cong"/>
      <sheetName val="nhua"/>
      <sheetName val="chitiet"/>
      <sheetName val="DuThauSuaLoi"/>
      <sheetName val="TongHopSuaLoi"/>
      <sheetName val="GT"/>
      <sheetName val="TH"/>
      <sheetName val="tienluong"/>
      <sheetName val="00000000"/>
      <sheetName val="T1"/>
      <sheetName val="gVL"/>
      <sheetName val="KL DUONG DC L = 90m"/>
      <sheetName val="TH theo tinh"/>
      <sheetName val="TH theo hang muc"/>
      <sheetName val="Quang Tri"/>
      <sheetName val="TTHue"/>
      <sheetName val="Da Nang"/>
      <sheetName val="Quang Nam"/>
      <sheetName val="Quang Ngai"/>
      <sheetName val="TH DH-QN"/>
      <sheetName val="KP HD"/>
      <sheetName val="DB HD"/>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20% BHXH"/>
      <sheetName val="TrÝch 2%KPC§"/>
      <sheetName val="TrÝch 3% BHYT"/>
      <sheetName val="SD cac TK"/>
      <sheetName val="TK336"/>
      <sheetName val="Chart1"/>
      <sheetName val="chi tiet 131"/>
      <sheetName val="Ke 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DEBT"/>
      <sheetName val="FEES"/>
      <sheetName val="Chart2"/>
      <sheetName val="FORECAST "/>
      <sheetName val="PLAN9899"/>
      <sheetName val="199899"/>
      <sheetName val="FEE ANALYSIS"/>
      <sheetName val="ARWIP"/>
      <sheetName val="Chart1"/>
      <sheetName val="ARBILL"/>
      <sheetName val="GRAPH"/>
      <sheetName val="DEBTGPH"/>
      <sheetName val="ARSTAFF"/>
      <sheetName val="Module1"/>
      <sheetName val="L&amp;P"/>
      <sheetName val="인원계획-미화"/>
      <sheetName val="MTL$-INTER"/>
    </sheetNames>
    <sheetDataSet>
      <sheetData sheetId="0"/>
      <sheetData sheetId="1"/>
      <sheetData sheetId="2" refreshError="1"/>
      <sheetData sheetId="3"/>
      <sheetData sheetId="4"/>
      <sheetData sheetId="5"/>
      <sheetData sheetId="6"/>
      <sheetData sheetId="7"/>
      <sheetData sheetId="8" refreshError="1"/>
      <sheetData sheetId="9"/>
      <sheetData sheetId="10"/>
      <sheetData sheetId="11"/>
      <sheetData sheetId="12"/>
      <sheetData sheetId="13" refreshError="1"/>
      <sheetData sheetId="14" refreshError="1"/>
      <sheetData sheetId="15" refreshError="1"/>
      <sheetData sheetId="1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Compare P&amp;L"/>
      <sheetName val="IS"/>
      <sheetName val="Trial balance"/>
      <sheetName val="G. Ledger Crescent"/>
      <sheetName val="1310101"/>
      <sheetName val="1410401"/>
      <sheetName val="1410201"/>
      <sheetName val="1440201"/>
      <sheetName val="331"/>
      <sheetName val="3380501"/>
      <sheetName val="ZSSUNDRY"/>
      <sheetName val="4210101-4210201"/>
      <sheetName val="LOOKUP"/>
    </sheetNames>
    <sheetDataSet>
      <sheetData sheetId="0"/>
      <sheetData sheetId="1"/>
      <sheetData sheetId="2"/>
      <sheetData sheetId="3"/>
      <sheetData sheetId="4">
        <row r="596">
          <cell r="G596">
            <v>330660150</v>
          </cell>
        </row>
      </sheetData>
      <sheetData sheetId="5">
        <row r="11">
          <cell r="E11" t="str">
            <v>1121073</v>
          </cell>
        </row>
      </sheetData>
      <sheetData sheetId="6"/>
      <sheetData sheetId="7"/>
      <sheetData sheetId="8"/>
      <sheetData sheetId="9"/>
      <sheetData sheetId="10"/>
      <sheetData sheetId="11"/>
      <sheetData sheetId="12"/>
      <sheetData sheetId="13"/>
      <sheetData sheetId="1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Time"/>
      <sheetName val="#REF"/>
      <sheetName val="G. Ledger Crescent"/>
      <sheetName val="Trial balance"/>
      <sheetName val="ARDEBT"/>
      <sheetName val="LOOKU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6"/>
      <sheetName val="HD-XUAT"/>
      <sheetName val="In- out "/>
      <sheetName val="CDKT"/>
      <sheetName val="CDPS2"/>
      <sheetName val="NKC"/>
      <sheetName val="HT"/>
      <sheetName val="DMDoiTuong"/>
      <sheetName val="DMHTK"/>
      <sheetName val="DMTH"/>
      <sheetName val="HTTK"/>
      <sheetName val="INTC"/>
      <sheetName val="Ket chuyen"/>
      <sheetName val="XEMTONKHO"/>
      <sheetName val="SCCT"/>
      <sheetName val="SCTH"/>
      <sheetName val="SDDK"/>
      <sheetName val="So CT vat tu"/>
      <sheetName val="TAM"/>
      <sheetName val="THCN"/>
      <sheetName val="VAT01"/>
      <sheetName val="VAT0203"/>
      <sheetName val="Template"/>
      <sheetName val="Chart"/>
    </sheetNames>
    <definedNames>
      <definedName name="adv"/>
      <definedName name="adv_10"/>
      <definedName name="agfasdga"/>
      <definedName name="agfasdga_10"/>
      <definedName name="ahgarhr"/>
      <definedName name="ahgarhr_10"/>
      <definedName name="albcurq3"/>
      <definedName name="albcurq3_10"/>
      <definedName name="astrt"/>
      <definedName name="astrt_10"/>
      <definedName name="bc"/>
      <definedName name="bc_10"/>
      <definedName name="cdf"/>
      <definedName name="cdf_10"/>
      <definedName name="CmdCancel_Click"/>
      <definedName name="CmdCancel_Click_10"/>
      <definedName name="CmdOK_Click"/>
      <definedName name="CmdOK_Click_10"/>
      <definedName name="codeSheet.CmdCancel_Click"/>
      <definedName name="codeSheet.CmdCancel_Click_10"/>
      <definedName name="codeSheet.Server_Select_Change"/>
      <definedName name="codeSheet.Server_Select_Change_10"/>
      <definedName name="com"/>
      <definedName name="com_10"/>
      <definedName name="coma"/>
      <definedName name="coma_10"/>
      <definedName name="comparison"/>
      <definedName name="comparison_10"/>
      <definedName name="cost"/>
      <definedName name="cost_10"/>
      <definedName name="db_select_Change"/>
      <definedName name="db_select_Change_10"/>
      <definedName name="def"/>
      <definedName name="def_10"/>
      <definedName name="dfsfdsf"/>
      <definedName name="dfsfdsf_10"/>
      <definedName name="edc"/>
      <definedName name="edc_10"/>
      <definedName name="ewtre"/>
      <definedName name="ewtre_10"/>
      <definedName name="fhgdgh"/>
      <definedName name="fhgdgh_10"/>
      <definedName name="get_data"/>
      <definedName name="get_data_10"/>
      <definedName name="hraehh"/>
      <definedName name="hraehh_10"/>
      <definedName name="hretetaesdf"/>
      <definedName name="hretetaesdf_10"/>
      <definedName name="hretyr"/>
      <definedName name="hretyr_10"/>
      <definedName name="Mbr_Select_Change"/>
      <definedName name="Mbr_Select_Change_10"/>
      <definedName name="Mbr_Select_org_Change"/>
      <definedName name="Mbr_Select_org_Change_10"/>
      <definedName name="Mbr_Select_reg_Change"/>
      <definedName name="Mbr_Select_reg_Change_10"/>
      <definedName name="Mbr_Select_sce_Change"/>
      <definedName name="Mbr_Select_sce_Change_10"/>
      <definedName name="MbrSelOk_Click"/>
      <definedName name="MbrSelOk_Click_10"/>
      <definedName name="password_entry_Change"/>
      <definedName name="password_entry_Change_10"/>
      <definedName name="retwtwerwe"/>
      <definedName name="retwtwerwe_10"/>
      <definedName name="Select_members"/>
      <definedName name="Select_members_10"/>
      <definedName name="Server_Select_Change"/>
      <definedName name="Server_Select_Change_10"/>
      <definedName name="sfashgh"/>
      <definedName name="sfashgh_10"/>
      <definedName name="sfsagsgfd"/>
      <definedName name="sfsagsgfd_10"/>
      <definedName name="sfsddfd"/>
      <definedName name="sfsddfd_10"/>
      <definedName name="stgetwer"/>
      <definedName name="stgetwer_10"/>
      <definedName name="tryery"/>
      <definedName name="tryery_10"/>
      <definedName name="userid_entry_Change"/>
      <definedName name="userid_entry_Change_10"/>
    </definedNames>
    <sheetDataSet>
      <sheetData sheetId="0">
        <row r="2">
          <cell r="H2" t="str">
            <v/>
          </cell>
        </row>
        <row r="3">
          <cell r="H3">
            <v>0</v>
          </cell>
        </row>
        <row r="4">
          <cell r="H4">
            <v>0</v>
          </cell>
        </row>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row r="44">
          <cell r="H44">
            <v>0</v>
          </cell>
        </row>
        <row r="45">
          <cell r="H45">
            <v>0</v>
          </cell>
        </row>
        <row r="46">
          <cell r="H46">
            <v>0</v>
          </cell>
        </row>
        <row r="47">
          <cell r="H47">
            <v>0</v>
          </cell>
        </row>
        <row r="48">
          <cell r="H48">
            <v>0</v>
          </cell>
        </row>
        <row r="49">
          <cell r="H49">
            <v>0</v>
          </cell>
        </row>
        <row r="50">
          <cell r="H50">
            <v>0</v>
          </cell>
        </row>
        <row r="51">
          <cell r="H51">
            <v>0</v>
          </cell>
        </row>
        <row r="52">
          <cell r="H52">
            <v>0</v>
          </cell>
        </row>
        <row r="53">
          <cell r="H53">
            <v>0</v>
          </cell>
        </row>
        <row r="54">
          <cell r="H54">
            <v>0</v>
          </cell>
        </row>
        <row r="55">
          <cell r="H55">
            <v>0</v>
          </cell>
        </row>
        <row r="56">
          <cell r="H56">
            <v>0</v>
          </cell>
        </row>
        <row r="57">
          <cell r="H57">
            <v>0</v>
          </cell>
        </row>
        <row r="58">
          <cell r="H58">
            <v>0</v>
          </cell>
        </row>
        <row r="59">
          <cell r="H59">
            <v>0</v>
          </cell>
        </row>
        <row r="60">
          <cell r="H60">
            <v>0</v>
          </cell>
        </row>
        <row r="61">
          <cell r="H61">
            <v>0</v>
          </cell>
        </row>
        <row r="62">
          <cell r="H62">
            <v>0</v>
          </cell>
        </row>
        <row r="63">
          <cell r="H63">
            <v>0</v>
          </cell>
        </row>
        <row r="64">
          <cell r="H64">
            <v>0</v>
          </cell>
        </row>
        <row r="65">
          <cell r="H65">
            <v>0</v>
          </cell>
        </row>
        <row r="66">
          <cell r="H66">
            <v>0</v>
          </cell>
        </row>
        <row r="67">
          <cell r="H67">
            <v>0</v>
          </cell>
        </row>
        <row r="68">
          <cell r="H68">
            <v>0</v>
          </cell>
        </row>
        <row r="69">
          <cell r="H69">
            <v>0</v>
          </cell>
        </row>
        <row r="70">
          <cell r="H70">
            <v>0</v>
          </cell>
        </row>
        <row r="71">
          <cell r="H71">
            <v>0</v>
          </cell>
        </row>
        <row r="72">
          <cell r="H72">
            <v>0</v>
          </cell>
        </row>
        <row r="73">
          <cell r="H73">
            <v>0</v>
          </cell>
        </row>
        <row r="74">
          <cell r="H74">
            <v>0</v>
          </cell>
        </row>
        <row r="75">
          <cell r="H75">
            <v>0</v>
          </cell>
        </row>
        <row r="76">
          <cell r="H76">
            <v>0</v>
          </cell>
        </row>
        <row r="77">
          <cell r="H77">
            <v>0</v>
          </cell>
        </row>
        <row r="78">
          <cell r="H78">
            <v>0</v>
          </cell>
        </row>
        <row r="79">
          <cell r="H79">
            <v>0</v>
          </cell>
        </row>
        <row r="80">
          <cell r="H80">
            <v>0</v>
          </cell>
        </row>
        <row r="81">
          <cell r="H81">
            <v>0</v>
          </cell>
        </row>
        <row r="82">
          <cell r="H82">
            <v>0</v>
          </cell>
        </row>
        <row r="83">
          <cell r="H83">
            <v>0</v>
          </cell>
        </row>
        <row r="84">
          <cell r="H84">
            <v>0</v>
          </cell>
        </row>
        <row r="85">
          <cell r="H85">
            <v>0</v>
          </cell>
        </row>
        <row r="86">
          <cell r="H86">
            <v>0</v>
          </cell>
        </row>
        <row r="87">
          <cell r="H87">
            <v>0</v>
          </cell>
        </row>
        <row r="88">
          <cell r="H88">
            <v>0</v>
          </cell>
        </row>
        <row r="89">
          <cell r="H89">
            <v>0</v>
          </cell>
        </row>
        <row r="90">
          <cell r="H90">
            <v>0</v>
          </cell>
        </row>
        <row r="91">
          <cell r="H91">
            <v>0</v>
          </cell>
        </row>
        <row r="92">
          <cell r="H92">
            <v>0</v>
          </cell>
        </row>
        <row r="93">
          <cell r="H93">
            <v>0</v>
          </cell>
        </row>
        <row r="94">
          <cell r="H94">
            <v>0</v>
          </cell>
        </row>
        <row r="95">
          <cell r="H95">
            <v>0</v>
          </cell>
        </row>
        <row r="96">
          <cell r="H96">
            <v>0</v>
          </cell>
        </row>
        <row r="97">
          <cell r="H97">
            <v>0</v>
          </cell>
        </row>
        <row r="98">
          <cell r="H98">
            <v>0</v>
          </cell>
        </row>
        <row r="99">
          <cell r="H99">
            <v>0</v>
          </cell>
        </row>
        <row r="100">
          <cell r="H100">
            <v>0</v>
          </cell>
        </row>
        <row r="101">
          <cell r="H101">
            <v>0</v>
          </cell>
        </row>
        <row r="102">
          <cell r="H102">
            <v>0</v>
          </cell>
        </row>
        <row r="103">
          <cell r="H103">
            <v>0</v>
          </cell>
        </row>
        <row r="104">
          <cell r="H104">
            <v>0</v>
          </cell>
        </row>
        <row r="105">
          <cell r="H105">
            <v>0</v>
          </cell>
        </row>
        <row r="106">
          <cell r="H106">
            <v>0</v>
          </cell>
        </row>
        <row r="107">
          <cell r="H107">
            <v>0</v>
          </cell>
        </row>
        <row r="108">
          <cell r="H108" t="str">
            <v>ORD 1850020102</v>
          </cell>
        </row>
        <row r="109">
          <cell r="H109">
            <v>0</v>
          </cell>
        </row>
        <row r="110">
          <cell r="H110">
            <v>0</v>
          </cell>
        </row>
        <row r="111">
          <cell r="H111">
            <v>0</v>
          </cell>
        </row>
        <row r="112">
          <cell r="H112">
            <v>0</v>
          </cell>
        </row>
        <row r="113">
          <cell r="H113">
            <v>0</v>
          </cell>
        </row>
        <row r="114">
          <cell r="H114" t="str">
            <v>ORD 1850050101</v>
          </cell>
        </row>
        <row r="115">
          <cell r="H115">
            <v>0</v>
          </cell>
        </row>
        <row r="116">
          <cell r="H116" t="str">
            <v>ORD 1850050101</v>
          </cell>
        </row>
        <row r="117">
          <cell r="H117">
            <v>0</v>
          </cell>
        </row>
        <row r="118">
          <cell r="H118">
            <v>0</v>
          </cell>
        </row>
        <row r="119">
          <cell r="H119">
            <v>0</v>
          </cell>
        </row>
        <row r="120">
          <cell r="H120">
            <v>0</v>
          </cell>
        </row>
        <row r="121">
          <cell r="H121">
            <v>0</v>
          </cell>
        </row>
        <row r="122">
          <cell r="H122">
            <v>0</v>
          </cell>
        </row>
        <row r="123">
          <cell r="H123">
            <v>0</v>
          </cell>
        </row>
        <row r="124">
          <cell r="H124">
            <v>0</v>
          </cell>
        </row>
        <row r="125">
          <cell r="H125">
            <v>0</v>
          </cell>
        </row>
        <row r="126">
          <cell r="H126">
            <v>0</v>
          </cell>
        </row>
        <row r="127">
          <cell r="H127">
            <v>0</v>
          </cell>
        </row>
        <row r="128">
          <cell r="H128">
            <v>0</v>
          </cell>
        </row>
        <row r="129">
          <cell r="H129">
            <v>0</v>
          </cell>
        </row>
        <row r="130">
          <cell r="H130">
            <v>0</v>
          </cell>
        </row>
        <row r="131">
          <cell r="H131">
            <v>0</v>
          </cell>
        </row>
        <row r="132">
          <cell r="H132">
            <v>0</v>
          </cell>
        </row>
        <row r="133">
          <cell r="H133">
            <v>0</v>
          </cell>
        </row>
        <row r="134">
          <cell r="H134">
            <v>0</v>
          </cell>
        </row>
        <row r="135">
          <cell r="H135">
            <v>0</v>
          </cell>
        </row>
        <row r="136">
          <cell r="H136">
            <v>0</v>
          </cell>
        </row>
        <row r="137">
          <cell r="H137">
            <v>0</v>
          </cell>
        </row>
        <row r="138">
          <cell r="H138">
            <v>0</v>
          </cell>
        </row>
        <row r="139">
          <cell r="H139">
            <v>0</v>
          </cell>
        </row>
        <row r="140">
          <cell r="H140">
            <v>0</v>
          </cell>
        </row>
        <row r="141">
          <cell r="H141">
            <v>0</v>
          </cell>
        </row>
        <row r="142">
          <cell r="H142">
            <v>0</v>
          </cell>
        </row>
        <row r="143">
          <cell r="H143">
            <v>0</v>
          </cell>
        </row>
        <row r="144">
          <cell r="H144">
            <v>0</v>
          </cell>
        </row>
        <row r="145">
          <cell r="H145">
            <v>0</v>
          </cell>
        </row>
        <row r="146">
          <cell r="H146">
            <v>0</v>
          </cell>
        </row>
        <row r="147">
          <cell r="H147">
            <v>0</v>
          </cell>
        </row>
        <row r="148">
          <cell r="H148">
            <v>0</v>
          </cell>
        </row>
        <row r="149">
          <cell r="H149">
            <v>0</v>
          </cell>
        </row>
        <row r="150">
          <cell r="H150">
            <v>0</v>
          </cell>
        </row>
        <row r="151">
          <cell r="H151">
            <v>0</v>
          </cell>
        </row>
        <row r="152">
          <cell r="H152">
            <v>0</v>
          </cell>
        </row>
        <row r="153">
          <cell r="H153">
            <v>0</v>
          </cell>
        </row>
        <row r="154">
          <cell r="H154">
            <v>0</v>
          </cell>
        </row>
        <row r="155">
          <cell r="H155">
            <v>0</v>
          </cell>
        </row>
        <row r="156">
          <cell r="H156">
            <v>0</v>
          </cell>
        </row>
        <row r="157">
          <cell r="H157">
            <v>0</v>
          </cell>
        </row>
        <row r="158">
          <cell r="H158">
            <v>0</v>
          </cell>
        </row>
        <row r="159">
          <cell r="H159" t="str">
            <v>ORD 1850050101</v>
          </cell>
        </row>
        <row r="160">
          <cell r="H160">
            <v>0</v>
          </cell>
        </row>
        <row r="161">
          <cell r="H161">
            <v>0</v>
          </cell>
        </row>
        <row r="162">
          <cell r="H162" t="str">
            <v>ORD 1850050101</v>
          </cell>
        </row>
        <row r="163">
          <cell r="H163">
            <v>0</v>
          </cell>
        </row>
        <row r="164">
          <cell r="H164">
            <v>0</v>
          </cell>
        </row>
        <row r="165">
          <cell r="H165">
            <v>0</v>
          </cell>
        </row>
        <row r="166">
          <cell r="H166">
            <v>0</v>
          </cell>
        </row>
        <row r="167">
          <cell r="H167">
            <v>0</v>
          </cell>
        </row>
        <row r="168">
          <cell r="H168">
            <v>0</v>
          </cell>
        </row>
        <row r="169">
          <cell r="H169">
            <v>0</v>
          </cell>
        </row>
        <row r="170">
          <cell r="H170">
            <v>0</v>
          </cell>
        </row>
        <row r="171">
          <cell r="H171">
            <v>0</v>
          </cell>
        </row>
        <row r="172">
          <cell r="H172">
            <v>0</v>
          </cell>
        </row>
        <row r="173">
          <cell r="H173">
            <v>0</v>
          </cell>
        </row>
        <row r="174">
          <cell r="H174">
            <v>0</v>
          </cell>
        </row>
        <row r="175">
          <cell r="H175">
            <v>0</v>
          </cell>
        </row>
        <row r="176">
          <cell r="H176">
            <v>0</v>
          </cell>
        </row>
        <row r="177">
          <cell r="H177">
            <v>0</v>
          </cell>
        </row>
        <row r="178">
          <cell r="H178">
            <v>0</v>
          </cell>
        </row>
        <row r="179">
          <cell r="H179">
            <v>0</v>
          </cell>
        </row>
        <row r="180">
          <cell r="H180">
            <v>0</v>
          </cell>
        </row>
        <row r="181">
          <cell r="H181" t="str">
            <v>ORD 1850050101</v>
          </cell>
        </row>
        <row r="182">
          <cell r="H182">
            <v>0</v>
          </cell>
        </row>
        <row r="183">
          <cell r="H183">
            <v>0</v>
          </cell>
        </row>
        <row r="184">
          <cell r="H184">
            <v>0</v>
          </cell>
        </row>
        <row r="185">
          <cell r="H185">
            <v>0</v>
          </cell>
        </row>
        <row r="186">
          <cell r="H186">
            <v>0</v>
          </cell>
        </row>
        <row r="187">
          <cell r="H187">
            <v>0</v>
          </cell>
        </row>
        <row r="188">
          <cell r="H188">
            <v>0</v>
          </cell>
        </row>
        <row r="189">
          <cell r="H189">
            <v>0</v>
          </cell>
        </row>
        <row r="190">
          <cell r="H190" t="str">
            <v>ORD 1850050101</v>
          </cell>
        </row>
        <row r="191">
          <cell r="H191" t="str">
            <v>ORD 1850050101</v>
          </cell>
        </row>
        <row r="192">
          <cell r="H192">
            <v>0</v>
          </cell>
        </row>
        <row r="193">
          <cell r="H193">
            <v>0</v>
          </cell>
        </row>
        <row r="194">
          <cell r="H194">
            <v>0</v>
          </cell>
        </row>
        <row r="195">
          <cell r="H195">
            <v>0</v>
          </cell>
        </row>
        <row r="196">
          <cell r="H196">
            <v>0</v>
          </cell>
        </row>
        <row r="197">
          <cell r="H197">
            <v>0</v>
          </cell>
        </row>
        <row r="198">
          <cell r="H198">
            <v>0</v>
          </cell>
        </row>
        <row r="199">
          <cell r="H199">
            <v>0</v>
          </cell>
        </row>
        <row r="200">
          <cell r="H200">
            <v>0</v>
          </cell>
        </row>
        <row r="201">
          <cell r="H201">
            <v>0</v>
          </cell>
        </row>
        <row r="202">
          <cell r="H202">
            <v>0</v>
          </cell>
        </row>
        <row r="203">
          <cell r="H203">
            <v>0</v>
          </cell>
        </row>
        <row r="204">
          <cell r="H204" t="str">
            <v>ORD 1850050101</v>
          </cell>
        </row>
        <row r="205">
          <cell r="H205">
            <v>0</v>
          </cell>
        </row>
        <row r="206">
          <cell r="H206">
            <v>0</v>
          </cell>
        </row>
        <row r="207">
          <cell r="H207">
            <v>0</v>
          </cell>
        </row>
        <row r="208">
          <cell r="H208">
            <v>0</v>
          </cell>
        </row>
        <row r="209">
          <cell r="H209">
            <v>0</v>
          </cell>
        </row>
        <row r="210">
          <cell r="H210">
            <v>0</v>
          </cell>
        </row>
        <row r="211">
          <cell r="H211">
            <v>0</v>
          </cell>
        </row>
        <row r="212">
          <cell r="H212">
            <v>0</v>
          </cell>
        </row>
        <row r="213">
          <cell r="H213">
            <v>0</v>
          </cell>
        </row>
        <row r="214">
          <cell r="H214">
            <v>0</v>
          </cell>
        </row>
        <row r="215">
          <cell r="H215">
            <v>0</v>
          </cell>
        </row>
        <row r="216">
          <cell r="H216">
            <v>0</v>
          </cell>
        </row>
        <row r="217">
          <cell r="H217">
            <v>0</v>
          </cell>
        </row>
        <row r="218">
          <cell r="H218">
            <v>0</v>
          </cell>
        </row>
        <row r="219">
          <cell r="H219">
            <v>0</v>
          </cell>
        </row>
        <row r="220">
          <cell r="H220">
            <v>0</v>
          </cell>
        </row>
        <row r="221">
          <cell r="H221">
            <v>0</v>
          </cell>
        </row>
        <row r="222">
          <cell r="H222">
            <v>0</v>
          </cell>
        </row>
        <row r="223">
          <cell r="H223">
            <v>0</v>
          </cell>
        </row>
        <row r="224">
          <cell r="H224">
            <v>0</v>
          </cell>
        </row>
        <row r="225">
          <cell r="H225">
            <v>0</v>
          </cell>
        </row>
        <row r="226">
          <cell r="H226">
            <v>0</v>
          </cell>
        </row>
        <row r="227">
          <cell r="H227">
            <v>0</v>
          </cell>
        </row>
        <row r="228">
          <cell r="H228">
            <v>0</v>
          </cell>
        </row>
        <row r="229">
          <cell r="H229">
            <v>0</v>
          </cell>
        </row>
        <row r="230">
          <cell r="H230">
            <v>0</v>
          </cell>
        </row>
        <row r="231">
          <cell r="H231">
            <v>0</v>
          </cell>
        </row>
        <row r="232">
          <cell r="H232">
            <v>0</v>
          </cell>
        </row>
        <row r="233">
          <cell r="H233">
            <v>0</v>
          </cell>
        </row>
        <row r="234">
          <cell r="H234">
            <v>0</v>
          </cell>
        </row>
        <row r="235">
          <cell r="H235">
            <v>0</v>
          </cell>
        </row>
        <row r="236">
          <cell r="H236">
            <v>0</v>
          </cell>
        </row>
        <row r="237">
          <cell r="H237">
            <v>0</v>
          </cell>
        </row>
        <row r="238">
          <cell r="H238">
            <v>0</v>
          </cell>
        </row>
        <row r="239">
          <cell r="H239">
            <v>0</v>
          </cell>
        </row>
        <row r="240">
          <cell r="H240">
            <v>0</v>
          </cell>
        </row>
        <row r="241">
          <cell r="H241">
            <v>0</v>
          </cell>
        </row>
        <row r="242">
          <cell r="H242">
            <v>0</v>
          </cell>
        </row>
        <row r="243">
          <cell r="H243">
            <v>0</v>
          </cell>
        </row>
        <row r="244">
          <cell r="H244">
            <v>0</v>
          </cell>
        </row>
        <row r="245">
          <cell r="H245">
            <v>0</v>
          </cell>
        </row>
        <row r="246">
          <cell r="H246">
            <v>0</v>
          </cell>
        </row>
        <row r="247">
          <cell r="H247">
            <v>0</v>
          </cell>
        </row>
        <row r="248">
          <cell r="H248">
            <v>0</v>
          </cell>
        </row>
        <row r="249">
          <cell r="H249">
            <v>0</v>
          </cell>
        </row>
        <row r="250">
          <cell r="H250">
            <v>0</v>
          </cell>
        </row>
        <row r="251">
          <cell r="H251">
            <v>0</v>
          </cell>
        </row>
        <row r="252">
          <cell r="H252">
            <v>0</v>
          </cell>
        </row>
        <row r="253">
          <cell r="H253">
            <v>0</v>
          </cell>
        </row>
        <row r="254">
          <cell r="H254">
            <v>0</v>
          </cell>
        </row>
        <row r="255">
          <cell r="H255">
            <v>0</v>
          </cell>
        </row>
        <row r="256">
          <cell r="H256">
            <v>0</v>
          </cell>
        </row>
        <row r="257">
          <cell r="H257">
            <v>0</v>
          </cell>
        </row>
        <row r="258">
          <cell r="H258" t="str">
            <v>ORD 1850030205</v>
          </cell>
        </row>
        <row r="259">
          <cell r="H259" t="str">
            <v>ORD 1850030205</v>
          </cell>
        </row>
        <row r="260">
          <cell r="H260">
            <v>0</v>
          </cell>
        </row>
        <row r="261">
          <cell r="H261">
            <v>0</v>
          </cell>
        </row>
        <row r="262">
          <cell r="H262">
            <v>0</v>
          </cell>
        </row>
        <row r="263">
          <cell r="H263">
            <v>0</v>
          </cell>
        </row>
        <row r="264">
          <cell r="H264" t="str">
            <v>ORD 1850030205</v>
          </cell>
        </row>
        <row r="265">
          <cell r="H265">
            <v>0</v>
          </cell>
        </row>
        <row r="266">
          <cell r="H266" t="str">
            <v>ORD 1850030205</v>
          </cell>
        </row>
        <row r="267">
          <cell r="H267">
            <v>0</v>
          </cell>
        </row>
        <row r="268">
          <cell r="H268">
            <v>0</v>
          </cell>
        </row>
        <row r="269">
          <cell r="H269">
            <v>0</v>
          </cell>
        </row>
        <row r="270">
          <cell r="H270">
            <v>0</v>
          </cell>
        </row>
        <row r="271">
          <cell r="H271">
            <v>0</v>
          </cell>
        </row>
        <row r="272">
          <cell r="H272">
            <v>0</v>
          </cell>
        </row>
        <row r="273">
          <cell r="H273">
            <v>0</v>
          </cell>
        </row>
        <row r="274">
          <cell r="H274">
            <v>0</v>
          </cell>
        </row>
        <row r="275">
          <cell r="H275">
            <v>0</v>
          </cell>
        </row>
        <row r="276">
          <cell r="H276">
            <v>0</v>
          </cell>
        </row>
        <row r="277">
          <cell r="H277">
            <v>0</v>
          </cell>
        </row>
        <row r="278">
          <cell r="H278">
            <v>0</v>
          </cell>
        </row>
        <row r="279">
          <cell r="H279">
            <v>0</v>
          </cell>
        </row>
        <row r="280">
          <cell r="H280">
            <v>0</v>
          </cell>
        </row>
        <row r="281">
          <cell r="H281">
            <v>0</v>
          </cell>
        </row>
        <row r="282">
          <cell r="H282">
            <v>0</v>
          </cell>
        </row>
        <row r="283">
          <cell r="H283">
            <v>0</v>
          </cell>
        </row>
        <row r="284">
          <cell r="H284">
            <v>0</v>
          </cell>
        </row>
        <row r="285">
          <cell r="H285">
            <v>0</v>
          </cell>
        </row>
        <row r="286">
          <cell r="H286">
            <v>0</v>
          </cell>
        </row>
        <row r="287">
          <cell r="H287">
            <v>0</v>
          </cell>
        </row>
        <row r="288">
          <cell r="H288">
            <v>0</v>
          </cell>
        </row>
        <row r="289">
          <cell r="H289">
            <v>0</v>
          </cell>
        </row>
        <row r="290">
          <cell r="H290">
            <v>0</v>
          </cell>
        </row>
        <row r="291">
          <cell r="H291">
            <v>0</v>
          </cell>
        </row>
        <row r="292">
          <cell r="H292">
            <v>0</v>
          </cell>
        </row>
        <row r="293">
          <cell r="H293">
            <v>0</v>
          </cell>
        </row>
        <row r="294">
          <cell r="H294">
            <v>0</v>
          </cell>
        </row>
        <row r="295">
          <cell r="H295">
            <v>0</v>
          </cell>
        </row>
        <row r="296">
          <cell r="H296">
            <v>0</v>
          </cell>
        </row>
        <row r="297">
          <cell r="H297">
            <v>0</v>
          </cell>
        </row>
        <row r="298">
          <cell r="H298">
            <v>0</v>
          </cell>
        </row>
        <row r="299">
          <cell r="H299" t="str">
            <v>ORD 1850020108</v>
          </cell>
        </row>
        <row r="300">
          <cell r="H300">
            <v>0</v>
          </cell>
        </row>
        <row r="301">
          <cell r="H301">
            <v>0</v>
          </cell>
        </row>
        <row r="302">
          <cell r="H302">
            <v>0</v>
          </cell>
        </row>
        <row r="303">
          <cell r="H303">
            <v>0</v>
          </cell>
        </row>
        <row r="304">
          <cell r="H304">
            <v>0</v>
          </cell>
        </row>
        <row r="305">
          <cell r="H305">
            <v>0</v>
          </cell>
        </row>
        <row r="306">
          <cell r="H306">
            <v>0</v>
          </cell>
        </row>
        <row r="307">
          <cell r="H307">
            <v>0</v>
          </cell>
        </row>
        <row r="308">
          <cell r="H308">
            <v>0</v>
          </cell>
        </row>
        <row r="309">
          <cell r="H309">
            <v>0</v>
          </cell>
        </row>
        <row r="310">
          <cell r="H310">
            <v>0</v>
          </cell>
        </row>
        <row r="311">
          <cell r="H311">
            <v>0</v>
          </cell>
        </row>
        <row r="312">
          <cell r="H312">
            <v>0</v>
          </cell>
        </row>
        <row r="313">
          <cell r="H313">
            <v>0</v>
          </cell>
        </row>
        <row r="314">
          <cell r="H314">
            <v>0</v>
          </cell>
        </row>
        <row r="315">
          <cell r="H315">
            <v>0</v>
          </cell>
        </row>
        <row r="316">
          <cell r="H316">
            <v>0</v>
          </cell>
        </row>
        <row r="317">
          <cell r="H317">
            <v>0</v>
          </cell>
        </row>
        <row r="318">
          <cell r="H318">
            <v>0</v>
          </cell>
        </row>
        <row r="319">
          <cell r="H319">
            <v>0</v>
          </cell>
        </row>
        <row r="320">
          <cell r="H320">
            <v>0</v>
          </cell>
        </row>
        <row r="321">
          <cell r="H321">
            <v>0</v>
          </cell>
        </row>
        <row r="322">
          <cell r="H322">
            <v>0</v>
          </cell>
        </row>
        <row r="323">
          <cell r="H323">
            <v>0</v>
          </cell>
        </row>
        <row r="324">
          <cell r="H324">
            <v>0</v>
          </cell>
        </row>
        <row r="325">
          <cell r="H325">
            <v>0</v>
          </cell>
        </row>
        <row r="326">
          <cell r="H326">
            <v>0</v>
          </cell>
        </row>
        <row r="327">
          <cell r="H327">
            <v>0</v>
          </cell>
        </row>
        <row r="328">
          <cell r="H328">
            <v>0</v>
          </cell>
        </row>
        <row r="329">
          <cell r="H329">
            <v>0</v>
          </cell>
        </row>
        <row r="330">
          <cell r="H330">
            <v>0</v>
          </cell>
        </row>
        <row r="331">
          <cell r="H331">
            <v>0</v>
          </cell>
        </row>
        <row r="332">
          <cell r="H332">
            <v>0</v>
          </cell>
        </row>
        <row r="333">
          <cell r="H333">
            <v>0</v>
          </cell>
        </row>
        <row r="334">
          <cell r="H334">
            <v>0</v>
          </cell>
        </row>
        <row r="335">
          <cell r="H335">
            <v>0</v>
          </cell>
        </row>
        <row r="336">
          <cell r="H336">
            <v>0</v>
          </cell>
        </row>
        <row r="337">
          <cell r="H337" t="str">
            <v>ORD 1850050302</v>
          </cell>
        </row>
        <row r="338">
          <cell r="H338">
            <v>0</v>
          </cell>
        </row>
        <row r="339">
          <cell r="H339" t="str">
            <v>ORD 1850020102</v>
          </cell>
        </row>
        <row r="340">
          <cell r="H340">
            <v>0</v>
          </cell>
        </row>
        <row r="341">
          <cell r="H341">
            <v>0</v>
          </cell>
        </row>
        <row r="342">
          <cell r="H342">
            <v>0</v>
          </cell>
        </row>
        <row r="343">
          <cell r="H343">
            <v>0</v>
          </cell>
        </row>
        <row r="344">
          <cell r="H344">
            <v>0</v>
          </cell>
        </row>
        <row r="345">
          <cell r="H345">
            <v>0</v>
          </cell>
        </row>
        <row r="346">
          <cell r="H346">
            <v>0</v>
          </cell>
        </row>
        <row r="347">
          <cell r="H347">
            <v>0</v>
          </cell>
        </row>
        <row r="348">
          <cell r="H348">
            <v>0</v>
          </cell>
        </row>
        <row r="349">
          <cell r="H349">
            <v>0</v>
          </cell>
        </row>
        <row r="350">
          <cell r="H350">
            <v>0</v>
          </cell>
        </row>
        <row r="351">
          <cell r="H351">
            <v>0</v>
          </cell>
        </row>
        <row r="352">
          <cell r="H352">
            <v>0</v>
          </cell>
        </row>
        <row r="353">
          <cell r="H353">
            <v>0</v>
          </cell>
        </row>
        <row r="354">
          <cell r="H354">
            <v>0</v>
          </cell>
        </row>
        <row r="355">
          <cell r="H355">
            <v>0</v>
          </cell>
        </row>
        <row r="356">
          <cell r="H356">
            <v>0</v>
          </cell>
        </row>
        <row r="357">
          <cell r="H357">
            <v>0</v>
          </cell>
        </row>
        <row r="358">
          <cell r="H358">
            <v>0</v>
          </cell>
        </row>
        <row r="359">
          <cell r="H359">
            <v>0</v>
          </cell>
        </row>
        <row r="360">
          <cell r="H360">
            <v>0</v>
          </cell>
        </row>
        <row r="361">
          <cell r="H361">
            <v>0</v>
          </cell>
        </row>
        <row r="362">
          <cell r="H362">
            <v>0</v>
          </cell>
        </row>
        <row r="363">
          <cell r="H363">
            <v>0</v>
          </cell>
        </row>
        <row r="364">
          <cell r="H364">
            <v>0</v>
          </cell>
        </row>
        <row r="365">
          <cell r="H365">
            <v>0</v>
          </cell>
        </row>
        <row r="366">
          <cell r="H366">
            <v>0</v>
          </cell>
        </row>
        <row r="367">
          <cell r="H367">
            <v>0</v>
          </cell>
        </row>
        <row r="368">
          <cell r="H368">
            <v>0</v>
          </cell>
        </row>
        <row r="369">
          <cell r="H369">
            <v>0</v>
          </cell>
        </row>
        <row r="370">
          <cell r="H370">
            <v>0</v>
          </cell>
        </row>
        <row r="371">
          <cell r="H371">
            <v>0</v>
          </cell>
        </row>
        <row r="372">
          <cell r="H372">
            <v>0</v>
          </cell>
        </row>
        <row r="373">
          <cell r="H373">
            <v>0</v>
          </cell>
        </row>
        <row r="374">
          <cell r="H374">
            <v>0</v>
          </cell>
        </row>
        <row r="375">
          <cell r="H375">
            <v>0</v>
          </cell>
        </row>
        <row r="376">
          <cell r="H376">
            <v>0</v>
          </cell>
        </row>
        <row r="377">
          <cell r="H377">
            <v>0</v>
          </cell>
        </row>
        <row r="378">
          <cell r="H378">
            <v>0</v>
          </cell>
        </row>
        <row r="379">
          <cell r="H379">
            <v>0</v>
          </cell>
        </row>
        <row r="380">
          <cell r="H380">
            <v>0</v>
          </cell>
        </row>
        <row r="381">
          <cell r="H381">
            <v>0</v>
          </cell>
        </row>
        <row r="382">
          <cell r="H382">
            <v>0</v>
          </cell>
        </row>
        <row r="383">
          <cell r="H383">
            <v>0</v>
          </cell>
        </row>
        <row r="384">
          <cell r="H384">
            <v>0</v>
          </cell>
        </row>
        <row r="385">
          <cell r="H385">
            <v>0</v>
          </cell>
        </row>
        <row r="386">
          <cell r="H386">
            <v>0</v>
          </cell>
        </row>
        <row r="387">
          <cell r="H387">
            <v>0</v>
          </cell>
        </row>
        <row r="388">
          <cell r="H388">
            <v>0</v>
          </cell>
        </row>
        <row r="389">
          <cell r="H389">
            <v>0</v>
          </cell>
        </row>
        <row r="390">
          <cell r="H390">
            <v>0</v>
          </cell>
        </row>
        <row r="391">
          <cell r="H391">
            <v>0</v>
          </cell>
        </row>
        <row r="392">
          <cell r="H392">
            <v>0</v>
          </cell>
        </row>
        <row r="393">
          <cell r="H393">
            <v>0</v>
          </cell>
        </row>
        <row r="394">
          <cell r="H394">
            <v>0</v>
          </cell>
        </row>
        <row r="395">
          <cell r="H395">
            <v>0</v>
          </cell>
        </row>
        <row r="396">
          <cell r="H396">
            <v>0</v>
          </cell>
        </row>
        <row r="397">
          <cell r="H397">
            <v>0</v>
          </cell>
        </row>
        <row r="398">
          <cell r="H398">
            <v>0</v>
          </cell>
        </row>
        <row r="399">
          <cell r="H399">
            <v>0</v>
          </cell>
        </row>
        <row r="400">
          <cell r="H400">
            <v>0</v>
          </cell>
        </row>
        <row r="401">
          <cell r="H401">
            <v>0</v>
          </cell>
        </row>
        <row r="402">
          <cell r="H402">
            <v>0</v>
          </cell>
        </row>
        <row r="403">
          <cell r="H403">
            <v>0</v>
          </cell>
        </row>
        <row r="404">
          <cell r="H404">
            <v>0</v>
          </cell>
        </row>
        <row r="405">
          <cell r="H405">
            <v>0</v>
          </cell>
        </row>
        <row r="406">
          <cell r="H406">
            <v>0</v>
          </cell>
        </row>
        <row r="407">
          <cell r="H407">
            <v>0</v>
          </cell>
        </row>
        <row r="408">
          <cell r="H408">
            <v>0</v>
          </cell>
        </row>
        <row r="409">
          <cell r="H409">
            <v>0</v>
          </cell>
        </row>
        <row r="410">
          <cell r="H410">
            <v>0</v>
          </cell>
        </row>
        <row r="411">
          <cell r="H411">
            <v>0</v>
          </cell>
        </row>
        <row r="412">
          <cell r="H412">
            <v>0</v>
          </cell>
        </row>
        <row r="413">
          <cell r="H413">
            <v>0</v>
          </cell>
        </row>
        <row r="414">
          <cell r="H414">
            <v>0</v>
          </cell>
        </row>
        <row r="415">
          <cell r="H415">
            <v>0</v>
          </cell>
        </row>
        <row r="416">
          <cell r="H416">
            <v>0</v>
          </cell>
        </row>
        <row r="417">
          <cell r="H417">
            <v>0</v>
          </cell>
        </row>
        <row r="418">
          <cell r="H418">
            <v>0</v>
          </cell>
        </row>
        <row r="419">
          <cell r="H419">
            <v>0</v>
          </cell>
        </row>
        <row r="420">
          <cell r="H420">
            <v>0</v>
          </cell>
        </row>
        <row r="421">
          <cell r="H421">
            <v>0</v>
          </cell>
        </row>
        <row r="422">
          <cell r="H422">
            <v>0</v>
          </cell>
        </row>
        <row r="423">
          <cell r="H423">
            <v>0</v>
          </cell>
        </row>
        <row r="424">
          <cell r="H424">
            <v>0</v>
          </cell>
        </row>
        <row r="425">
          <cell r="H425">
            <v>0</v>
          </cell>
        </row>
        <row r="426">
          <cell r="H426">
            <v>0</v>
          </cell>
        </row>
        <row r="427">
          <cell r="H427">
            <v>0</v>
          </cell>
        </row>
        <row r="428">
          <cell r="H428">
            <v>0</v>
          </cell>
        </row>
        <row r="429">
          <cell r="H429">
            <v>0</v>
          </cell>
        </row>
        <row r="430">
          <cell r="H430">
            <v>0</v>
          </cell>
        </row>
        <row r="431">
          <cell r="H431">
            <v>0</v>
          </cell>
        </row>
        <row r="432">
          <cell r="H432">
            <v>0</v>
          </cell>
        </row>
        <row r="433">
          <cell r="H433">
            <v>0</v>
          </cell>
        </row>
        <row r="434">
          <cell r="H434">
            <v>0</v>
          </cell>
        </row>
        <row r="435">
          <cell r="H435">
            <v>0</v>
          </cell>
        </row>
        <row r="436">
          <cell r="H436">
            <v>0</v>
          </cell>
        </row>
        <row r="437">
          <cell r="H437">
            <v>0</v>
          </cell>
        </row>
        <row r="438">
          <cell r="H438">
            <v>0</v>
          </cell>
        </row>
        <row r="439">
          <cell r="H439">
            <v>0</v>
          </cell>
        </row>
        <row r="440">
          <cell r="H440">
            <v>0</v>
          </cell>
        </row>
        <row r="441">
          <cell r="H441">
            <v>0</v>
          </cell>
        </row>
        <row r="442">
          <cell r="H442">
            <v>0</v>
          </cell>
        </row>
        <row r="443">
          <cell r="H443">
            <v>0</v>
          </cell>
        </row>
        <row r="444">
          <cell r="H444">
            <v>0</v>
          </cell>
        </row>
        <row r="445">
          <cell r="H445">
            <v>0</v>
          </cell>
        </row>
        <row r="446">
          <cell r="H446">
            <v>0</v>
          </cell>
        </row>
        <row r="447">
          <cell r="H447">
            <v>0</v>
          </cell>
        </row>
        <row r="448">
          <cell r="H448">
            <v>0</v>
          </cell>
        </row>
        <row r="449">
          <cell r="H449">
            <v>0</v>
          </cell>
        </row>
        <row r="450">
          <cell r="H450">
            <v>0</v>
          </cell>
        </row>
        <row r="451">
          <cell r="H451">
            <v>0</v>
          </cell>
        </row>
        <row r="452">
          <cell r="H452">
            <v>0</v>
          </cell>
        </row>
        <row r="453">
          <cell r="H453">
            <v>0</v>
          </cell>
        </row>
        <row r="454">
          <cell r="H454">
            <v>0</v>
          </cell>
        </row>
        <row r="455">
          <cell r="H455">
            <v>0</v>
          </cell>
        </row>
        <row r="456">
          <cell r="H456">
            <v>0</v>
          </cell>
        </row>
        <row r="457">
          <cell r="H457">
            <v>0</v>
          </cell>
        </row>
        <row r="458">
          <cell r="H458">
            <v>0</v>
          </cell>
        </row>
        <row r="459">
          <cell r="H459">
            <v>0</v>
          </cell>
        </row>
        <row r="460">
          <cell r="H460">
            <v>0</v>
          </cell>
        </row>
        <row r="461">
          <cell r="H461">
            <v>0</v>
          </cell>
        </row>
        <row r="462">
          <cell r="H462">
            <v>0</v>
          </cell>
        </row>
        <row r="463">
          <cell r="H463">
            <v>0</v>
          </cell>
        </row>
        <row r="465">
          <cell r="H465">
            <v>0</v>
          </cell>
        </row>
        <row r="466">
          <cell r="H466">
            <v>0</v>
          </cell>
        </row>
        <row r="467">
          <cell r="H467">
            <v>0</v>
          </cell>
        </row>
        <row r="468">
          <cell r="H468">
            <v>0</v>
          </cell>
        </row>
        <row r="469">
          <cell r="H469">
            <v>0</v>
          </cell>
        </row>
        <row r="470">
          <cell r="H470">
            <v>0</v>
          </cell>
        </row>
        <row r="471">
          <cell r="H471">
            <v>0</v>
          </cell>
        </row>
        <row r="472">
          <cell r="H472">
            <v>0</v>
          </cell>
        </row>
        <row r="473">
          <cell r="H473">
            <v>0</v>
          </cell>
        </row>
        <row r="474">
          <cell r="H474">
            <v>0</v>
          </cell>
        </row>
        <row r="475">
          <cell r="H475">
            <v>0</v>
          </cell>
        </row>
        <row r="476">
          <cell r="H476">
            <v>0</v>
          </cell>
        </row>
        <row r="477">
          <cell r="H477">
            <v>0</v>
          </cell>
        </row>
        <row r="478">
          <cell r="H478">
            <v>0</v>
          </cell>
        </row>
        <row r="479">
          <cell r="H479">
            <v>0</v>
          </cell>
        </row>
        <row r="480">
          <cell r="H480">
            <v>0</v>
          </cell>
        </row>
        <row r="481">
          <cell r="H481">
            <v>0</v>
          </cell>
        </row>
        <row r="482">
          <cell r="H482">
            <v>0</v>
          </cell>
        </row>
        <row r="483">
          <cell r="H483">
            <v>0</v>
          </cell>
        </row>
        <row r="484">
          <cell r="H484">
            <v>0</v>
          </cell>
        </row>
        <row r="485">
          <cell r="H485">
            <v>0</v>
          </cell>
        </row>
        <row r="486">
          <cell r="H486">
            <v>0</v>
          </cell>
        </row>
        <row r="487">
          <cell r="H487">
            <v>0</v>
          </cell>
        </row>
        <row r="488">
          <cell r="H488">
            <v>0</v>
          </cell>
        </row>
        <row r="489">
          <cell r="H489">
            <v>0</v>
          </cell>
        </row>
        <row r="490">
          <cell r="H490">
            <v>0</v>
          </cell>
        </row>
        <row r="491">
          <cell r="H491">
            <v>0</v>
          </cell>
        </row>
        <row r="492">
          <cell r="H492">
            <v>0</v>
          </cell>
        </row>
        <row r="493">
          <cell r="H493">
            <v>0</v>
          </cell>
        </row>
        <row r="494">
          <cell r="H494">
            <v>0</v>
          </cell>
        </row>
        <row r="495">
          <cell r="H495">
            <v>0</v>
          </cell>
        </row>
        <row r="496">
          <cell r="H496">
            <v>0</v>
          </cell>
        </row>
        <row r="497">
          <cell r="H497">
            <v>0</v>
          </cell>
        </row>
        <row r="498">
          <cell r="H498">
            <v>0</v>
          </cell>
        </row>
        <row r="499">
          <cell r="H499">
            <v>0</v>
          </cell>
        </row>
        <row r="500">
          <cell r="H500">
            <v>0</v>
          </cell>
        </row>
        <row r="501">
          <cell r="H501">
            <v>0</v>
          </cell>
        </row>
        <row r="502">
          <cell r="H502">
            <v>0</v>
          </cell>
        </row>
        <row r="503">
          <cell r="H503">
            <v>0</v>
          </cell>
        </row>
        <row r="504">
          <cell r="H504">
            <v>0</v>
          </cell>
        </row>
        <row r="505">
          <cell r="H505">
            <v>0</v>
          </cell>
        </row>
        <row r="506">
          <cell r="H506">
            <v>0</v>
          </cell>
        </row>
        <row r="507">
          <cell r="H507">
            <v>0</v>
          </cell>
        </row>
        <row r="508">
          <cell r="H508">
            <v>0</v>
          </cell>
        </row>
        <row r="509">
          <cell r="H509">
            <v>0</v>
          </cell>
        </row>
        <row r="510">
          <cell r="H510">
            <v>0</v>
          </cell>
        </row>
        <row r="511">
          <cell r="H511">
            <v>0</v>
          </cell>
        </row>
        <row r="512">
          <cell r="H512">
            <v>0</v>
          </cell>
        </row>
        <row r="513">
          <cell r="H513">
            <v>0</v>
          </cell>
        </row>
        <row r="514">
          <cell r="H514">
            <v>0</v>
          </cell>
        </row>
        <row r="515">
          <cell r="H515">
            <v>0</v>
          </cell>
        </row>
        <row r="516">
          <cell r="H516">
            <v>0</v>
          </cell>
        </row>
        <row r="517">
          <cell r="H517">
            <v>0</v>
          </cell>
        </row>
        <row r="518">
          <cell r="H518">
            <v>0</v>
          </cell>
        </row>
        <row r="519">
          <cell r="H519">
            <v>0</v>
          </cell>
        </row>
        <row r="520">
          <cell r="H520">
            <v>0</v>
          </cell>
        </row>
        <row r="521">
          <cell r="H521">
            <v>0</v>
          </cell>
        </row>
        <row r="522">
          <cell r="H522">
            <v>0</v>
          </cell>
        </row>
        <row r="523">
          <cell r="H523">
            <v>0</v>
          </cell>
        </row>
        <row r="524">
          <cell r="H524">
            <v>0</v>
          </cell>
        </row>
        <row r="525">
          <cell r="H525">
            <v>0</v>
          </cell>
        </row>
        <row r="526">
          <cell r="H526">
            <v>0</v>
          </cell>
        </row>
        <row r="527">
          <cell r="H527">
            <v>0</v>
          </cell>
        </row>
        <row r="528">
          <cell r="H528">
            <v>0</v>
          </cell>
        </row>
        <row r="529">
          <cell r="H529">
            <v>0</v>
          </cell>
        </row>
        <row r="530">
          <cell r="H530">
            <v>0</v>
          </cell>
        </row>
        <row r="531">
          <cell r="H531">
            <v>0</v>
          </cell>
        </row>
        <row r="532">
          <cell r="H532">
            <v>0</v>
          </cell>
        </row>
        <row r="533">
          <cell r="H533">
            <v>0</v>
          </cell>
        </row>
        <row r="534">
          <cell r="H534">
            <v>0</v>
          </cell>
        </row>
        <row r="536">
          <cell r="H536">
            <v>0</v>
          </cell>
        </row>
        <row r="538">
          <cell r="H538" t="str">
            <v>ORD 1850100201</v>
          </cell>
        </row>
        <row r="539">
          <cell r="H539">
            <v>0</v>
          </cell>
        </row>
        <row r="540">
          <cell r="H540" t="str">
            <v>ORD 1850100201</v>
          </cell>
        </row>
        <row r="541">
          <cell r="H541" t="str">
            <v>ORD 1850100200</v>
          </cell>
        </row>
        <row r="542">
          <cell r="H542">
            <v>0</v>
          </cell>
        </row>
        <row r="543">
          <cell r="H543" t="str">
            <v>ORD 1850100201</v>
          </cell>
        </row>
        <row r="544">
          <cell r="H544" t="str">
            <v>ORD 1850100201</v>
          </cell>
        </row>
        <row r="545">
          <cell r="H545" t="str">
            <v>ORD 1850080201</v>
          </cell>
        </row>
        <row r="546">
          <cell r="H546">
            <v>0</v>
          </cell>
        </row>
        <row r="547">
          <cell r="H547">
            <v>0</v>
          </cell>
        </row>
        <row r="548">
          <cell r="H548">
            <v>0</v>
          </cell>
        </row>
        <row r="549">
          <cell r="H549" t="str">
            <v>ORD 1850160201</v>
          </cell>
        </row>
        <row r="550">
          <cell r="H550">
            <v>0</v>
          </cell>
        </row>
        <row r="551">
          <cell r="H551" t="str">
            <v>ORD 1850080101</v>
          </cell>
        </row>
        <row r="552">
          <cell r="H552" t="str">
            <v>ORD 1850100201</v>
          </cell>
        </row>
        <row r="553">
          <cell r="H553" t="str">
            <v>ORD 1850100201</v>
          </cell>
        </row>
        <row r="554">
          <cell r="H554" t="str">
            <v>ORD 1850100201</v>
          </cell>
        </row>
        <row r="555">
          <cell r="H555" t="str">
            <v>ORD 1850100201</v>
          </cell>
        </row>
        <row r="556">
          <cell r="H556" t="str">
            <v>ORD 1850010103</v>
          </cell>
        </row>
        <row r="557">
          <cell r="H557" t="str">
            <v>ORD 1850030101</v>
          </cell>
        </row>
        <row r="558">
          <cell r="H558" t="str">
            <v>ORD 1850160302</v>
          </cell>
        </row>
        <row r="559">
          <cell r="H559" t="str">
            <v>ORD 1850100201</v>
          </cell>
        </row>
        <row r="560">
          <cell r="H560" t="str">
            <v>ORD 1850010101</v>
          </cell>
        </row>
        <row r="561">
          <cell r="H561" t="str">
            <v>ORD 1850100201</v>
          </cell>
        </row>
        <row r="562">
          <cell r="H562" t="str">
            <v>ORD 1850080101</v>
          </cell>
        </row>
        <row r="563">
          <cell r="H563" t="str">
            <v>ORD 1850080201</v>
          </cell>
        </row>
        <row r="564">
          <cell r="H564" t="str">
            <v>ORD 1850150301</v>
          </cell>
        </row>
        <row r="565">
          <cell r="H565">
            <v>0</v>
          </cell>
        </row>
        <row r="566">
          <cell r="H566" t="str">
            <v>ORD 1850080101</v>
          </cell>
        </row>
        <row r="567">
          <cell r="H567" t="str">
            <v>ORD 1850100201</v>
          </cell>
        </row>
        <row r="568">
          <cell r="H568" t="str">
            <v>ORD 1850080101</v>
          </cell>
        </row>
        <row r="569">
          <cell r="H569" t="str">
            <v>ORD 1850150301</v>
          </cell>
        </row>
        <row r="570">
          <cell r="H570" t="str">
            <v>ORD 1850100201</v>
          </cell>
        </row>
        <row r="571">
          <cell r="H571">
            <v>0</v>
          </cell>
        </row>
        <row r="572">
          <cell r="H572" t="str">
            <v>ORD 1850100201</v>
          </cell>
        </row>
        <row r="573">
          <cell r="H573" t="str">
            <v>ORD 1850100201</v>
          </cell>
        </row>
        <row r="574">
          <cell r="H574" t="str">
            <v>ORD 1850100201</v>
          </cell>
        </row>
        <row r="575">
          <cell r="H575">
            <v>0</v>
          </cell>
        </row>
        <row r="576">
          <cell r="H576" t="str">
            <v>ORD 1850100201</v>
          </cell>
        </row>
        <row r="577">
          <cell r="H577" t="str">
            <v>ORD 1850100201</v>
          </cell>
        </row>
        <row r="579">
          <cell r="H579" t="str">
            <v>ORD 1850050401</v>
          </cell>
        </row>
        <row r="580">
          <cell r="H580">
            <v>0</v>
          </cell>
        </row>
        <row r="581">
          <cell r="H581" t="str">
            <v>ORD 1850120202</v>
          </cell>
        </row>
        <row r="582">
          <cell r="H582" t="str">
            <v>ORD 1850050401</v>
          </cell>
        </row>
        <row r="583">
          <cell r="H583">
            <v>0</v>
          </cell>
        </row>
        <row r="584">
          <cell r="H584" t="str">
            <v>ORD 1850120202</v>
          </cell>
        </row>
        <row r="585">
          <cell r="H585" t="str">
            <v>ORD 1850050601</v>
          </cell>
        </row>
        <row r="586">
          <cell r="H586" t="str">
            <v>ORD 1850050601</v>
          </cell>
        </row>
        <row r="587">
          <cell r="H587" t="str">
            <v>ORD 1850050401</v>
          </cell>
        </row>
        <row r="589">
          <cell r="H589" t="str">
            <v>ORD 1850020108</v>
          </cell>
        </row>
        <row r="590">
          <cell r="H590" t="str">
            <v>ORD 1850020108</v>
          </cell>
        </row>
        <row r="591">
          <cell r="H591" t="str">
            <v>ORD 1850020108</v>
          </cell>
        </row>
        <row r="592">
          <cell r="H592" t="str">
            <v>ORD 1850020100</v>
          </cell>
        </row>
        <row r="593">
          <cell r="H593" t="str">
            <v>ORD 1850020100</v>
          </cell>
        </row>
        <row r="594">
          <cell r="H594" t="str">
            <v>ORD 1850020100</v>
          </cell>
        </row>
        <row r="595">
          <cell r="H595" t="str">
            <v>ORD 1850020102</v>
          </cell>
        </row>
        <row r="596">
          <cell r="H596" t="str">
            <v>ORD 1850020108</v>
          </cell>
        </row>
        <row r="597">
          <cell r="H597" t="str">
            <v>ORD 1850020102</v>
          </cell>
        </row>
        <row r="598">
          <cell r="H598" t="str">
            <v>ORD 1850020102</v>
          </cell>
        </row>
        <row r="599">
          <cell r="H599" t="str">
            <v>ORD 1850020108</v>
          </cell>
        </row>
        <row r="600">
          <cell r="H600" t="str">
            <v>ORD 1850020100</v>
          </cell>
        </row>
        <row r="601">
          <cell r="H601" t="str">
            <v>ORD 1850020108</v>
          </cell>
        </row>
        <row r="602">
          <cell r="H602" t="str">
            <v>ORD 1850020100</v>
          </cell>
        </row>
        <row r="603">
          <cell r="H603" t="str">
            <v>ORD 1850020102</v>
          </cell>
        </row>
        <row r="604">
          <cell r="H604" t="str">
            <v>ORD 1850020100</v>
          </cell>
        </row>
        <row r="605">
          <cell r="H605" t="str">
            <v>ORD 1850020108</v>
          </cell>
        </row>
        <row r="606">
          <cell r="H606" t="str">
            <v>ORD 1850020102</v>
          </cell>
        </row>
        <row r="607">
          <cell r="H607">
            <v>0</v>
          </cell>
        </row>
        <row r="608">
          <cell r="H608">
            <v>0</v>
          </cell>
        </row>
        <row r="609">
          <cell r="H609" t="str">
            <v>ORD 1850020102</v>
          </cell>
        </row>
        <row r="610">
          <cell r="H610" t="str">
            <v>ORD 1850020000</v>
          </cell>
        </row>
        <row r="611">
          <cell r="H611">
            <v>0</v>
          </cell>
        </row>
        <row r="612">
          <cell r="H612" t="str">
            <v>ORD 1850020102</v>
          </cell>
        </row>
        <row r="613">
          <cell r="H613" t="str">
            <v>ORD 1850020102</v>
          </cell>
        </row>
        <row r="614">
          <cell r="H614" t="str">
            <v>ORD 1850020102</v>
          </cell>
        </row>
        <row r="615">
          <cell r="H615" t="str">
            <v>ORD 1850020102</v>
          </cell>
        </row>
        <row r="616">
          <cell r="H616" t="str">
            <v>ORD 1850020102</v>
          </cell>
        </row>
        <row r="617">
          <cell r="H617" t="str">
            <v>ORD 1850020102</v>
          </cell>
        </row>
        <row r="618">
          <cell r="H618" t="str">
            <v>ORD 1850020102</v>
          </cell>
        </row>
        <row r="619">
          <cell r="H619" t="str">
            <v>ORD 1850020102</v>
          </cell>
        </row>
        <row r="620">
          <cell r="H620" t="str">
            <v>ORD 1850020102</v>
          </cell>
        </row>
        <row r="621">
          <cell r="H621" t="str">
            <v>ORD 1850020102</v>
          </cell>
        </row>
        <row r="622">
          <cell r="H622" t="str">
            <v>ORD 1850020102</v>
          </cell>
        </row>
        <row r="623">
          <cell r="H623" t="str">
            <v>ORD 1850020102</v>
          </cell>
        </row>
        <row r="624">
          <cell r="H624" t="str">
            <v>ORD 1850020102</v>
          </cell>
        </row>
        <row r="625">
          <cell r="H625" t="str">
            <v>ORD 1850020102</v>
          </cell>
        </row>
        <row r="626">
          <cell r="H626">
            <v>0</v>
          </cell>
        </row>
        <row r="627">
          <cell r="H627" t="str">
            <v>ORD 1850020102</v>
          </cell>
        </row>
        <row r="628">
          <cell r="H628" t="str">
            <v>ORD 1850020108</v>
          </cell>
        </row>
        <row r="629">
          <cell r="H629">
            <v>0</v>
          </cell>
        </row>
        <row r="630">
          <cell r="H630" t="str">
            <v>ORD 1850020102</v>
          </cell>
        </row>
        <row r="631">
          <cell r="H631">
            <v>0</v>
          </cell>
        </row>
        <row r="632">
          <cell r="H632" t="str">
            <v>ORD 1850020100</v>
          </cell>
        </row>
        <row r="633">
          <cell r="H633" t="str">
            <v>ORD 1850020100</v>
          </cell>
        </row>
        <row r="634">
          <cell r="H634" t="str">
            <v>ORD 1850020100</v>
          </cell>
        </row>
        <row r="635">
          <cell r="H635" t="str">
            <v>ORD 1850020108</v>
          </cell>
        </row>
        <row r="636">
          <cell r="H636">
            <v>0</v>
          </cell>
        </row>
        <row r="637">
          <cell r="H637">
            <v>0</v>
          </cell>
        </row>
        <row r="638">
          <cell r="H638">
            <v>0</v>
          </cell>
        </row>
        <row r="639">
          <cell r="H639">
            <v>0</v>
          </cell>
        </row>
        <row r="640">
          <cell r="H640">
            <v>0</v>
          </cell>
        </row>
        <row r="641">
          <cell r="H641">
            <v>0</v>
          </cell>
        </row>
        <row r="642">
          <cell r="H642">
            <v>0</v>
          </cell>
        </row>
        <row r="643">
          <cell r="H643">
            <v>0</v>
          </cell>
        </row>
        <row r="644">
          <cell r="H644">
            <v>0</v>
          </cell>
        </row>
        <row r="645">
          <cell r="H645">
            <v>0</v>
          </cell>
        </row>
        <row r="646">
          <cell r="H646">
            <v>0</v>
          </cell>
        </row>
        <row r="647">
          <cell r="H647">
            <v>0</v>
          </cell>
        </row>
        <row r="648">
          <cell r="H648">
            <v>0</v>
          </cell>
        </row>
        <row r="649">
          <cell r="H649">
            <v>0</v>
          </cell>
        </row>
        <row r="650">
          <cell r="H650">
            <v>0</v>
          </cell>
        </row>
        <row r="651">
          <cell r="H651">
            <v>0</v>
          </cell>
        </row>
        <row r="652">
          <cell r="H652">
            <v>0</v>
          </cell>
        </row>
        <row r="653">
          <cell r="H653">
            <v>0</v>
          </cell>
        </row>
        <row r="654">
          <cell r="H654">
            <v>0</v>
          </cell>
        </row>
        <row r="655">
          <cell r="H655">
            <v>0</v>
          </cell>
        </row>
        <row r="656">
          <cell r="H656">
            <v>0</v>
          </cell>
        </row>
        <row r="657">
          <cell r="H657">
            <v>0</v>
          </cell>
        </row>
        <row r="658">
          <cell r="H658">
            <v>0</v>
          </cell>
        </row>
        <row r="659">
          <cell r="H659">
            <v>0</v>
          </cell>
        </row>
        <row r="660">
          <cell r="H660">
            <v>0</v>
          </cell>
        </row>
        <row r="661">
          <cell r="H661">
            <v>0</v>
          </cell>
        </row>
        <row r="662">
          <cell r="H662">
            <v>0</v>
          </cell>
        </row>
        <row r="663">
          <cell r="H663">
            <v>0</v>
          </cell>
        </row>
        <row r="664">
          <cell r="H664">
            <v>0</v>
          </cell>
        </row>
        <row r="665">
          <cell r="H665" t="str">
            <v>ORD 1850020100</v>
          </cell>
        </row>
        <row r="666">
          <cell r="H666">
            <v>0</v>
          </cell>
        </row>
        <row r="667">
          <cell r="H667">
            <v>0</v>
          </cell>
        </row>
        <row r="668">
          <cell r="H668">
            <v>0</v>
          </cell>
        </row>
        <row r="669">
          <cell r="H669">
            <v>0</v>
          </cell>
        </row>
        <row r="670">
          <cell r="H670">
            <v>0</v>
          </cell>
        </row>
        <row r="671">
          <cell r="H671">
            <v>0</v>
          </cell>
        </row>
        <row r="672">
          <cell r="H672">
            <v>0</v>
          </cell>
        </row>
        <row r="673">
          <cell r="H673">
            <v>0</v>
          </cell>
        </row>
        <row r="674">
          <cell r="H674">
            <v>0</v>
          </cell>
        </row>
        <row r="675">
          <cell r="H675">
            <v>0</v>
          </cell>
        </row>
        <row r="676">
          <cell r="H676">
            <v>0</v>
          </cell>
        </row>
        <row r="677">
          <cell r="H677">
            <v>0</v>
          </cell>
        </row>
        <row r="678">
          <cell r="H678">
            <v>0</v>
          </cell>
        </row>
        <row r="679">
          <cell r="H679">
            <v>0</v>
          </cell>
        </row>
        <row r="680">
          <cell r="H680">
            <v>0</v>
          </cell>
        </row>
        <row r="681">
          <cell r="H681" t="str">
            <v>ORD 1850020102</v>
          </cell>
        </row>
        <row r="682">
          <cell r="H682">
            <v>0</v>
          </cell>
        </row>
        <row r="683">
          <cell r="H683" t="str">
            <v>ORD 1850020102</v>
          </cell>
        </row>
        <row r="684">
          <cell r="H684" t="str">
            <v>ORD 1850020102</v>
          </cell>
        </row>
        <row r="685">
          <cell r="H685" t="str">
            <v>ORD 1850020102</v>
          </cell>
        </row>
        <row r="686">
          <cell r="H686" t="str">
            <v>ORD 1850020102</v>
          </cell>
        </row>
        <row r="687">
          <cell r="H687" t="str">
            <v>ORD 1850020102</v>
          </cell>
        </row>
        <row r="688">
          <cell r="H688">
            <v>0</v>
          </cell>
        </row>
        <row r="689">
          <cell r="H689">
            <v>0</v>
          </cell>
        </row>
        <row r="690">
          <cell r="H690">
            <v>0</v>
          </cell>
        </row>
        <row r="691">
          <cell r="H691" t="str">
            <v>ORD 1850020100</v>
          </cell>
        </row>
        <row r="692">
          <cell r="H692">
            <v>0</v>
          </cell>
        </row>
        <row r="693">
          <cell r="H693" t="str">
            <v>ORD 1850020107</v>
          </cell>
        </row>
        <row r="694">
          <cell r="H694" t="str">
            <v>ORD 1850020100</v>
          </cell>
        </row>
        <row r="695">
          <cell r="H695" t="str">
            <v>ORD 1850020107</v>
          </cell>
        </row>
        <row r="696">
          <cell r="H696" t="str">
            <v>ORD 1850020102</v>
          </cell>
        </row>
        <row r="697">
          <cell r="H697" t="str">
            <v>ORD 1850020100</v>
          </cell>
        </row>
        <row r="698">
          <cell r="H698" t="str">
            <v>ORD 1850020102</v>
          </cell>
        </row>
        <row r="699">
          <cell r="H699" t="str">
            <v>ORD 1850020102</v>
          </cell>
        </row>
        <row r="700">
          <cell r="H700" t="str">
            <v>ORD 1850020100</v>
          </cell>
        </row>
        <row r="701">
          <cell r="H701" t="str">
            <v>ORD 1850020107</v>
          </cell>
        </row>
        <row r="702">
          <cell r="H702" t="str">
            <v>ORD 1850020100</v>
          </cell>
        </row>
        <row r="703">
          <cell r="H703" t="str">
            <v>ORD 1850020102</v>
          </cell>
        </row>
        <row r="704">
          <cell r="H704" t="str">
            <v>ORD 1850020107</v>
          </cell>
        </row>
        <row r="705">
          <cell r="H705" t="str">
            <v>ORD 1850020108</v>
          </cell>
        </row>
        <row r="706">
          <cell r="H706" t="str">
            <v>ORD 1850020108</v>
          </cell>
        </row>
        <row r="707">
          <cell r="H707" t="str">
            <v>ORD 1850020108</v>
          </cell>
        </row>
        <row r="708">
          <cell r="H708">
            <v>0</v>
          </cell>
        </row>
        <row r="709">
          <cell r="H709" t="str">
            <v>ORD 1850020108</v>
          </cell>
        </row>
        <row r="710">
          <cell r="H710">
            <v>0</v>
          </cell>
        </row>
        <row r="711">
          <cell r="H711" t="str">
            <v>ORD 1850020100</v>
          </cell>
        </row>
        <row r="712">
          <cell r="H712" t="str">
            <v>ORD 1850020100</v>
          </cell>
        </row>
        <row r="713">
          <cell r="H713" t="str">
            <v>ORD 1850020100</v>
          </cell>
        </row>
        <row r="714">
          <cell r="H714" t="str">
            <v>ORD 1850020100</v>
          </cell>
        </row>
        <row r="715">
          <cell r="H715">
            <v>0</v>
          </cell>
        </row>
        <row r="716">
          <cell r="H716" t="str">
            <v>ORD 1850020102</v>
          </cell>
        </row>
        <row r="717">
          <cell r="H717" t="str">
            <v>ORD 1850020100</v>
          </cell>
        </row>
        <row r="718">
          <cell r="H718" t="str">
            <v>ORD 1850020100</v>
          </cell>
        </row>
        <row r="719">
          <cell r="H719">
            <v>0</v>
          </cell>
        </row>
        <row r="720">
          <cell r="H720" t="str">
            <v>ORD 1850020100</v>
          </cell>
        </row>
        <row r="721">
          <cell r="H721" t="str">
            <v>ORD 1850020100</v>
          </cell>
        </row>
        <row r="722">
          <cell r="H722" t="str">
            <v>ORD 1850020102</v>
          </cell>
        </row>
        <row r="723">
          <cell r="H723" t="str">
            <v>ORD 1850020102</v>
          </cell>
        </row>
        <row r="724">
          <cell r="H724" t="str">
            <v>ORD 1850020100</v>
          </cell>
        </row>
        <row r="725">
          <cell r="H725">
            <v>0</v>
          </cell>
        </row>
        <row r="726">
          <cell r="H726">
            <v>0</v>
          </cell>
        </row>
        <row r="727">
          <cell r="H727" t="str">
            <v>ORD 1850020100</v>
          </cell>
        </row>
        <row r="728">
          <cell r="H728" t="str">
            <v>ORD 1850020100</v>
          </cell>
        </row>
        <row r="729">
          <cell r="H729" t="str">
            <v>ORD 1850020100</v>
          </cell>
        </row>
        <row r="730">
          <cell r="H730" t="str">
            <v>ORD 1850020109</v>
          </cell>
        </row>
        <row r="731">
          <cell r="H731" t="str">
            <v>ORD 1850020107</v>
          </cell>
        </row>
        <row r="732">
          <cell r="H732" t="str">
            <v>ORD 1850020102</v>
          </cell>
        </row>
        <row r="733">
          <cell r="H733" t="str">
            <v>ORD 1850020108</v>
          </cell>
        </row>
        <row r="734">
          <cell r="H734" t="str">
            <v>ORD 1850020102</v>
          </cell>
        </row>
        <row r="735">
          <cell r="H735" t="str">
            <v>ORD 1850020102</v>
          </cell>
        </row>
        <row r="736">
          <cell r="H736" t="str">
            <v>ORD 1850020107</v>
          </cell>
        </row>
        <row r="737">
          <cell r="H737" t="str">
            <v>ORD 1850020107</v>
          </cell>
        </row>
        <row r="738">
          <cell r="H738" t="str">
            <v>ORD 1850020102</v>
          </cell>
        </row>
        <row r="739">
          <cell r="H739" t="str">
            <v>ORD 1850020108</v>
          </cell>
        </row>
        <row r="740">
          <cell r="H740" t="str">
            <v>ORD 1850020100</v>
          </cell>
        </row>
        <row r="741">
          <cell r="H741" t="str">
            <v>ORD 1850020107</v>
          </cell>
        </row>
        <row r="742">
          <cell r="H742" t="str">
            <v>ORD 1850020109</v>
          </cell>
        </row>
        <row r="743">
          <cell r="H743" t="str">
            <v>ORD 1850020108</v>
          </cell>
        </row>
        <row r="744">
          <cell r="H744" t="str">
            <v>ORD 1850020102</v>
          </cell>
        </row>
        <row r="745">
          <cell r="H745" t="str">
            <v>ORD 1850020109</v>
          </cell>
        </row>
        <row r="746">
          <cell r="H746" t="str">
            <v>ORD 1850020107</v>
          </cell>
        </row>
        <row r="747">
          <cell r="H747" t="str">
            <v>ORD 1850020102</v>
          </cell>
        </row>
        <row r="748">
          <cell r="H748" t="str">
            <v>ORD 1850020108</v>
          </cell>
        </row>
        <row r="749">
          <cell r="H749" t="str">
            <v>ORD 1850020100</v>
          </cell>
        </row>
        <row r="750">
          <cell r="H750" t="str">
            <v>ORD 1850020109</v>
          </cell>
        </row>
        <row r="751">
          <cell r="H751" t="str">
            <v>ORD 1850020108</v>
          </cell>
        </row>
        <row r="752">
          <cell r="H752" t="str">
            <v>ORD 1850020107</v>
          </cell>
        </row>
        <row r="753">
          <cell r="H753" t="str">
            <v>ORD 1850020102</v>
          </cell>
        </row>
        <row r="754">
          <cell r="H754" t="str">
            <v>ORD 1850020102</v>
          </cell>
        </row>
        <row r="755">
          <cell r="H755" t="str">
            <v>ORD 1850020109</v>
          </cell>
        </row>
        <row r="756">
          <cell r="H756" t="str">
            <v>ORD 1850020108</v>
          </cell>
        </row>
        <row r="757">
          <cell r="H757" t="str">
            <v>ORD 1850020102</v>
          </cell>
        </row>
        <row r="758">
          <cell r="H758" t="str">
            <v>ORD 1850020107</v>
          </cell>
        </row>
        <row r="759">
          <cell r="H759" t="str">
            <v>ORD 1850020108</v>
          </cell>
        </row>
        <row r="760">
          <cell r="H760" t="str">
            <v>ORD 1850020108</v>
          </cell>
        </row>
        <row r="761">
          <cell r="H761" t="str">
            <v>ORD 1850020108</v>
          </cell>
        </row>
        <row r="762">
          <cell r="H762" t="str">
            <v>ORD 1850020108</v>
          </cell>
        </row>
        <row r="763">
          <cell r="H763" t="str">
            <v>ORD 1850020107</v>
          </cell>
        </row>
        <row r="764">
          <cell r="H764" t="str">
            <v>ORD 1850020108</v>
          </cell>
        </row>
        <row r="765">
          <cell r="H765" t="str">
            <v>ORD 1850020109</v>
          </cell>
        </row>
        <row r="766">
          <cell r="H766" t="str">
            <v>ORD 1850020108</v>
          </cell>
        </row>
        <row r="767">
          <cell r="H767" t="str">
            <v>ORD 1850020102</v>
          </cell>
        </row>
        <row r="768">
          <cell r="H768" t="str">
            <v>ORD 1850910101</v>
          </cell>
        </row>
        <row r="769">
          <cell r="H769" t="str">
            <v>ORD 1850020107</v>
          </cell>
        </row>
        <row r="770">
          <cell r="H770" t="str">
            <v>ORD 1850910101</v>
          </cell>
        </row>
        <row r="771">
          <cell r="H771" t="str">
            <v>ORD 1850020107</v>
          </cell>
        </row>
        <row r="772">
          <cell r="H772" t="str">
            <v>ORD 1850020109</v>
          </cell>
        </row>
        <row r="773">
          <cell r="H773" t="str">
            <v>ORD 1850020108</v>
          </cell>
        </row>
        <row r="774">
          <cell r="H774" t="str">
            <v>ORD 1850020109</v>
          </cell>
        </row>
        <row r="775">
          <cell r="H775" t="str">
            <v>ORD 1850020108</v>
          </cell>
        </row>
        <row r="776">
          <cell r="H776" t="str">
            <v>ORD 1850020102</v>
          </cell>
        </row>
        <row r="777">
          <cell r="H777" t="str">
            <v>ORD 1850910101</v>
          </cell>
        </row>
        <row r="778">
          <cell r="H778" t="str">
            <v>ORD 1850020102</v>
          </cell>
        </row>
        <row r="779">
          <cell r="H779" t="str">
            <v>ORD 1850910101</v>
          </cell>
        </row>
        <row r="780">
          <cell r="H780" t="str">
            <v>ORD 1850020107</v>
          </cell>
        </row>
        <row r="781">
          <cell r="H781" t="str">
            <v>ORD 1850020107</v>
          </cell>
        </row>
        <row r="782">
          <cell r="H782" t="str">
            <v>ORD 1850020109</v>
          </cell>
        </row>
        <row r="783">
          <cell r="H783" t="str">
            <v>ORD 1850020108</v>
          </cell>
        </row>
        <row r="784">
          <cell r="H784" t="str">
            <v>ORD 1850020102</v>
          </cell>
        </row>
        <row r="785">
          <cell r="H785" t="str">
            <v>ORD 1850020109</v>
          </cell>
        </row>
        <row r="786">
          <cell r="H786" t="str">
            <v>ORD 1850910101</v>
          </cell>
        </row>
        <row r="787">
          <cell r="H787" t="str">
            <v>ORD 1850020108</v>
          </cell>
        </row>
        <row r="788">
          <cell r="H788" t="str">
            <v>ORD 1850020107</v>
          </cell>
        </row>
        <row r="789">
          <cell r="H789" t="str">
            <v>ORD 1850020107</v>
          </cell>
        </row>
        <row r="790">
          <cell r="H790" t="str">
            <v>ORD 1850020102</v>
          </cell>
        </row>
        <row r="791">
          <cell r="H791" t="str">
            <v>ORD 1850020107</v>
          </cell>
        </row>
        <row r="792">
          <cell r="H792" t="str">
            <v>ORD 1850020109</v>
          </cell>
        </row>
        <row r="793">
          <cell r="H793" t="str">
            <v>ORD 1850020108</v>
          </cell>
        </row>
        <row r="794">
          <cell r="H794" t="str">
            <v>ORD 1850020107</v>
          </cell>
        </row>
        <row r="795">
          <cell r="H795" t="str">
            <v>ORD 1850020109</v>
          </cell>
        </row>
        <row r="796">
          <cell r="H796" t="str">
            <v>ORD 1850020108</v>
          </cell>
        </row>
        <row r="797">
          <cell r="H797" t="str">
            <v>ORD 1850020102</v>
          </cell>
        </row>
        <row r="798">
          <cell r="H798" t="str">
            <v>ORD 1850020109</v>
          </cell>
        </row>
        <row r="799">
          <cell r="H799" t="str">
            <v>ORD 1850020108</v>
          </cell>
        </row>
        <row r="800">
          <cell r="H800" t="str">
            <v>ORD 1850020109</v>
          </cell>
        </row>
        <row r="801">
          <cell r="H801" t="str">
            <v>ORD 1850020108</v>
          </cell>
        </row>
        <row r="802">
          <cell r="H802" t="str">
            <v>ORD 1850020107</v>
          </cell>
        </row>
        <row r="803">
          <cell r="H803" t="str">
            <v>ORD 1850020108</v>
          </cell>
        </row>
        <row r="804">
          <cell r="H804" t="str">
            <v>ORD 1850020102</v>
          </cell>
        </row>
        <row r="805">
          <cell r="H805" t="str">
            <v>ORD 1850910101</v>
          </cell>
        </row>
        <row r="806">
          <cell r="H806" t="str">
            <v>ORD 1850020102</v>
          </cell>
        </row>
        <row r="807">
          <cell r="H807" t="str">
            <v>ORD 1850020109</v>
          </cell>
        </row>
        <row r="808">
          <cell r="H808" t="str">
            <v>ORD 1850020108</v>
          </cell>
        </row>
        <row r="809">
          <cell r="H809" t="str">
            <v>ORD 1850020102</v>
          </cell>
        </row>
        <row r="810">
          <cell r="H810" t="str">
            <v>ORD 1850020102</v>
          </cell>
        </row>
        <row r="811">
          <cell r="H811" t="str">
            <v>ORD 1850020107</v>
          </cell>
        </row>
        <row r="812">
          <cell r="H812" t="str">
            <v>ORD 1850020109</v>
          </cell>
        </row>
        <row r="813">
          <cell r="H813" t="str">
            <v>ORD 1850020108</v>
          </cell>
        </row>
        <row r="814">
          <cell r="H814" t="str">
            <v>ORD 1850020102</v>
          </cell>
        </row>
        <row r="815">
          <cell r="H815" t="str">
            <v>ORD 1850020102</v>
          </cell>
        </row>
        <row r="816">
          <cell r="H816" t="str">
            <v>ORD 1850020102</v>
          </cell>
        </row>
        <row r="817">
          <cell r="H817" t="str">
            <v>ORD 1850020107</v>
          </cell>
        </row>
        <row r="818">
          <cell r="H818" t="str">
            <v>ORD 1850020109</v>
          </cell>
        </row>
        <row r="819">
          <cell r="H819" t="str">
            <v>ORD 1850020102</v>
          </cell>
        </row>
        <row r="820">
          <cell r="H820" t="str">
            <v>ORD 1850020108</v>
          </cell>
        </row>
        <row r="821">
          <cell r="H821" t="str">
            <v>ORD 1850020107</v>
          </cell>
        </row>
        <row r="822">
          <cell r="H822" t="str">
            <v>ORD 1850020102</v>
          </cell>
        </row>
        <row r="823">
          <cell r="H823" t="str">
            <v>ORD 1850020102</v>
          </cell>
        </row>
        <row r="824">
          <cell r="H824" t="str">
            <v>ORD 1850020108</v>
          </cell>
        </row>
        <row r="825">
          <cell r="H825" t="str">
            <v>ORD 1850020107</v>
          </cell>
        </row>
        <row r="826">
          <cell r="H826" t="str">
            <v>ORD 1850020108</v>
          </cell>
        </row>
        <row r="827">
          <cell r="H827" t="str">
            <v>ORD 1850020102</v>
          </cell>
        </row>
        <row r="828">
          <cell r="H828" t="str">
            <v>ORD 1850020102</v>
          </cell>
        </row>
        <row r="829">
          <cell r="H829" t="str">
            <v>ORD 1850020107</v>
          </cell>
        </row>
        <row r="830">
          <cell r="H830" t="str">
            <v>ORD 1850020109</v>
          </cell>
        </row>
        <row r="831">
          <cell r="H831" t="str">
            <v>ORD 1850020108</v>
          </cell>
        </row>
        <row r="832">
          <cell r="H832" t="str">
            <v>ORD 1850020107</v>
          </cell>
        </row>
        <row r="833">
          <cell r="H833" t="str">
            <v>ORD 1850020108</v>
          </cell>
        </row>
        <row r="834">
          <cell r="H834" t="str">
            <v>ORD 1850020102</v>
          </cell>
        </row>
        <row r="835">
          <cell r="H835" t="str">
            <v>ORD 1850020102</v>
          </cell>
        </row>
        <row r="836">
          <cell r="H836" t="str">
            <v>ORD 1850020102</v>
          </cell>
        </row>
        <row r="837">
          <cell r="H837" t="str">
            <v>ORD 1850020108</v>
          </cell>
        </row>
        <row r="838">
          <cell r="H838" t="str">
            <v>ORD 1850020107</v>
          </cell>
        </row>
        <row r="839">
          <cell r="H839" t="str">
            <v>ORD 1850020100</v>
          </cell>
        </row>
        <row r="840">
          <cell r="H840" t="str">
            <v>ORD 1850020108</v>
          </cell>
        </row>
        <row r="841">
          <cell r="H841" t="str">
            <v>ORD 1850020102</v>
          </cell>
        </row>
        <row r="842">
          <cell r="H842" t="str">
            <v>ORD 1850020102</v>
          </cell>
        </row>
        <row r="843">
          <cell r="H843" t="str">
            <v>ORD 1850020102</v>
          </cell>
        </row>
        <row r="844">
          <cell r="H844" t="str">
            <v>ORD 1850020108</v>
          </cell>
        </row>
        <row r="845">
          <cell r="H845" t="str">
            <v>ORD 1850020108</v>
          </cell>
        </row>
        <row r="846">
          <cell r="H846" t="str">
            <v>ORD 1850020102</v>
          </cell>
        </row>
        <row r="847">
          <cell r="H847" t="str">
            <v>ORD 1850020102</v>
          </cell>
        </row>
        <row r="848">
          <cell r="H848" t="str">
            <v>ORD 1850020107</v>
          </cell>
        </row>
        <row r="849">
          <cell r="H849" t="str">
            <v>ORD 1850020108</v>
          </cell>
        </row>
        <row r="850">
          <cell r="H850" t="str">
            <v>ORD 1850020109</v>
          </cell>
        </row>
        <row r="851">
          <cell r="H851" t="str">
            <v>ORD 1850020108</v>
          </cell>
        </row>
        <row r="852">
          <cell r="H852" t="str">
            <v>ORD 1850020102</v>
          </cell>
        </row>
        <row r="853">
          <cell r="H853">
            <v>0</v>
          </cell>
        </row>
        <row r="854">
          <cell r="H854">
            <v>0</v>
          </cell>
        </row>
        <row r="855">
          <cell r="H855" t="str">
            <v>ORD 1850020102</v>
          </cell>
        </row>
        <row r="856">
          <cell r="H856" t="str">
            <v>ORD 1850020102</v>
          </cell>
        </row>
        <row r="857">
          <cell r="H857" t="str">
            <v>ORD 1850020102</v>
          </cell>
        </row>
        <row r="858">
          <cell r="H858" t="str">
            <v>ORD 1850020102</v>
          </cell>
        </row>
        <row r="859">
          <cell r="H859" t="str">
            <v>ORD 1850020102</v>
          </cell>
        </row>
        <row r="860">
          <cell r="H860">
            <v>0</v>
          </cell>
        </row>
        <row r="861">
          <cell r="H861">
            <v>0</v>
          </cell>
        </row>
        <row r="862">
          <cell r="H862">
            <v>0</v>
          </cell>
        </row>
        <row r="863">
          <cell r="H863">
            <v>0</v>
          </cell>
        </row>
        <row r="864">
          <cell r="H864" t="str">
            <v>ORD 1850020100</v>
          </cell>
        </row>
        <row r="865">
          <cell r="H865" t="str">
            <v>ORD 1850020107</v>
          </cell>
        </row>
        <row r="866">
          <cell r="H866" t="str">
            <v>ORD 1850020108</v>
          </cell>
        </row>
        <row r="867">
          <cell r="H867" t="str">
            <v>ORD 1850020109</v>
          </cell>
        </row>
        <row r="868">
          <cell r="H868" t="str">
            <v>ORD 1850020102</v>
          </cell>
        </row>
        <row r="869">
          <cell r="H869" t="str">
            <v>ORD 1850020102</v>
          </cell>
        </row>
        <row r="870">
          <cell r="H870" t="str">
            <v>ORD 1850020108</v>
          </cell>
        </row>
        <row r="871">
          <cell r="H871" t="str">
            <v>ORD 1850020107</v>
          </cell>
        </row>
        <row r="872">
          <cell r="H872" t="str">
            <v>ORD 1850020107</v>
          </cell>
        </row>
        <row r="873">
          <cell r="H873" t="str">
            <v>ORD 1850020108</v>
          </cell>
        </row>
        <row r="874">
          <cell r="H874" t="str">
            <v>ORD 1850020108</v>
          </cell>
        </row>
        <row r="875">
          <cell r="H875" t="str">
            <v>ORD 1850020108</v>
          </cell>
        </row>
        <row r="876">
          <cell r="H876" t="str">
            <v>ORD 1850020108</v>
          </cell>
        </row>
        <row r="877">
          <cell r="H877">
            <v>0</v>
          </cell>
        </row>
        <row r="878">
          <cell r="H878">
            <v>0</v>
          </cell>
        </row>
        <row r="879">
          <cell r="H879">
            <v>0</v>
          </cell>
        </row>
        <row r="880">
          <cell r="H880">
            <v>0</v>
          </cell>
        </row>
        <row r="881">
          <cell r="H881" t="str">
            <v>ORD 1850020107</v>
          </cell>
        </row>
        <row r="882">
          <cell r="H882" t="str">
            <v>ORD 1850020108</v>
          </cell>
        </row>
        <row r="883">
          <cell r="H883">
            <v>0</v>
          </cell>
        </row>
        <row r="884">
          <cell r="H884" t="str">
            <v>ORD 1850020108</v>
          </cell>
        </row>
        <row r="885">
          <cell r="H885" t="str">
            <v>ORD 1850020108</v>
          </cell>
        </row>
        <row r="886">
          <cell r="H886" t="str">
            <v>ORD 1850020108</v>
          </cell>
        </row>
        <row r="887">
          <cell r="H887" t="str">
            <v>ORD 1850020107</v>
          </cell>
        </row>
        <row r="888">
          <cell r="H888" t="str">
            <v>ORD 1850020109</v>
          </cell>
        </row>
        <row r="889">
          <cell r="H889" t="str">
            <v>ORD 1850020102</v>
          </cell>
        </row>
        <row r="890">
          <cell r="H890" t="str">
            <v>ORD 1850020102</v>
          </cell>
        </row>
        <row r="891">
          <cell r="H891" t="str">
            <v>ORD 1850020102</v>
          </cell>
        </row>
        <row r="892">
          <cell r="H892" t="str">
            <v>ORD 1850020102</v>
          </cell>
        </row>
        <row r="893">
          <cell r="H893" t="str">
            <v>ORD 1850020108</v>
          </cell>
        </row>
        <row r="894">
          <cell r="H894" t="str">
            <v>ORD 1850020109</v>
          </cell>
        </row>
        <row r="895">
          <cell r="H895" t="str">
            <v>ORD 1850020108</v>
          </cell>
        </row>
        <row r="896">
          <cell r="H896">
            <v>0</v>
          </cell>
        </row>
        <row r="897">
          <cell r="H897">
            <v>0</v>
          </cell>
        </row>
        <row r="898">
          <cell r="H898">
            <v>0</v>
          </cell>
        </row>
        <row r="899">
          <cell r="H899" t="str">
            <v>ORD 1850020109</v>
          </cell>
        </row>
        <row r="900">
          <cell r="H900" t="str">
            <v>ORD 1850020109</v>
          </cell>
        </row>
        <row r="901">
          <cell r="H901" t="str">
            <v>ORD 1850020109</v>
          </cell>
        </row>
        <row r="902">
          <cell r="H902" t="str">
            <v>ORD 1850020109</v>
          </cell>
        </row>
        <row r="903">
          <cell r="H903" t="str">
            <v>ORD 1850020107</v>
          </cell>
        </row>
        <row r="904">
          <cell r="H904" t="str">
            <v>ORD 1850020108</v>
          </cell>
        </row>
        <row r="905">
          <cell r="H905" t="str">
            <v>ORD 1850020107</v>
          </cell>
        </row>
        <row r="906">
          <cell r="H906" t="str">
            <v>ORD 1850020108</v>
          </cell>
        </row>
        <row r="907">
          <cell r="H907" t="str">
            <v>ORD 1850020107</v>
          </cell>
        </row>
        <row r="908">
          <cell r="H908" t="str">
            <v>ORD 1850020107</v>
          </cell>
        </row>
        <row r="909">
          <cell r="H909" t="str">
            <v>ORD 1850020108</v>
          </cell>
        </row>
        <row r="910">
          <cell r="H910" t="str">
            <v>ORD 1850020102</v>
          </cell>
        </row>
        <row r="911">
          <cell r="H911" t="str">
            <v>ORD 1850020108</v>
          </cell>
        </row>
        <row r="912">
          <cell r="H912" t="str">
            <v>ORD 1850020102</v>
          </cell>
        </row>
        <row r="913">
          <cell r="H913" t="str">
            <v>ORD 1850020102</v>
          </cell>
        </row>
        <row r="914">
          <cell r="H914" t="str">
            <v>ORD 1850020108</v>
          </cell>
        </row>
        <row r="915">
          <cell r="H915" t="str">
            <v>ORD 1850020108</v>
          </cell>
        </row>
        <row r="916">
          <cell r="H916" t="str">
            <v>ORD 1850020108</v>
          </cell>
        </row>
        <row r="917">
          <cell r="H917" t="str">
            <v>ORD 1850020108</v>
          </cell>
        </row>
        <row r="918">
          <cell r="H918" t="str">
            <v>ORD 1850020102</v>
          </cell>
        </row>
        <row r="919">
          <cell r="H919" t="str">
            <v>ORD 1850020108</v>
          </cell>
        </row>
        <row r="920">
          <cell r="H920" t="str">
            <v>ORD 1850020107</v>
          </cell>
        </row>
        <row r="921">
          <cell r="H921" t="str">
            <v>ORD 1850020108</v>
          </cell>
        </row>
        <row r="922">
          <cell r="H922" t="str">
            <v>ORD 1850020108</v>
          </cell>
        </row>
        <row r="923">
          <cell r="H923" t="str">
            <v>ORD 1850020108</v>
          </cell>
        </row>
        <row r="924">
          <cell r="H924" t="str">
            <v>ORD 1850020102</v>
          </cell>
        </row>
        <row r="925">
          <cell r="H925" t="str">
            <v>ORD 1850020108</v>
          </cell>
        </row>
        <row r="926">
          <cell r="H926" t="str">
            <v>ORD 1850020108</v>
          </cell>
        </row>
        <row r="927">
          <cell r="H927" t="str">
            <v>ORD 1850020108</v>
          </cell>
        </row>
        <row r="928">
          <cell r="H928" t="str">
            <v>ORD 1850020108</v>
          </cell>
        </row>
        <row r="929">
          <cell r="H929" t="str">
            <v>ORD 1850020108</v>
          </cell>
        </row>
        <row r="930">
          <cell r="H930" t="str">
            <v>ORD 1850020108</v>
          </cell>
        </row>
        <row r="931">
          <cell r="H931" t="str">
            <v>ORD 1850020108</v>
          </cell>
        </row>
        <row r="932">
          <cell r="H932" t="str">
            <v>ORD 1850020108</v>
          </cell>
        </row>
        <row r="933">
          <cell r="H933" t="str">
            <v>ORD 1850020108</v>
          </cell>
        </row>
        <row r="934">
          <cell r="H934">
            <v>0</v>
          </cell>
        </row>
        <row r="935">
          <cell r="H935" t="str">
            <v>ORD 1850020108</v>
          </cell>
        </row>
        <row r="936">
          <cell r="H936" t="str">
            <v>ORD 1850020108</v>
          </cell>
        </row>
        <row r="937">
          <cell r="H937" t="str">
            <v>ORD 1850020108</v>
          </cell>
        </row>
        <row r="938">
          <cell r="H938" t="str">
            <v>ORD 1850020102</v>
          </cell>
        </row>
        <row r="939">
          <cell r="H939" t="str">
            <v>ORD 1850020102</v>
          </cell>
        </row>
        <row r="940">
          <cell r="H940" t="str">
            <v>ORD 1850020108</v>
          </cell>
        </row>
        <row r="941">
          <cell r="H941" t="str">
            <v>ORD 1850020108</v>
          </cell>
        </row>
        <row r="942">
          <cell r="H942" t="str">
            <v>ORD 1850020107</v>
          </cell>
        </row>
        <row r="943">
          <cell r="H943" t="str">
            <v>ORD 1850020109</v>
          </cell>
        </row>
        <row r="944">
          <cell r="H944" t="str">
            <v>ORD 1850020109</v>
          </cell>
        </row>
        <row r="945">
          <cell r="H945" t="str">
            <v>ORD 1850020108</v>
          </cell>
        </row>
        <row r="946">
          <cell r="H946" t="str">
            <v>ORD 1850020108</v>
          </cell>
        </row>
        <row r="947">
          <cell r="H947" t="str">
            <v>ORD 1850020108</v>
          </cell>
        </row>
        <row r="948">
          <cell r="H948" t="str">
            <v>ORD 1850020102</v>
          </cell>
        </row>
        <row r="949">
          <cell r="H949" t="str">
            <v>ORD 1850020109</v>
          </cell>
        </row>
        <row r="950">
          <cell r="H950" t="str">
            <v>ORD 1850020109</v>
          </cell>
        </row>
        <row r="951">
          <cell r="H951" t="str">
            <v>ORD 1850020102</v>
          </cell>
        </row>
        <row r="952">
          <cell r="H952" t="str">
            <v>ORD 1850020108</v>
          </cell>
        </row>
        <row r="953">
          <cell r="H953" t="str">
            <v>ORD 1850020102</v>
          </cell>
        </row>
        <row r="954">
          <cell r="H954" t="str">
            <v>ORD 1850020108</v>
          </cell>
        </row>
        <row r="955">
          <cell r="H955" t="str">
            <v>ORD 1850020108</v>
          </cell>
        </row>
        <row r="956">
          <cell r="H956" t="str">
            <v>ORD 1850020108</v>
          </cell>
        </row>
        <row r="957">
          <cell r="H957" t="str">
            <v>ORD 1850020109</v>
          </cell>
        </row>
        <row r="958">
          <cell r="H958" t="str">
            <v>ORD 1850020108</v>
          </cell>
        </row>
        <row r="959">
          <cell r="H959" t="str">
            <v>ORD 1850020109</v>
          </cell>
        </row>
        <row r="960">
          <cell r="H960" t="str">
            <v>ORD 1850020108</v>
          </cell>
        </row>
        <row r="961">
          <cell r="H961" t="str">
            <v>ORD 1850020107</v>
          </cell>
        </row>
        <row r="962">
          <cell r="H962" t="str">
            <v>ORD 1850020108</v>
          </cell>
        </row>
        <row r="963">
          <cell r="H963" t="str">
            <v>ORD 1850020108</v>
          </cell>
        </row>
        <row r="964">
          <cell r="H964" t="str">
            <v>ORD 1850020109</v>
          </cell>
        </row>
        <row r="965">
          <cell r="H965" t="str">
            <v>ORD 1850020109</v>
          </cell>
        </row>
        <row r="966">
          <cell r="H966" t="str">
            <v>ORD 1850020108</v>
          </cell>
        </row>
        <row r="967">
          <cell r="H967" t="str">
            <v>ORD 1850020108</v>
          </cell>
        </row>
        <row r="968">
          <cell r="H968" t="str">
            <v>ORD 1850020109</v>
          </cell>
        </row>
        <row r="969">
          <cell r="H969" t="str">
            <v>ORD 1850020109</v>
          </cell>
        </row>
        <row r="970">
          <cell r="H970" t="str">
            <v>ORD 1850020109</v>
          </cell>
        </row>
        <row r="971">
          <cell r="H971" t="str">
            <v>ORD 1850020109</v>
          </cell>
        </row>
        <row r="972">
          <cell r="H972" t="str">
            <v>ORD 1850020108</v>
          </cell>
        </row>
        <row r="973">
          <cell r="H973" t="str">
            <v>ORD 1850020108</v>
          </cell>
        </row>
        <row r="974">
          <cell r="H974" t="str">
            <v>ORD 1850020108</v>
          </cell>
        </row>
        <row r="975">
          <cell r="H975" t="str">
            <v>ORD 1850020108</v>
          </cell>
        </row>
        <row r="976">
          <cell r="H976" t="str">
            <v>ORD 1850020108</v>
          </cell>
        </row>
        <row r="977">
          <cell r="H977" t="str">
            <v>ORD 1850020107</v>
          </cell>
        </row>
        <row r="978">
          <cell r="H978" t="str">
            <v>ORD 1850020108</v>
          </cell>
        </row>
        <row r="979">
          <cell r="H979" t="str">
            <v>ORD 1850020102</v>
          </cell>
        </row>
        <row r="980">
          <cell r="H980" t="str">
            <v>ORD 1850020108</v>
          </cell>
        </row>
        <row r="981">
          <cell r="H981" t="str">
            <v>ORD 1850020102</v>
          </cell>
        </row>
        <row r="982">
          <cell r="H982" t="str">
            <v>ORD 1850020107</v>
          </cell>
        </row>
        <row r="983">
          <cell r="H983" t="str">
            <v>ORD 1850020109</v>
          </cell>
        </row>
        <row r="984">
          <cell r="H984" t="str">
            <v>ORD 1850020108</v>
          </cell>
        </row>
        <row r="985">
          <cell r="H985" t="str">
            <v>ORD 1850020108</v>
          </cell>
        </row>
        <row r="986">
          <cell r="H986" t="str">
            <v>ORD 1850020107</v>
          </cell>
        </row>
        <row r="987">
          <cell r="H987" t="str">
            <v>ORD 1850020102</v>
          </cell>
        </row>
        <row r="988">
          <cell r="H988" t="str">
            <v>ORD 1850020108</v>
          </cell>
        </row>
        <row r="989">
          <cell r="H989" t="str">
            <v>ORD 1850020108</v>
          </cell>
        </row>
        <row r="990">
          <cell r="H990" t="str">
            <v>ORD 1850020108</v>
          </cell>
        </row>
        <row r="991">
          <cell r="H991" t="str">
            <v>ORD 1850020102</v>
          </cell>
        </row>
        <row r="992">
          <cell r="H992" t="str">
            <v>ORD 1850020108</v>
          </cell>
        </row>
        <row r="993">
          <cell r="H993" t="str">
            <v>ORD 1850020108</v>
          </cell>
        </row>
        <row r="994">
          <cell r="H994">
            <v>0</v>
          </cell>
        </row>
        <row r="995">
          <cell r="H995" t="str">
            <v>ORD 1850020108</v>
          </cell>
        </row>
        <row r="996">
          <cell r="H996" t="str">
            <v>ORD 1850020102</v>
          </cell>
        </row>
        <row r="997">
          <cell r="H997" t="str">
            <v>ORD 1850020000</v>
          </cell>
        </row>
        <row r="998">
          <cell r="H998" t="str">
            <v>ORD 1850020107</v>
          </cell>
        </row>
        <row r="999">
          <cell r="H999" t="str">
            <v>ORD 1850020108</v>
          </cell>
        </row>
        <row r="1000">
          <cell r="H1000" t="str">
            <v>ORD 1850020108</v>
          </cell>
        </row>
        <row r="1001">
          <cell r="H1001" t="str">
            <v>ORD 1850020107</v>
          </cell>
        </row>
        <row r="1002">
          <cell r="H1002" t="str">
            <v>ORD 1850020108</v>
          </cell>
        </row>
        <row r="1003">
          <cell r="H1003" t="str">
            <v>ORD 1850020102</v>
          </cell>
        </row>
        <row r="1004">
          <cell r="H1004" t="str">
            <v>ORD 1850020100</v>
          </cell>
        </row>
        <row r="1005">
          <cell r="H1005">
            <v>0</v>
          </cell>
        </row>
        <row r="1006">
          <cell r="H1006">
            <v>0</v>
          </cell>
        </row>
        <row r="1007">
          <cell r="H1007" t="str">
            <v>ORD 1850020100</v>
          </cell>
        </row>
        <row r="1008">
          <cell r="H1008" t="str">
            <v>ORD 1850020100</v>
          </cell>
        </row>
        <row r="1009">
          <cell r="H1009" t="str">
            <v>ORD 1850020100</v>
          </cell>
        </row>
        <row r="1010">
          <cell r="H1010" t="str">
            <v>ORD 1850020100</v>
          </cell>
        </row>
        <row r="1011">
          <cell r="H1011" t="str">
            <v>ORD 1850020100</v>
          </cell>
        </row>
        <row r="1012">
          <cell r="H1012">
            <v>0</v>
          </cell>
        </row>
        <row r="1013">
          <cell r="H1013" t="str">
            <v>ORD 1850020102</v>
          </cell>
        </row>
        <row r="1014">
          <cell r="H1014" t="str">
            <v>ORD 1850020102</v>
          </cell>
        </row>
        <row r="1015">
          <cell r="H1015" t="str">
            <v>ORD 1850020102</v>
          </cell>
        </row>
        <row r="1016">
          <cell r="H1016" t="str">
            <v>ORD 1850020102</v>
          </cell>
        </row>
        <row r="1017">
          <cell r="H1017" t="str">
            <v>ORD 1850020102</v>
          </cell>
        </row>
        <row r="1018">
          <cell r="H1018" t="str">
            <v>ORD 1850020102</v>
          </cell>
        </row>
        <row r="1019">
          <cell r="H1019" t="str">
            <v>ORD 1850020102</v>
          </cell>
        </row>
        <row r="1020">
          <cell r="H1020" t="str">
            <v>ORD 1850020100</v>
          </cell>
        </row>
        <row r="1021">
          <cell r="H1021" t="str">
            <v>ORD 1850020100</v>
          </cell>
        </row>
        <row r="1022">
          <cell r="H1022" t="str">
            <v>ORD 1850020108</v>
          </cell>
        </row>
        <row r="1023">
          <cell r="H1023" t="str">
            <v>ORD 1850020109</v>
          </cell>
        </row>
        <row r="1024">
          <cell r="H1024" t="str">
            <v>ORD 1850020100</v>
          </cell>
        </row>
        <row r="1025">
          <cell r="H1025" t="str">
            <v>ORD 1850020109</v>
          </cell>
        </row>
        <row r="1026">
          <cell r="H1026" t="str">
            <v>ORD 1850020100</v>
          </cell>
        </row>
        <row r="1027">
          <cell r="H1027" t="str">
            <v>ORD 1850020108</v>
          </cell>
        </row>
        <row r="1028">
          <cell r="H1028" t="str">
            <v>ORD 1850020109</v>
          </cell>
        </row>
        <row r="1029">
          <cell r="H1029" t="str">
            <v>ORD 1850020102</v>
          </cell>
        </row>
        <row r="1030">
          <cell r="H1030" t="str">
            <v>ORD 1850020102</v>
          </cell>
        </row>
        <row r="1031">
          <cell r="H1031" t="str">
            <v>ORD 1850020108</v>
          </cell>
        </row>
        <row r="1032">
          <cell r="H1032" t="str">
            <v>ORD 1850020108</v>
          </cell>
        </row>
        <row r="1033">
          <cell r="H1033" t="str">
            <v>ORD 1850020107</v>
          </cell>
        </row>
        <row r="1034">
          <cell r="H1034" t="str">
            <v>ORD 1850020107</v>
          </cell>
        </row>
        <row r="1035">
          <cell r="H1035" t="str">
            <v>ORD 1850020107</v>
          </cell>
        </row>
        <row r="1036">
          <cell r="H1036" t="str">
            <v>ORD 1850020109</v>
          </cell>
        </row>
        <row r="1037">
          <cell r="H1037" t="str">
            <v>ORD 1850020108</v>
          </cell>
        </row>
        <row r="1038">
          <cell r="H1038">
            <v>0</v>
          </cell>
        </row>
        <row r="1039">
          <cell r="H1039">
            <v>0</v>
          </cell>
        </row>
        <row r="1040">
          <cell r="H1040">
            <v>0</v>
          </cell>
        </row>
        <row r="1041">
          <cell r="H1041">
            <v>0</v>
          </cell>
        </row>
        <row r="1042">
          <cell r="H1042">
            <v>0</v>
          </cell>
        </row>
        <row r="1043">
          <cell r="H1043">
            <v>0</v>
          </cell>
        </row>
        <row r="1044">
          <cell r="H1044">
            <v>0</v>
          </cell>
        </row>
        <row r="1045">
          <cell r="H1045">
            <v>0</v>
          </cell>
        </row>
        <row r="1046">
          <cell r="H1046">
            <v>0</v>
          </cell>
        </row>
        <row r="1047">
          <cell r="H1047">
            <v>0</v>
          </cell>
        </row>
        <row r="1048">
          <cell r="H1048">
            <v>0</v>
          </cell>
        </row>
        <row r="1049">
          <cell r="H1049" t="str">
            <v>ORD 1850020100</v>
          </cell>
        </row>
        <row r="1050">
          <cell r="H1050" t="str">
            <v>ORD 1850020100</v>
          </cell>
        </row>
        <row r="1051">
          <cell r="H1051">
            <v>0</v>
          </cell>
        </row>
        <row r="1052">
          <cell r="H1052" t="str">
            <v>ORD 1850020100</v>
          </cell>
        </row>
        <row r="1053">
          <cell r="H1053">
            <v>0</v>
          </cell>
        </row>
        <row r="1054">
          <cell r="H1054" t="str">
            <v>ORD 1850020107</v>
          </cell>
        </row>
        <row r="1055">
          <cell r="H1055" t="str">
            <v>ORD 1850020108</v>
          </cell>
        </row>
        <row r="1056">
          <cell r="H1056" t="str">
            <v>ORD 1850020109</v>
          </cell>
        </row>
        <row r="1057">
          <cell r="H1057" t="str">
            <v>ORD 1850020102</v>
          </cell>
        </row>
        <row r="1058">
          <cell r="H1058" t="str">
            <v>ORD 1850020102</v>
          </cell>
        </row>
        <row r="1059">
          <cell r="H1059">
            <v>0</v>
          </cell>
        </row>
        <row r="1060">
          <cell r="H1060" t="str">
            <v>ORD 1850020102</v>
          </cell>
        </row>
        <row r="1061">
          <cell r="H1061" t="str">
            <v>ORD 1850020109</v>
          </cell>
        </row>
        <row r="1062">
          <cell r="H1062" t="str">
            <v>ORD 1850020108</v>
          </cell>
        </row>
        <row r="1063">
          <cell r="H1063" t="str">
            <v>ORD 1850020102</v>
          </cell>
        </row>
        <row r="1064">
          <cell r="H1064" t="str">
            <v>ORD 1850020102</v>
          </cell>
        </row>
        <row r="1065">
          <cell r="H1065">
            <v>0</v>
          </cell>
        </row>
        <row r="1066">
          <cell r="H1066" t="str">
            <v>ORD 1850020107</v>
          </cell>
        </row>
        <row r="1067">
          <cell r="H1067">
            <v>0</v>
          </cell>
        </row>
        <row r="1069">
          <cell r="H1069" t="str">
            <v>ORD 1850070100</v>
          </cell>
        </row>
        <row r="1070">
          <cell r="H1070" t="str">
            <v>ORD 1850070100</v>
          </cell>
        </row>
        <row r="1071">
          <cell r="H1071" t="str">
            <v>ORD 1850070100</v>
          </cell>
        </row>
        <row r="1072">
          <cell r="H1072" t="str">
            <v>ORD 1850070100</v>
          </cell>
        </row>
        <row r="1073">
          <cell r="H1073">
            <v>0</v>
          </cell>
        </row>
        <row r="1074">
          <cell r="H1074" t="str">
            <v>ORD 1850070100</v>
          </cell>
        </row>
        <row r="1075">
          <cell r="H1075" t="str">
            <v>ORD 1850070100</v>
          </cell>
        </row>
        <row r="1076">
          <cell r="H1076" t="str">
            <v>ORD 1850070100</v>
          </cell>
        </row>
        <row r="1077">
          <cell r="H1077">
            <v>0</v>
          </cell>
        </row>
        <row r="1078">
          <cell r="H1078">
            <v>0</v>
          </cell>
        </row>
        <row r="1079">
          <cell r="H1079" t="str">
            <v>ORD 1850070100</v>
          </cell>
        </row>
        <row r="1080">
          <cell r="H1080" t="str">
            <v>ORD 1850070102</v>
          </cell>
        </row>
        <row r="1081">
          <cell r="H1081" t="str">
            <v>ORD 1850030206</v>
          </cell>
        </row>
        <row r="1082">
          <cell r="H1082" t="str">
            <v>ORD 1850070102</v>
          </cell>
        </row>
        <row r="1083">
          <cell r="H1083" t="str">
            <v>ORD 1850070100</v>
          </cell>
        </row>
        <row r="1084">
          <cell r="H1084" t="str">
            <v>ORD 1850070103</v>
          </cell>
        </row>
        <row r="1085">
          <cell r="H1085" t="str">
            <v>ORD 1850070100</v>
          </cell>
        </row>
        <row r="1086">
          <cell r="H1086" t="str">
            <v>ORD 1850070100</v>
          </cell>
        </row>
        <row r="1087">
          <cell r="H1087" t="str">
            <v>ORD 1850070100</v>
          </cell>
        </row>
        <row r="1088">
          <cell r="H1088" t="str">
            <v>ORD 1850070100</v>
          </cell>
        </row>
        <row r="1089">
          <cell r="H1089" t="str">
            <v>ORD 1850070100</v>
          </cell>
        </row>
        <row r="1090">
          <cell r="H1090" t="str">
            <v>ORD 1850070100</v>
          </cell>
        </row>
        <row r="1091">
          <cell r="H1091" t="str">
            <v>ORD 1850070100</v>
          </cell>
        </row>
        <row r="1092">
          <cell r="H1092" t="str">
            <v>ORD 1850070100</v>
          </cell>
        </row>
        <row r="1093">
          <cell r="H1093" t="str">
            <v>ORD 1850070100</v>
          </cell>
        </row>
        <row r="1094">
          <cell r="H1094" t="str">
            <v>ORD 1850070100</v>
          </cell>
        </row>
        <row r="1095">
          <cell r="H1095" t="str">
            <v>ORD 1850070103</v>
          </cell>
        </row>
        <row r="1096">
          <cell r="H1096" t="str">
            <v>ORD 1850070102</v>
          </cell>
        </row>
        <row r="1097">
          <cell r="H1097" t="str">
            <v>ORD 1850070100</v>
          </cell>
        </row>
        <row r="1098">
          <cell r="H1098" t="str">
            <v>ORD 1850070100</v>
          </cell>
        </row>
        <row r="1099">
          <cell r="H1099" t="str">
            <v>ORD 1850070100</v>
          </cell>
        </row>
        <row r="1100">
          <cell r="H1100" t="str">
            <v>ORD 1850070100</v>
          </cell>
        </row>
        <row r="1101">
          <cell r="H1101" t="str">
            <v>ORD 1850070100</v>
          </cell>
        </row>
        <row r="1102">
          <cell r="H1102" t="str">
            <v>ORD 1850070100</v>
          </cell>
        </row>
        <row r="1103">
          <cell r="H1103" t="str">
            <v>ORD 1850070100</v>
          </cell>
        </row>
        <row r="1104">
          <cell r="H1104" t="str">
            <v>ORD 1850070102</v>
          </cell>
        </row>
        <row r="1105">
          <cell r="H1105" t="str">
            <v>ORD 1850070100</v>
          </cell>
        </row>
        <row r="1106">
          <cell r="H1106" t="str">
            <v>ORD 1850070102</v>
          </cell>
        </row>
        <row r="1107">
          <cell r="H1107" t="str">
            <v>ORD 1850070100</v>
          </cell>
        </row>
        <row r="1108">
          <cell r="H1108" t="str">
            <v>ORD 1850070103</v>
          </cell>
        </row>
        <row r="1109">
          <cell r="H1109" t="str">
            <v>ORD 1850070102</v>
          </cell>
        </row>
        <row r="1110">
          <cell r="H1110" t="str">
            <v>ORD 1850070100</v>
          </cell>
        </row>
        <row r="1111">
          <cell r="H1111" t="str">
            <v>ORD 1850070103</v>
          </cell>
        </row>
        <row r="1112">
          <cell r="H1112" t="str">
            <v>ORD 1850070102</v>
          </cell>
        </row>
        <row r="1113">
          <cell r="H1113" t="str">
            <v>ORD 1850070102</v>
          </cell>
        </row>
        <row r="1114">
          <cell r="H1114" t="str">
            <v>ORD 1850070103</v>
          </cell>
        </row>
        <row r="1115">
          <cell r="H1115" t="str">
            <v>ORD 1850070103</v>
          </cell>
        </row>
        <row r="1116">
          <cell r="H1116" t="str">
            <v>ORD 1850070102</v>
          </cell>
        </row>
        <row r="1117">
          <cell r="H1117" t="str">
            <v>ORD 1850070102</v>
          </cell>
        </row>
        <row r="1118">
          <cell r="H1118" t="str">
            <v>ORD 1850070102</v>
          </cell>
        </row>
        <row r="1119">
          <cell r="H1119" t="str">
            <v>ORD 1850070102</v>
          </cell>
        </row>
        <row r="1120">
          <cell r="H1120">
            <v>0</v>
          </cell>
        </row>
        <row r="1121">
          <cell r="H1121">
            <v>0</v>
          </cell>
        </row>
        <row r="1122">
          <cell r="H1122">
            <v>0</v>
          </cell>
        </row>
        <row r="1123">
          <cell r="H1123" t="str">
            <v>ORD 1850070102</v>
          </cell>
        </row>
        <row r="1124">
          <cell r="H1124" t="str">
            <v>ORD 1850070103</v>
          </cell>
        </row>
        <row r="1125">
          <cell r="H1125" t="str">
            <v>ORD 1850070103</v>
          </cell>
        </row>
        <row r="1126">
          <cell r="H1126" t="str">
            <v>ORD 1850070102</v>
          </cell>
        </row>
        <row r="1127">
          <cell r="H1127" t="str">
            <v>ORD 1850070103</v>
          </cell>
        </row>
        <row r="1128">
          <cell r="H1128" t="str">
            <v>ORD 1850070103</v>
          </cell>
        </row>
        <row r="1129">
          <cell r="H1129" t="str">
            <v>ORD 1850070103</v>
          </cell>
        </row>
        <row r="1130">
          <cell r="H1130" t="str">
            <v>ORD 1850070103</v>
          </cell>
        </row>
        <row r="1131">
          <cell r="H1131" t="str">
            <v>ORD 1850070103</v>
          </cell>
        </row>
        <row r="1132">
          <cell r="H1132" t="str">
            <v>ORD 1850070103</v>
          </cell>
        </row>
        <row r="1133">
          <cell r="H1133" t="str">
            <v>ORD 1850070102</v>
          </cell>
        </row>
        <row r="1134">
          <cell r="H1134" t="str">
            <v>ORD 1850070103</v>
          </cell>
        </row>
        <row r="1135">
          <cell r="H1135" t="str">
            <v>ORD 1850070103</v>
          </cell>
        </row>
        <row r="1137">
          <cell r="H1137" t="str">
            <v>ORD 1850030902</v>
          </cell>
        </row>
        <row r="1138">
          <cell r="H1138" t="str">
            <v>ORD 1850031403</v>
          </cell>
        </row>
        <row r="1139">
          <cell r="H1139" t="str">
            <v>ORD 1850030700</v>
          </cell>
        </row>
        <row r="1140">
          <cell r="H1140" t="str">
            <v>ORD 1850030902</v>
          </cell>
        </row>
        <row r="1141">
          <cell r="H1141" t="str">
            <v>ORD 1850030700</v>
          </cell>
        </row>
        <row r="1142">
          <cell r="H1142" t="str">
            <v>ORD 1850030702</v>
          </cell>
        </row>
        <row r="1143">
          <cell r="H1143" t="str">
            <v>ORD 1850030701</v>
          </cell>
        </row>
        <row r="1144">
          <cell r="H1144" t="str">
            <v>ORD 1850030902</v>
          </cell>
        </row>
        <row r="1145">
          <cell r="H1145" t="str">
            <v>ORD 1850030703</v>
          </cell>
        </row>
        <row r="1146">
          <cell r="H1146" t="str">
            <v>ORD 1850030700</v>
          </cell>
        </row>
        <row r="1147">
          <cell r="H1147" t="str">
            <v>ORD 1850030702</v>
          </cell>
        </row>
        <row r="1148">
          <cell r="H1148" t="str">
            <v>ORD 1850030701</v>
          </cell>
        </row>
        <row r="1149">
          <cell r="H1149" t="str">
            <v>ORD 1850030702</v>
          </cell>
        </row>
        <row r="1150">
          <cell r="H1150" t="str">
            <v>ORD 1850030703</v>
          </cell>
        </row>
        <row r="1151">
          <cell r="H1151" t="str">
            <v>ORD 1850030902</v>
          </cell>
        </row>
        <row r="1152">
          <cell r="H1152" t="str">
            <v>ORD 1850030701</v>
          </cell>
        </row>
        <row r="1153">
          <cell r="H1153" t="str">
            <v>ORD 1850030700</v>
          </cell>
        </row>
        <row r="1154">
          <cell r="H1154" t="str">
            <v>ORD 1850030902</v>
          </cell>
        </row>
        <row r="1155">
          <cell r="H1155" t="str">
            <v>ORD 1850030702</v>
          </cell>
        </row>
        <row r="1156">
          <cell r="H1156" t="str">
            <v>ORD 1850030702</v>
          </cell>
        </row>
        <row r="1157">
          <cell r="H1157" t="str">
            <v>ORD 1850030702</v>
          </cell>
        </row>
        <row r="1158">
          <cell r="H1158" t="str">
            <v>ORD 1850031403</v>
          </cell>
        </row>
        <row r="1159">
          <cell r="H1159" t="str">
            <v>ORD 1850030700</v>
          </cell>
        </row>
        <row r="1160">
          <cell r="H1160" t="str">
            <v>ORD 1850030702</v>
          </cell>
        </row>
        <row r="1161">
          <cell r="H1161" t="str">
            <v>ORD 1850030902</v>
          </cell>
        </row>
        <row r="1162">
          <cell r="H1162" t="str">
            <v>ORD 1850030702</v>
          </cell>
        </row>
        <row r="1163">
          <cell r="H1163" t="str">
            <v>ORD 1850030902</v>
          </cell>
        </row>
        <row r="1164">
          <cell r="H1164" t="str">
            <v>ORD 1850030701</v>
          </cell>
        </row>
        <row r="1165">
          <cell r="H1165" t="str">
            <v>ORD 1850030703</v>
          </cell>
        </row>
        <row r="1166">
          <cell r="H1166" t="str">
            <v>ORD 1850030702</v>
          </cell>
        </row>
        <row r="1167">
          <cell r="H1167" t="str">
            <v>ORD 1850030700</v>
          </cell>
        </row>
        <row r="1168">
          <cell r="H1168" t="str">
            <v>ORD 1850030701</v>
          </cell>
        </row>
        <row r="1169">
          <cell r="H1169" t="str">
            <v>ORD 1850030700</v>
          </cell>
        </row>
        <row r="1170">
          <cell r="H1170" t="str">
            <v>ORD 1850030701</v>
          </cell>
        </row>
        <row r="1171">
          <cell r="H1171" t="str">
            <v>ORD 1850030902</v>
          </cell>
        </row>
        <row r="1172">
          <cell r="H1172" t="str">
            <v>ORD 1850030700</v>
          </cell>
        </row>
        <row r="1173">
          <cell r="H1173" t="str">
            <v>ORD 1850030701</v>
          </cell>
        </row>
        <row r="1174">
          <cell r="H1174">
            <v>0</v>
          </cell>
        </row>
        <row r="1175">
          <cell r="H1175">
            <v>0</v>
          </cell>
        </row>
        <row r="1176">
          <cell r="H1176">
            <v>0</v>
          </cell>
        </row>
        <row r="1177">
          <cell r="H1177">
            <v>0</v>
          </cell>
        </row>
        <row r="1178">
          <cell r="H1178">
            <v>0</v>
          </cell>
        </row>
        <row r="1179">
          <cell r="H1179" t="str">
            <v>ORD 1850030902</v>
          </cell>
        </row>
        <row r="1180">
          <cell r="H1180" t="str">
            <v>ORD 1850030902</v>
          </cell>
        </row>
        <row r="1181">
          <cell r="H1181">
            <v>0</v>
          </cell>
        </row>
        <row r="1182">
          <cell r="H1182">
            <v>0</v>
          </cell>
        </row>
        <row r="1183">
          <cell r="H1183">
            <v>0</v>
          </cell>
        </row>
        <row r="1184">
          <cell r="H1184" t="str">
            <v>ORD 1850030701</v>
          </cell>
        </row>
        <row r="1185">
          <cell r="H1185" t="str">
            <v>ORD 1850030702</v>
          </cell>
        </row>
        <row r="1186">
          <cell r="H1186" t="str">
            <v>ORD 1850030702</v>
          </cell>
        </row>
        <row r="1187">
          <cell r="H1187" t="str">
            <v>ORD 1850030703</v>
          </cell>
        </row>
        <row r="1188">
          <cell r="H1188" t="str">
            <v>ORD 1850030702</v>
          </cell>
        </row>
        <row r="1189">
          <cell r="H1189" t="str">
            <v>ORD 1850030700</v>
          </cell>
        </row>
        <row r="1190">
          <cell r="H1190" t="str">
            <v>ORD 1850030902</v>
          </cell>
        </row>
        <row r="1191">
          <cell r="H1191" t="str">
            <v>ORD 1850030902</v>
          </cell>
        </row>
        <row r="1192">
          <cell r="H1192" t="str">
            <v>ORD 1850030902</v>
          </cell>
        </row>
        <row r="1193">
          <cell r="H1193" t="str">
            <v>ORD 1850030701</v>
          </cell>
        </row>
        <row r="1194">
          <cell r="H1194" t="str">
            <v>ORD 1850030701</v>
          </cell>
        </row>
        <row r="1195">
          <cell r="H1195" t="str">
            <v>ORD 1850030902</v>
          </cell>
        </row>
        <row r="1196">
          <cell r="H1196" t="str">
            <v>ORD 1850030902</v>
          </cell>
        </row>
        <row r="1197">
          <cell r="H1197" t="str">
            <v>ORD 1850030700</v>
          </cell>
        </row>
        <row r="1198">
          <cell r="H1198" t="str">
            <v>ORD 1850030902</v>
          </cell>
        </row>
        <row r="1199">
          <cell r="H1199" t="str">
            <v>ORD 1850030902</v>
          </cell>
        </row>
        <row r="1200">
          <cell r="H1200" t="str">
            <v>ORD 1850030701</v>
          </cell>
        </row>
        <row r="1201">
          <cell r="H1201" t="str">
            <v>ORD 1850030702</v>
          </cell>
        </row>
        <row r="1202">
          <cell r="H1202" t="str">
            <v>ORD 1850030700</v>
          </cell>
        </row>
        <row r="1203">
          <cell r="H1203" t="str">
            <v>ORD 1850030702</v>
          </cell>
        </row>
        <row r="1204">
          <cell r="H1204" t="str">
            <v>ORD 1850030702</v>
          </cell>
        </row>
        <row r="1205">
          <cell r="H1205" t="str">
            <v>ORD 1850030702</v>
          </cell>
        </row>
        <row r="1206">
          <cell r="H1206" t="str">
            <v>ORD 1850030701</v>
          </cell>
        </row>
        <row r="1207">
          <cell r="H1207" t="str">
            <v>ORD 1850030701</v>
          </cell>
        </row>
        <row r="1208">
          <cell r="H1208" t="str">
            <v>ORD 1850030703</v>
          </cell>
        </row>
        <row r="1209">
          <cell r="H1209" t="str">
            <v>ORD 1850030701</v>
          </cell>
        </row>
        <row r="1210">
          <cell r="H1210" t="str">
            <v>ORD 1850030701</v>
          </cell>
        </row>
        <row r="1211">
          <cell r="H1211" t="str">
            <v>ORD 1850030702</v>
          </cell>
        </row>
        <row r="1212">
          <cell r="H1212" t="str">
            <v>ORD 1850030700</v>
          </cell>
        </row>
        <row r="1213">
          <cell r="H1213" t="str">
            <v>ORD 1850030701</v>
          </cell>
        </row>
        <row r="1214">
          <cell r="H1214" t="str">
            <v>ORD 1850030702</v>
          </cell>
        </row>
        <row r="1215">
          <cell r="H1215" t="str">
            <v>ORD 1850030703</v>
          </cell>
        </row>
        <row r="1216">
          <cell r="H1216" t="str">
            <v>ORD 1850030701</v>
          </cell>
        </row>
        <row r="1217">
          <cell r="H1217" t="str">
            <v>ORD 1850030701</v>
          </cell>
        </row>
        <row r="1218">
          <cell r="H1218" t="str">
            <v>ORD 1850030701</v>
          </cell>
        </row>
        <row r="1219">
          <cell r="H1219" t="str">
            <v>ORD 1850030703</v>
          </cell>
        </row>
        <row r="1220">
          <cell r="H1220" t="str">
            <v>ORD 1850030701</v>
          </cell>
        </row>
        <row r="1221">
          <cell r="H1221" t="str">
            <v>ORD 1850030703</v>
          </cell>
        </row>
        <row r="1222">
          <cell r="H1222" t="str">
            <v>ORD 1850030701</v>
          </cell>
        </row>
        <row r="1223">
          <cell r="H1223" t="str">
            <v>ORD 1850030701</v>
          </cell>
        </row>
        <row r="1224">
          <cell r="H1224" t="str">
            <v>ORD 1850030700</v>
          </cell>
        </row>
        <row r="1225">
          <cell r="H1225" t="str">
            <v>ORD 1850030701</v>
          </cell>
        </row>
        <row r="1226">
          <cell r="H1226" t="str">
            <v>ORD 1850030702</v>
          </cell>
        </row>
        <row r="1227">
          <cell r="H1227" t="str">
            <v>ORD 1850030703</v>
          </cell>
        </row>
        <row r="1228">
          <cell r="H1228" t="str">
            <v>ORD 1850030701</v>
          </cell>
        </row>
        <row r="1229">
          <cell r="H1229" t="str">
            <v>ORD 1850030702</v>
          </cell>
        </row>
        <row r="1230">
          <cell r="H1230" t="str">
            <v>ORD 1850030902</v>
          </cell>
        </row>
        <row r="1231">
          <cell r="H1231" t="str">
            <v>ORD 1850030700</v>
          </cell>
        </row>
        <row r="1232">
          <cell r="H1232" t="str">
            <v>ORD 1850030701</v>
          </cell>
        </row>
        <row r="1233">
          <cell r="H1233" t="str">
            <v>ORD 1850030703</v>
          </cell>
        </row>
        <row r="1234">
          <cell r="H1234" t="str">
            <v>ORD 1850030702</v>
          </cell>
        </row>
        <row r="1235">
          <cell r="H1235" t="str">
            <v>ORD 1850030700</v>
          </cell>
        </row>
        <row r="1236">
          <cell r="H1236" t="str">
            <v>ORD 1850030902</v>
          </cell>
        </row>
        <row r="1237">
          <cell r="H1237" t="str">
            <v>ORD 1850030703</v>
          </cell>
        </row>
        <row r="1238">
          <cell r="H1238" t="str">
            <v>ORD 1850030700</v>
          </cell>
        </row>
        <row r="1239">
          <cell r="H1239" t="str">
            <v>ORD 1850030701</v>
          </cell>
        </row>
        <row r="1240">
          <cell r="H1240" t="str">
            <v>ORD 1850030702</v>
          </cell>
        </row>
        <row r="1241">
          <cell r="H1241" t="str">
            <v>ORD 1850030902</v>
          </cell>
        </row>
        <row r="1242">
          <cell r="H1242" t="str">
            <v>ORD 1850030703</v>
          </cell>
        </row>
        <row r="1243">
          <cell r="H1243" t="str">
            <v>ORD 1850030701</v>
          </cell>
        </row>
        <row r="1244">
          <cell r="H1244" t="str">
            <v>ORD 1850030702</v>
          </cell>
        </row>
        <row r="1245">
          <cell r="H1245" t="str">
            <v>ORD 1850030702</v>
          </cell>
        </row>
        <row r="1246">
          <cell r="H1246" t="str">
            <v>ORD 1850030702</v>
          </cell>
        </row>
        <row r="1247">
          <cell r="H1247" t="str">
            <v>ORD 1850030703</v>
          </cell>
        </row>
        <row r="1248">
          <cell r="H1248" t="str">
            <v>ORD 1850030703</v>
          </cell>
        </row>
        <row r="1249">
          <cell r="H1249" t="str">
            <v>ORD 1850030701</v>
          </cell>
        </row>
        <row r="1250">
          <cell r="H1250" t="str">
            <v>ORD 1850030701</v>
          </cell>
        </row>
        <row r="1251">
          <cell r="H1251" t="str">
            <v>ORD 1850030701</v>
          </cell>
        </row>
        <row r="1252">
          <cell r="H1252" t="str">
            <v>ORD 1850030702</v>
          </cell>
        </row>
        <row r="1253">
          <cell r="H1253" t="str">
            <v>ORD 1850030703</v>
          </cell>
        </row>
        <row r="1254">
          <cell r="H1254" t="str">
            <v>ORD 1850030402</v>
          </cell>
        </row>
        <row r="1255">
          <cell r="H1255" t="str">
            <v>ORD 1850030402</v>
          </cell>
        </row>
        <row r="1256">
          <cell r="H1256" t="str">
            <v>ORD 1850030702</v>
          </cell>
        </row>
        <row r="1257">
          <cell r="H1257" t="str">
            <v>ORD 1850030701</v>
          </cell>
        </row>
        <row r="1258">
          <cell r="H1258" t="str">
            <v>ORD 1850030703</v>
          </cell>
        </row>
        <row r="1259">
          <cell r="H1259" t="str">
            <v>ORD 1850030702</v>
          </cell>
        </row>
        <row r="1260">
          <cell r="H1260" t="str">
            <v>ORD 1850030701</v>
          </cell>
        </row>
        <row r="1261">
          <cell r="H1261" t="str">
            <v>ORD 1850030703</v>
          </cell>
        </row>
        <row r="1262">
          <cell r="H1262" t="str">
            <v>ORD 1850030400</v>
          </cell>
        </row>
        <row r="1263">
          <cell r="H1263">
            <v>0</v>
          </cell>
        </row>
        <row r="1264">
          <cell r="H1264" t="str">
            <v>ORD 1850030902</v>
          </cell>
        </row>
        <row r="1265">
          <cell r="H1265" t="str">
            <v>ORD 1850030701</v>
          </cell>
        </row>
        <row r="1266">
          <cell r="H1266" t="str">
            <v>ORD 1850030702</v>
          </cell>
        </row>
        <row r="1267">
          <cell r="H1267" t="str">
            <v>ORD 1850030703</v>
          </cell>
        </row>
        <row r="1268">
          <cell r="H1268" t="str">
            <v>ORD 1850030902</v>
          </cell>
        </row>
        <row r="1269">
          <cell r="H1269" t="str">
            <v>ORD 1850030701</v>
          </cell>
        </row>
        <row r="1270">
          <cell r="H1270" t="str">
            <v>ORD 1850030702</v>
          </cell>
        </row>
        <row r="1271">
          <cell r="H1271" t="str">
            <v>ORD 1850030703</v>
          </cell>
        </row>
        <row r="1272">
          <cell r="H1272" t="str">
            <v>ORD 1850030902</v>
          </cell>
        </row>
        <row r="1273">
          <cell r="H1273" t="str">
            <v>ORD 1850030701</v>
          </cell>
        </row>
        <row r="1274">
          <cell r="H1274" t="str">
            <v>ORD 1850030703</v>
          </cell>
        </row>
        <row r="1275">
          <cell r="H1275" t="str">
            <v>ORD 1850030701</v>
          </cell>
        </row>
        <row r="1276">
          <cell r="H1276" t="str">
            <v>ORD 1850030701</v>
          </cell>
        </row>
        <row r="1277">
          <cell r="H1277" t="str">
            <v>ORD 1850030701</v>
          </cell>
        </row>
        <row r="1278">
          <cell r="H1278" t="str">
            <v>ORD 1850030701</v>
          </cell>
        </row>
        <row r="1279">
          <cell r="H1279" t="str">
            <v>ORD 1850030701</v>
          </cell>
        </row>
        <row r="1280">
          <cell r="H1280" t="str">
            <v>ORD 1850030701</v>
          </cell>
        </row>
        <row r="1281">
          <cell r="H1281" t="str">
            <v>ORD 1850030702</v>
          </cell>
        </row>
        <row r="1282">
          <cell r="H1282" t="str">
            <v>ORD 1850030902</v>
          </cell>
        </row>
        <row r="1283">
          <cell r="H1283" t="str">
            <v>ORD 1850030703</v>
          </cell>
        </row>
        <row r="1284">
          <cell r="H1284" t="str">
            <v>ORD 1850030701</v>
          </cell>
        </row>
        <row r="1285">
          <cell r="H1285" t="str">
            <v>ORD 1850030902</v>
          </cell>
        </row>
        <row r="1286">
          <cell r="H1286" t="str">
            <v>ORD 1850030703</v>
          </cell>
        </row>
        <row r="1287">
          <cell r="H1287" t="str">
            <v>ORD 1850030703</v>
          </cell>
        </row>
        <row r="1288">
          <cell r="H1288" t="str">
            <v>ORD 1850030902</v>
          </cell>
        </row>
        <row r="1289">
          <cell r="H1289" t="str">
            <v>ORD 1850030700</v>
          </cell>
        </row>
        <row r="1290">
          <cell r="H1290" t="str">
            <v>ORD 1850030902</v>
          </cell>
        </row>
        <row r="1291">
          <cell r="H1291" t="str">
            <v>ORD 1850030902</v>
          </cell>
        </row>
        <row r="1292">
          <cell r="H1292" t="str">
            <v>ORD 1850030700</v>
          </cell>
        </row>
        <row r="1293">
          <cell r="H1293" t="str">
            <v>ORD 1850030701</v>
          </cell>
        </row>
        <row r="1294">
          <cell r="H1294">
            <v>0</v>
          </cell>
        </row>
        <row r="1295">
          <cell r="H1295">
            <v>0</v>
          </cell>
        </row>
        <row r="1296">
          <cell r="H1296">
            <v>0</v>
          </cell>
        </row>
        <row r="1297">
          <cell r="H1297">
            <v>0</v>
          </cell>
        </row>
        <row r="1298">
          <cell r="H1298">
            <v>0</v>
          </cell>
        </row>
        <row r="1299">
          <cell r="H1299">
            <v>0</v>
          </cell>
        </row>
        <row r="1300">
          <cell r="H1300" t="str">
            <v>ORD 1850030902</v>
          </cell>
        </row>
        <row r="1301">
          <cell r="H1301" t="str">
            <v>ORD 1850030701</v>
          </cell>
        </row>
        <row r="1302">
          <cell r="H1302" t="str">
            <v>ORD 1850030703</v>
          </cell>
        </row>
        <row r="1303">
          <cell r="H1303">
            <v>0</v>
          </cell>
        </row>
        <row r="1304">
          <cell r="H1304" t="str">
            <v>ORD 1850030902</v>
          </cell>
        </row>
        <row r="1305">
          <cell r="H1305" t="str">
            <v>ORD 1850030701</v>
          </cell>
        </row>
        <row r="1306">
          <cell r="H1306" t="str">
            <v>ORD 1850030402</v>
          </cell>
        </row>
        <row r="1307">
          <cell r="H1307" t="str">
            <v>ORD 1850030703</v>
          </cell>
        </row>
        <row r="1309">
          <cell r="H1309" t="str">
            <v>ORD 1850020501</v>
          </cell>
        </row>
        <row r="1310">
          <cell r="H1310" t="str">
            <v>ORD 1850020501</v>
          </cell>
        </row>
        <row r="1311">
          <cell r="H1311" t="str">
            <v>ORD 1850020501</v>
          </cell>
        </row>
        <row r="1312">
          <cell r="H1312" t="str">
            <v>ORD 1850020501</v>
          </cell>
        </row>
        <row r="1313">
          <cell r="H1313" t="str">
            <v>ORD 1850020501</v>
          </cell>
        </row>
        <row r="1314">
          <cell r="H1314" t="str">
            <v>ORD 1850020501</v>
          </cell>
        </row>
        <row r="1315">
          <cell r="H1315" t="str">
            <v>ORD 1850020501</v>
          </cell>
        </row>
        <row r="1316">
          <cell r="H1316" t="str">
            <v>ORD 1850020501</v>
          </cell>
        </row>
        <row r="1317">
          <cell r="H1317" t="str">
            <v>ORD 1850020501</v>
          </cell>
        </row>
        <row r="1318">
          <cell r="H1318" t="str">
            <v>ORD 1850020501</v>
          </cell>
        </row>
        <row r="1319">
          <cell r="H1319" t="str">
            <v>ORD 1850020501</v>
          </cell>
        </row>
        <row r="1320">
          <cell r="H1320" t="str">
            <v>ORD 1850020501</v>
          </cell>
        </row>
        <row r="1321">
          <cell r="H1321" t="str">
            <v>ORD 1850020501</v>
          </cell>
        </row>
        <row r="1322">
          <cell r="H1322" t="str">
            <v>ORD 1850020501</v>
          </cell>
        </row>
        <row r="1323">
          <cell r="H1323" t="str">
            <v>ORD 1850020501</v>
          </cell>
        </row>
        <row r="1324">
          <cell r="H1324" t="str">
            <v>ORD 1850020501</v>
          </cell>
        </row>
        <row r="1325">
          <cell r="H1325" t="str">
            <v>ORD 1850020501</v>
          </cell>
        </row>
        <row r="1326">
          <cell r="H1326" t="str">
            <v>ORD 1850020501</v>
          </cell>
        </row>
        <row r="1327">
          <cell r="H1327" t="str">
            <v>ORD 1850020501</v>
          </cell>
        </row>
        <row r="1328">
          <cell r="H1328" t="str">
            <v>ORD 1850020501</v>
          </cell>
        </row>
        <row r="1329">
          <cell r="H1329" t="str">
            <v>ORD 1850020501</v>
          </cell>
        </row>
        <row r="1330">
          <cell r="H1330" t="str">
            <v>ORD 1850020501</v>
          </cell>
        </row>
        <row r="1331">
          <cell r="H1331" t="str">
            <v>ORD 1850020501</v>
          </cell>
        </row>
        <row r="1332">
          <cell r="H1332" t="str">
            <v>ORD 1850020501</v>
          </cell>
        </row>
        <row r="1333">
          <cell r="H1333" t="str">
            <v>ORD 1850020501</v>
          </cell>
        </row>
        <row r="1334">
          <cell r="H1334" t="str">
            <v>ORD 1850020501</v>
          </cell>
        </row>
        <row r="1335">
          <cell r="H1335" t="str">
            <v>ORD 1850020501</v>
          </cell>
        </row>
        <row r="1336">
          <cell r="H1336" t="str">
            <v>ORD 1850020501</v>
          </cell>
        </row>
        <row r="1337">
          <cell r="H1337" t="str">
            <v>ORD 1850020501</v>
          </cell>
        </row>
        <row r="1338">
          <cell r="H1338" t="str">
            <v>ORD 1850020501</v>
          </cell>
        </row>
        <row r="1339">
          <cell r="H1339" t="str">
            <v>ORD 1850020501</v>
          </cell>
        </row>
        <row r="1340">
          <cell r="H1340" t="str">
            <v>ORD 1850020501</v>
          </cell>
        </row>
        <row r="1341">
          <cell r="H1341" t="str">
            <v>ORD 1850020501</v>
          </cell>
        </row>
        <row r="1342">
          <cell r="H1342">
            <v>0</v>
          </cell>
        </row>
        <row r="1343">
          <cell r="H1343" t="str">
            <v>ORD 1850020501</v>
          </cell>
        </row>
        <row r="1344">
          <cell r="H1344" t="str">
            <v>ORD 1850020501</v>
          </cell>
        </row>
        <row r="1345">
          <cell r="H1345" t="str">
            <v>ORD 1850020501</v>
          </cell>
        </row>
        <row r="1346">
          <cell r="H1346" t="str">
            <v>ORD 1850020501</v>
          </cell>
        </row>
        <row r="1347">
          <cell r="H1347">
            <v>0</v>
          </cell>
        </row>
        <row r="1348">
          <cell r="H1348" t="str">
            <v>ORD 1850020501</v>
          </cell>
        </row>
        <row r="1349">
          <cell r="H1349" t="str">
            <v>ORD 1850020501</v>
          </cell>
        </row>
        <row r="1350">
          <cell r="H1350">
            <v>0</v>
          </cell>
        </row>
        <row r="1351">
          <cell r="H1351" t="str">
            <v>ORD 1850020501</v>
          </cell>
        </row>
        <row r="1352">
          <cell r="H1352" t="str">
            <v>ORD 1850020501</v>
          </cell>
        </row>
        <row r="1353">
          <cell r="H1353">
            <v>0</v>
          </cell>
        </row>
        <row r="1354">
          <cell r="H1354" t="str">
            <v>ORD 1850020501</v>
          </cell>
        </row>
        <row r="1355">
          <cell r="H1355" t="str">
            <v>ORD 1850020501</v>
          </cell>
        </row>
        <row r="1357">
          <cell r="H1357">
            <v>0</v>
          </cell>
        </row>
        <row r="1358">
          <cell r="H1358">
            <v>0</v>
          </cell>
        </row>
        <row r="1359">
          <cell r="H1359">
            <v>0</v>
          </cell>
        </row>
        <row r="1360">
          <cell r="H1360">
            <v>0</v>
          </cell>
        </row>
        <row r="1361">
          <cell r="H1361" t="str">
            <v>ORD 1850020202</v>
          </cell>
        </row>
        <row r="1362">
          <cell r="H1362" t="str">
            <v>ORD 1850020202</v>
          </cell>
        </row>
        <row r="1363">
          <cell r="H1363" t="str">
            <v>ORD 1850020202</v>
          </cell>
        </row>
        <row r="1364">
          <cell r="H1364" t="str">
            <v>ORD 1850020202</v>
          </cell>
        </row>
        <row r="1365">
          <cell r="H1365" t="str">
            <v>ORD 1850020202</v>
          </cell>
        </row>
        <row r="1366">
          <cell r="H1366" t="str">
            <v>ORD 1850020202</v>
          </cell>
        </row>
        <row r="1367">
          <cell r="H1367" t="str">
            <v>ORD 1850020202</v>
          </cell>
        </row>
        <row r="1368">
          <cell r="H1368" t="str">
            <v>ORD 1850020202</v>
          </cell>
        </row>
        <row r="1369">
          <cell r="H1369" t="str">
            <v>ORD 1850020202</v>
          </cell>
        </row>
        <row r="1370">
          <cell r="H1370" t="str">
            <v>ORD 1850020202</v>
          </cell>
        </row>
        <row r="1371">
          <cell r="H1371" t="str">
            <v>ORD 1850020202</v>
          </cell>
        </row>
        <row r="1372">
          <cell r="H1372" t="str">
            <v>ORD 1850020202</v>
          </cell>
        </row>
        <row r="1373">
          <cell r="H1373" t="str">
            <v>ORD 1850020202</v>
          </cell>
        </row>
        <row r="1374">
          <cell r="H1374">
            <v>0</v>
          </cell>
        </row>
        <row r="1375">
          <cell r="H1375">
            <v>0</v>
          </cell>
        </row>
        <row r="1376">
          <cell r="H1376" t="str">
            <v>ORD 1850020202</v>
          </cell>
        </row>
        <row r="1377">
          <cell r="H1377">
            <v>0</v>
          </cell>
        </row>
        <row r="1378">
          <cell r="H1378">
            <v>0</v>
          </cell>
        </row>
        <row r="1379">
          <cell r="H1379">
            <v>0</v>
          </cell>
        </row>
        <row r="1380">
          <cell r="H1380">
            <v>0</v>
          </cell>
        </row>
        <row r="1381">
          <cell r="H1381">
            <v>0</v>
          </cell>
        </row>
        <row r="1382">
          <cell r="H1382">
            <v>0</v>
          </cell>
        </row>
        <row r="1383">
          <cell r="H1383">
            <v>0</v>
          </cell>
        </row>
        <row r="1384">
          <cell r="H1384">
            <v>0</v>
          </cell>
        </row>
        <row r="1385">
          <cell r="H1385">
            <v>0</v>
          </cell>
        </row>
        <row r="1386">
          <cell r="H1386">
            <v>0</v>
          </cell>
        </row>
        <row r="1387">
          <cell r="H1387">
            <v>0</v>
          </cell>
        </row>
        <row r="1388">
          <cell r="H1388">
            <v>0</v>
          </cell>
        </row>
        <row r="1389">
          <cell r="H1389">
            <v>0</v>
          </cell>
        </row>
        <row r="1390">
          <cell r="H1390">
            <v>0</v>
          </cell>
        </row>
        <row r="1391">
          <cell r="H1391" t="str">
            <v>ORD 1850020202</v>
          </cell>
        </row>
        <row r="1392">
          <cell r="H1392">
            <v>0</v>
          </cell>
        </row>
        <row r="1393">
          <cell r="H1393">
            <v>0</v>
          </cell>
        </row>
        <row r="1394">
          <cell r="H1394">
            <v>0</v>
          </cell>
        </row>
        <row r="1395">
          <cell r="H1395">
            <v>0</v>
          </cell>
        </row>
        <row r="1396">
          <cell r="H1396">
            <v>0</v>
          </cell>
        </row>
        <row r="1397">
          <cell r="H1397">
            <v>0</v>
          </cell>
        </row>
        <row r="1398">
          <cell r="H1398">
            <v>0</v>
          </cell>
        </row>
        <row r="1399">
          <cell r="H1399">
            <v>0</v>
          </cell>
        </row>
        <row r="1400">
          <cell r="H1400" t="str">
            <v>ORD 1850020202</v>
          </cell>
        </row>
        <row r="1401">
          <cell r="H1401" t="str">
            <v>ORD 1850020202</v>
          </cell>
        </row>
        <row r="1402">
          <cell r="H1402" t="str">
            <v>ORD 1850020202</v>
          </cell>
        </row>
        <row r="1403">
          <cell r="H1403">
            <v>0</v>
          </cell>
        </row>
        <row r="1404">
          <cell r="H1404">
            <v>0</v>
          </cell>
        </row>
        <row r="1405">
          <cell r="H1405">
            <v>0</v>
          </cell>
        </row>
        <row r="1406">
          <cell r="H1406" t="str">
            <v>ORD 1850020202</v>
          </cell>
        </row>
        <row r="1407">
          <cell r="H1407" t="str">
            <v>ORD 1850020202</v>
          </cell>
        </row>
        <row r="1408">
          <cell r="H1408" t="str">
            <v>ORD 1850020202</v>
          </cell>
        </row>
        <row r="1409">
          <cell r="H1409" t="str">
            <v>ORD 1850020202</v>
          </cell>
        </row>
        <row r="1410">
          <cell r="H1410">
            <v>0</v>
          </cell>
        </row>
        <row r="1411">
          <cell r="H1411" t="str">
            <v>ORD 1850020200</v>
          </cell>
        </row>
        <row r="1412">
          <cell r="H1412" t="str">
            <v>ORD 1850020202</v>
          </cell>
        </row>
        <row r="1413">
          <cell r="H1413" t="str">
            <v>ORD 1850020202</v>
          </cell>
        </row>
        <row r="1414">
          <cell r="H1414" t="str">
            <v>ORD 1850020202</v>
          </cell>
        </row>
        <row r="1415">
          <cell r="H1415" t="str">
            <v>ORD 1850020202</v>
          </cell>
        </row>
        <row r="1416">
          <cell r="H1416" t="str">
            <v>ORD 1850020202</v>
          </cell>
        </row>
        <row r="1417">
          <cell r="H1417" t="str">
            <v>ORD 1850020202</v>
          </cell>
        </row>
        <row r="1418">
          <cell r="H1418" t="str">
            <v>ORD 1850020202</v>
          </cell>
        </row>
        <row r="1419">
          <cell r="H1419" t="str">
            <v>ORD 1850020202</v>
          </cell>
        </row>
        <row r="1420">
          <cell r="H1420" t="str">
            <v>ORD 1850020202</v>
          </cell>
        </row>
        <row r="1421">
          <cell r="H1421" t="str">
            <v>ORD 1850020202</v>
          </cell>
        </row>
        <row r="1422">
          <cell r="H1422" t="str">
            <v>ORD 1850020202</v>
          </cell>
        </row>
        <row r="1423">
          <cell r="H1423" t="str">
            <v>ORD 1850020202</v>
          </cell>
        </row>
        <row r="1424">
          <cell r="H1424" t="str">
            <v>ORD 1850020202</v>
          </cell>
        </row>
        <row r="1425">
          <cell r="H1425" t="str">
            <v>ORD 1850020202</v>
          </cell>
        </row>
        <row r="1426">
          <cell r="H1426" t="str">
            <v>ORD 1850020202</v>
          </cell>
        </row>
        <row r="1427">
          <cell r="H1427" t="str">
            <v>ORD 1850020202</v>
          </cell>
        </row>
        <row r="1428">
          <cell r="H1428" t="str">
            <v>ORD 1850020202</v>
          </cell>
        </row>
        <row r="1429">
          <cell r="H1429" t="str">
            <v>ORD 1850020202</v>
          </cell>
        </row>
        <row r="1430">
          <cell r="H1430" t="str">
            <v>ORD 1850020202</v>
          </cell>
        </row>
        <row r="1431">
          <cell r="H1431" t="str">
            <v>ORD 1850020202</v>
          </cell>
        </row>
        <row r="1432">
          <cell r="H1432" t="str">
            <v>ORD 1850020202</v>
          </cell>
        </row>
        <row r="1433">
          <cell r="H1433" t="str">
            <v>ORD 1850020202</v>
          </cell>
        </row>
        <row r="1434">
          <cell r="H1434">
            <v>0</v>
          </cell>
        </row>
        <row r="1435">
          <cell r="H1435" t="str">
            <v>ORD 1850020202</v>
          </cell>
        </row>
        <row r="1436">
          <cell r="H1436" t="str">
            <v>ORD 1850020202</v>
          </cell>
        </row>
        <row r="1437">
          <cell r="H1437" t="str">
            <v>ORD 1850020202</v>
          </cell>
        </row>
        <row r="1438">
          <cell r="H1438" t="str">
            <v>ORD 1850020202</v>
          </cell>
        </row>
        <row r="1439">
          <cell r="H1439" t="str">
            <v>ORD 1850020202</v>
          </cell>
        </row>
        <row r="1440">
          <cell r="H1440" t="str">
            <v>ORD 1850020202</v>
          </cell>
        </row>
        <row r="1441">
          <cell r="H1441" t="str">
            <v>ORD 1850020202</v>
          </cell>
        </row>
        <row r="1442">
          <cell r="H1442" t="str">
            <v>ORD 1850020202</v>
          </cell>
        </row>
        <row r="1443">
          <cell r="H1443" t="str">
            <v>ORD 1850020202</v>
          </cell>
        </row>
        <row r="1444">
          <cell r="H1444" t="str">
            <v>ORD 1850020202</v>
          </cell>
        </row>
        <row r="1445">
          <cell r="H1445" t="str">
            <v>ORD 1850020202</v>
          </cell>
        </row>
        <row r="1446">
          <cell r="H1446" t="str">
            <v>ORD 1850020202</v>
          </cell>
        </row>
        <row r="1447">
          <cell r="H1447" t="str">
            <v>ORD 1850020202</v>
          </cell>
        </row>
        <row r="1448">
          <cell r="H1448">
            <v>0</v>
          </cell>
        </row>
        <row r="1449">
          <cell r="H1449" t="str">
            <v>ORD 1850020202</v>
          </cell>
        </row>
        <row r="1450">
          <cell r="H1450" t="str">
            <v>ORD 1850020202</v>
          </cell>
        </row>
        <row r="1451">
          <cell r="H1451" t="str">
            <v>ORD 1850020202</v>
          </cell>
        </row>
        <row r="1452">
          <cell r="H1452" t="str">
            <v>ORD 1850020202</v>
          </cell>
        </row>
        <row r="1453">
          <cell r="H1453" t="str">
            <v>ORD 1850020202</v>
          </cell>
        </row>
        <row r="1454">
          <cell r="H1454" t="str">
            <v>ORD 1850020202</v>
          </cell>
        </row>
        <row r="1455">
          <cell r="H1455" t="str">
            <v>ORD 1850020202</v>
          </cell>
        </row>
        <row r="1456">
          <cell r="H1456" t="str">
            <v>ORD 1850020202</v>
          </cell>
        </row>
        <row r="1457">
          <cell r="H1457" t="str">
            <v>ORD 1850020202</v>
          </cell>
        </row>
        <row r="1458">
          <cell r="H1458" t="str">
            <v>ORD 1850020202</v>
          </cell>
        </row>
        <row r="1459">
          <cell r="H1459" t="str">
            <v>ORD 1850020202</v>
          </cell>
        </row>
        <row r="1460">
          <cell r="H1460" t="str">
            <v>ORD 1850020202</v>
          </cell>
        </row>
        <row r="1461">
          <cell r="H1461" t="str">
            <v>ORD 1850020202</v>
          </cell>
        </row>
        <row r="1462">
          <cell r="H1462" t="str">
            <v>ORD 1850020202</v>
          </cell>
        </row>
        <row r="1463">
          <cell r="H1463" t="str">
            <v>ORD 1850020202</v>
          </cell>
        </row>
        <row r="1464">
          <cell r="H1464" t="str">
            <v>ORD 1850020202</v>
          </cell>
        </row>
        <row r="1465">
          <cell r="H1465" t="str">
            <v>ORD 1850020202</v>
          </cell>
        </row>
        <row r="1466">
          <cell r="H1466" t="str">
            <v>ORD 1850020202</v>
          </cell>
        </row>
        <row r="1467">
          <cell r="H1467" t="str">
            <v>ORD 1850020202</v>
          </cell>
        </row>
        <row r="1468">
          <cell r="H1468" t="str">
            <v>ORD 1850020202</v>
          </cell>
        </row>
        <row r="1469">
          <cell r="H1469">
            <v>0</v>
          </cell>
        </row>
        <row r="1470">
          <cell r="H1470" t="str">
            <v>ORD 1850020202</v>
          </cell>
        </row>
        <row r="1471">
          <cell r="H1471" t="str">
            <v>ORD 1850020202</v>
          </cell>
        </row>
        <row r="1472">
          <cell r="H1472" t="str">
            <v>ORD 1850020202</v>
          </cell>
        </row>
        <row r="1473">
          <cell r="H1473" t="str">
            <v>ORD 1850020202</v>
          </cell>
        </row>
        <row r="1474">
          <cell r="H1474" t="str">
            <v>ORD 1850020202</v>
          </cell>
        </row>
        <row r="1475">
          <cell r="H1475" t="str">
            <v>ORD 1850020202</v>
          </cell>
        </row>
        <row r="1476">
          <cell r="H1476" t="str">
            <v>ORD 1850020202</v>
          </cell>
        </row>
        <row r="1477">
          <cell r="H1477" t="str">
            <v>ORD 1850020202</v>
          </cell>
        </row>
        <row r="1478">
          <cell r="H1478" t="str">
            <v>ORD 1850020202</v>
          </cell>
        </row>
        <row r="1479">
          <cell r="H1479" t="str">
            <v>ORD 1850020202</v>
          </cell>
        </row>
        <row r="1480">
          <cell r="H1480" t="str">
            <v>ORD 1850020202</v>
          </cell>
        </row>
        <row r="1481">
          <cell r="H1481" t="str">
            <v>ORD 1850020202</v>
          </cell>
        </row>
        <row r="1482">
          <cell r="H1482" t="str">
            <v>ORD 1850020202</v>
          </cell>
        </row>
        <row r="1483">
          <cell r="H1483" t="str">
            <v>ORD 1850020202</v>
          </cell>
        </row>
        <row r="1484">
          <cell r="H1484" t="str">
            <v>ORD 1850020202</v>
          </cell>
        </row>
        <row r="1485">
          <cell r="H1485" t="str">
            <v>ORD 1850020202</v>
          </cell>
        </row>
        <row r="1486">
          <cell r="H1486" t="str">
            <v>ORD 1850020202</v>
          </cell>
        </row>
        <row r="1487">
          <cell r="H1487">
            <v>0</v>
          </cell>
        </row>
        <row r="1488">
          <cell r="H1488" t="str">
            <v>ORD 1850020102</v>
          </cell>
        </row>
        <row r="1489">
          <cell r="H1489" t="str">
            <v>ORD 1850020202</v>
          </cell>
        </row>
        <row r="1490">
          <cell r="H1490" t="str">
            <v>ORD 1850020202</v>
          </cell>
        </row>
        <row r="1491">
          <cell r="H1491">
            <v>0</v>
          </cell>
        </row>
        <row r="1492">
          <cell r="H1492" t="str">
            <v>ORD 1850020202</v>
          </cell>
        </row>
        <row r="1493">
          <cell r="H1493" t="str">
            <v>ORD 1850020202</v>
          </cell>
        </row>
        <row r="1494">
          <cell r="H1494" t="str">
            <v>ORD 1850020202</v>
          </cell>
        </row>
        <row r="1495">
          <cell r="H1495" t="str">
            <v>ORD 1850020202</v>
          </cell>
        </row>
        <row r="1496">
          <cell r="H1496" t="str">
            <v>ORD 1850020202</v>
          </cell>
        </row>
        <row r="1497">
          <cell r="H1497" t="str">
            <v>ORD 1850020202</v>
          </cell>
        </row>
        <row r="1498">
          <cell r="H1498" t="str">
            <v>ORD 1850020202</v>
          </cell>
        </row>
        <row r="1499">
          <cell r="H1499" t="str">
            <v>ORD 1850020202</v>
          </cell>
        </row>
        <row r="1500">
          <cell r="H1500" t="str">
            <v>ORD 1850020202</v>
          </cell>
        </row>
        <row r="1501">
          <cell r="H1501" t="str">
            <v>ORD 1850020202</v>
          </cell>
        </row>
        <row r="1502">
          <cell r="H1502" t="str">
            <v>ORD 1850020202</v>
          </cell>
        </row>
        <row r="1503">
          <cell r="H1503" t="str">
            <v>ORD 1850020202</v>
          </cell>
        </row>
        <row r="1504">
          <cell r="H1504" t="str">
            <v>ORD 1850020202</v>
          </cell>
        </row>
        <row r="1505">
          <cell r="H1505" t="str">
            <v>ORD 1850020202</v>
          </cell>
        </row>
        <row r="1506">
          <cell r="H1506" t="str">
            <v>ORD 1850020202</v>
          </cell>
        </row>
        <row r="1507">
          <cell r="H1507" t="str">
            <v>ORD 1850020202</v>
          </cell>
        </row>
        <row r="1508">
          <cell r="H1508" t="str">
            <v>ORD 1850020202</v>
          </cell>
        </row>
        <row r="1509">
          <cell r="H1509" t="str">
            <v>ORD 1850020202</v>
          </cell>
        </row>
        <row r="1510">
          <cell r="H1510" t="str">
            <v>ORD 1850020202</v>
          </cell>
        </row>
        <row r="1511">
          <cell r="H1511" t="str">
            <v>ORD 1850020202</v>
          </cell>
        </row>
        <row r="1512">
          <cell r="H1512" t="str">
            <v>ORD 1850020202</v>
          </cell>
        </row>
        <row r="1513">
          <cell r="H1513" t="str">
            <v>ORD 1850020202</v>
          </cell>
        </row>
        <row r="1514">
          <cell r="H1514" t="str">
            <v>ORD 1850020202</v>
          </cell>
        </row>
        <row r="1515">
          <cell r="H1515" t="str">
            <v>ORD 1850020202</v>
          </cell>
        </row>
        <row r="1516">
          <cell r="H1516" t="str">
            <v>ORD 1850020202</v>
          </cell>
        </row>
        <row r="1517">
          <cell r="H1517" t="str">
            <v>ORD 1850020202</v>
          </cell>
        </row>
        <row r="1518">
          <cell r="H1518" t="str">
            <v>ORD 1850020202</v>
          </cell>
        </row>
        <row r="1519">
          <cell r="A1519" t="str">
            <v>7098638</v>
          </cell>
          <cell r="B1519" t="str">
            <v>731200</v>
          </cell>
          <cell r="C1519" t="str">
            <v>Overhead Accruals</v>
          </cell>
          <cell r="D1519" t="str">
            <v>751001748</v>
          </cell>
          <cell r="E1519" t="str">
            <v>006</v>
          </cell>
          <cell r="F1519" t="str">
            <v>P5 Correct A/P Auto Accural</v>
          </cell>
          <cell r="G1519">
            <v>0</v>
          </cell>
          <cell r="H1519">
            <v>0</v>
          </cell>
          <cell r="I1519" t="str">
            <v>620110</v>
          </cell>
          <cell r="J1519" t="str">
            <v>Canteen Expenses</v>
          </cell>
          <cell r="K1519">
            <v>145.55000000000001</v>
          </cell>
          <cell r="L1519">
            <v>38138</v>
          </cell>
        </row>
        <row r="1520">
          <cell r="A1520" t="str">
            <v>7098638</v>
          </cell>
          <cell r="B1520" t="str">
            <v>731900</v>
          </cell>
          <cell r="C1520" t="str">
            <v>Other Fixed Expenses</v>
          </cell>
          <cell r="D1520" t="str">
            <v>360001007</v>
          </cell>
          <cell r="E1520" t="str">
            <v>006</v>
          </cell>
          <cell r="F1520" t="str">
            <v>Suzanne Thornton</v>
          </cell>
          <cell r="G1520">
            <v>0</v>
          </cell>
          <cell r="H1520">
            <v>0</v>
          </cell>
          <cell r="I1520" t="str">
            <v>362870</v>
          </cell>
          <cell r="J1520" t="str">
            <v>CHILDRENS COURTYARD THE</v>
          </cell>
          <cell r="K1520">
            <v>180</v>
          </cell>
          <cell r="L1520">
            <v>38139</v>
          </cell>
        </row>
        <row r="1521">
          <cell r="A1521" t="str">
            <v>7098638</v>
          </cell>
          <cell r="B1521" t="str">
            <v>752310</v>
          </cell>
          <cell r="C1521" t="str">
            <v>IM Cost Tr Exp Comp</v>
          </cell>
          <cell r="D1521" t="str">
            <v>758003972</v>
          </cell>
          <cell r="E1521" t="str">
            <v>006</v>
          </cell>
          <cell r="F1521" t="str">
            <v>BI Charge P6 / Teal Susan / US11</v>
          </cell>
          <cell r="G1521">
            <v>0</v>
          </cell>
          <cell r="H1521">
            <v>0</v>
          </cell>
          <cell r="I1521" t="str">
            <v>751310</v>
          </cell>
          <cell r="J1521" t="str">
            <v>IM Cost Tr Inc Comp</v>
          </cell>
          <cell r="K1521">
            <v>1957.5</v>
          </cell>
          <cell r="L1521">
            <v>38155</v>
          </cell>
        </row>
        <row r="1522">
          <cell r="A1522" t="str">
            <v>7098638</v>
          </cell>
          <cell r="B1522" t="str">
            <v>752720</v>
          </cell>
          <cell r="C1522" t="str">
            <v>BCS Cost Transf Exp</v>
          </cell>
          <cell r="D1522" t="str">
            <v>758004051</v>
          </cell>
          <cell r="E1522" t="str">
            <v>006</v>
          </cell>
          <cell r="F1522" t="str">
            <v>Service Charging, P06/2004</v>
          </cell>
          <cell r="G1522">
            <v>0</v>
          </cell>
          <cell r="H1522">
            <v>0</v>
          </cell>
          <cell r="I1522" t="str">
            <v>751720</v>
          </cell>
          <cell r="J1522" t="str">
            <v>BCS Cost Trans Inc</v>
          </cell>
          <cell r="K1522">
            <v>1597.04</v>
          </cell>
          <cell r="L1522">
            <v>38162</v>
          </cell>
        </row>
        <row r="1523">
          <cell r="A1523" t="str">
            <v>7098638</v>
          </cell>
          <cell r="B1523" t="str">
            <v>752730</v>
          </cell>
          <cell r="C1523" t="str">
            <v>Voice Cost Tran Exp</v>
          </cell>
          <cell r="D1523" t="str">
            <v>750001544</v>
          </cell>
          <cell r="E1523" t="str">
            <v>006</v>
          </cell>
          <cell r="F1523" t="str">
            <v>P6 T-Mobile Phone Accr #326663181</v>
          </cell>
          <cell r="G1523">
            <v>0</v>
          </cell>
          <cell r="H1523">
            <v>0</v>
          </cell>
          <cell r="I1523" t="str">
            <v>273900</v>
          </cell>
          <cell r="J1523" t="str">
            <v>Other Accr Expenses</v>
          </cell>
          <cell r="K1523">
            <v>3.33</v>
          </cell>
          <cell r="L1523">
            <v>38160</v>
          </cell>
        </row>
        <row r="1524">
          <cell r="A1524" t="str">
            <v>7098638</v>
          </cell>
          <cell r="B1524" t="str">
            <v>752730</v>
          </cell>
          <cell r="C1524" t="str">
            <v>Voice Cost Tran Exp</v>
          </cell>
          <cell r="D1524" t="str">
            <v>750001566</v>
          </cell>
          <cell r="E1524" t="str">
            <v>006</v>
          </cell>
          <cell r="F1524" t="str">
            <v>MAY04 MCI LONG DISTANCE ACCRUAL</v>
          </cell>
          <cell r="G1524">
            <v>0</v>
          </cell>
          <cell r="H1524">
            <v>0</v>
          </cell>
          <cell r="I1524" t="str">
            <v>751730</v>
          </cell>
          <cell r="J1524" t="str">
            <v>Voice Cost Tra Inc</v>
          </cell>
          <cell r="K1524">
            <v>32.17</v>
          </cell>
          <cell r="L1524">
            <v>38161</v>
          </cell>
        </row>
        <row r="1525">
          <cell r="A1525" t="str">
            <v>7098638</v>
          </cell>
          <cell r="B1525" t="str">
            <v>752730</v>
          </cell>
          <cell r="C1525" t="str">
            <v>Voice Cost Tran Exp</v>
          </cell>
          <cell r="D1525" t="str">
            <v>750001549</v>
          </cell>
          <cell r="E1525" t="str">
            <v>006</v>
          </cell>
          <cell r="F1525" t="str">
            <v>P5 AT&amp;T Mobile Accrual #8039 &amp; 8040</v>
          </cell>
          <cell r="G1525">
            <v>0</v>
          </cell>
          <cell r="H1525">
            <v>0</v>
          </cell>
          <cell r="I1525" t="str">
            <v>751730</v>
          </cell>
          <cell r="J1525" t="str">
            <v>Voice Cost Tra Inc</v>
          </cell>
          <cell r="K1525">
            <v>52.06</v>
          </cell>
          <cell r="L1525">
            <v>38160</v>
          </cell>
        </row>
        <row r="1526">
          <cell r="A1526" t="str">
            <v>7098638</v>
          </cell>
          <cell r="B1526" t="str">
            <v>752730</v>
          </cell>
          <cell r="C1526" t="str">
            <v>Voice Cost Tran Exp</v>
          </cell>
          <cell r="D1526" t="str">
            <v>360001058</v>
          </cell>
          <cell r="E1526" t="str">
            <v>006</v>
          </cell>
          <cell r="F1526" t="str">
            <v>INV#6/04PREFUNDTX CUSHMAN WAKEFIELD</v>
          </cell>
          <cell r="G1526">
            <v>0</v>
          </cell>
          <cell r="H1526" t="str">
            <v>ORD 1850020202</v>
          </cell>
          <cell r="I1526" t="str">
            <v>325209</v>
          </cell>
          <cell r="J1526" t="str">
            <v>CUSHMAN &amp; WAKEFIELD OF TEXAS, INC.</v>
          </cell>
          <cell r="K1526">
            <v>55</v>
          </cell>
          <cell r="L1526">
            <v>38146</v>
          </cell>
        </row>
        <row r="1527">
          <cell r="A1527" t="str">
            <v>7098638</v>
          </cell>
          <cell r="B1527" t="str">
            <v>752730</v>
          </cell>
          <cell r="C1527" t="str">
            <v>Voice Cost Tran Exp</v>
          </cell>
          <cell r="D1527" t="str">
            <v>750001543</v>
          </cell>
          <cell r="E1527" t="str">
            <v>006</v>
          </cell>
          <cell r="F1527" t="str">
            <v>P6 T-Mobile Phone Accr #307022197</v>
          </cell>
          <cell r="G1527">
            <v>0</v>
          </cell>
          <cell r="H1527">
            <v>0</v>
          </cell>
          <cell r="I1527" t="str">
            <v>273900</v>
          </cell>
          <cell r="J1527" t="str">
            <v>Other Accr Expenses</v>
          </cell>
          <cell r="K1527">
            <v>98.31</v>
          </cell>
          <cell r="L1527">
            <v>38160</v>
          </cell>
        </row>
        <row r="1528">
          <cell r="A1528" t="str">
            <v>7098638</v>
          </cell>
          <cell r="B1528" t="str">
            <v>752730</v>
          </cell>
          <cell r="C1528" t="str">
            <v>Voice Cost Tran Exp</v>
          </cell>
          <cell r="D1528" t="str">
            <v>751001668</v>
          </cell>
          <cell r="E1528" t="str">
            <v>006</v>
          </cell>
          <cell r="F1528" t="str">
            <v>Alliance</v>
          </cell>
          <cell r="G1528">
            <v>0</v>
          </cell>
          <cell r="H1528" t="str">
            <v>ORD 1850020202</v>
          </cell>
          <cell r="I1528" t="str">
            <v>273900</v>
          </cell>
          <cell r="J1528" t="str">
            <v>Other Accr Expenses</v>
          </cell>
          <cell r="K1528">
            <v>499</v>
          </cell>
          <cell r="L1528">
            <v>38138</v>
          </cell>
        </row>
        <row r="1529">
          <cell r="A1529" t="str">
            <v>7098638</v>
          </cell>
          <cell r="B1529" t="str">
            <v>752730</v>
          </cell>
          <cell r="C1529" t="str">
            <v>Voice Cost Tran Exp</v>
          </cell>
          <cell r="D1529" t="str">
            <v>360001064</v>
          </cell>
          <cell r="E1529" t="str">
            <v>006</v>
          </cell>
          <cell r="F1529" t="str">
            <v>Alliance</v>
          </cell>
          <cell r="G1529">
            <v>0</v>
          </cell>
          <cell r="H1529" t="str">
            <v>ORD 1850020202</v>
          </cell>
          <cell r="I1529" t="str">
            <v>325209</v>
          </cell>
          <cell r="J1529" t="str">
            <v>CUSHMAN &amp; WAKEFIELD OF TEXAS, INC.</v>
          </cell>
          <cell r="K1529">
            <v>-499</v>
          </cell>
          <cell r="L1529">
            <v>38147</v>
          </cell>
        </row>
        <row r="1530">
          <cell r="A1530" t="str">
            <v>7098638</v>
          </cell>
          <cell r="B1530" t="str">
            <v>785000</v>
          </cell>
          <cell r="C1530" t="str">
            <v>Depr Buildings</v>
          </cell>
          <cell r="D1530" t="str">
            <v>11502480</v>
          </cell>
          <cell r="E1530" t="str">
            <v>006</v>
          </cell>
          <cell r="F1530" t="str">
            <v>AFB01200400601-0011502480</v>
          </cell>
          <cell r="G1530">
            <v>0</v>
          </cell>
          <cell r="H1530" t="str">
            <v>ORD 1850020202</v>
          </cell>
          <cell r="I1530" t="str">
            <v>107110</v>
          </cell>
          <cell r="J1530" t="str">
            <v>Oth Intang Acc Depr</v>
          </cell>
          <cell r="K1530">
            <v>34.65</v>
          </cell>
          <cell r="L1530">
            <v>38163</v>
          </cell>
        </row>
        <row r="1531">
          <cell r="A1531" t="str">
            <v>7098638</v>
          </cell>
          <cell r="B1531" t="str">
            <v>786900</v>
          </cell>
          <cell r="C1531" t="str">
            <v>Depr Oth Mach, Equip</v>
          </cell>
          <cell r="D1531" t="str">
            <v>11502485</v>
          </cell>
          <cell r="E1531" t="str">
            <v>006</v>
          </cell>
          <cell r="F1531" t="str">
            <v>AFB01200400601-0011502485</v>
          </cell>
          <cell r="G1531">
            <v>0</v>
          </cell>
          <cell r="H1531" t="str">
            <v>ORD 1850020202</v>
          </cell>
          <cell r="I1531" t="str">
            <v>170710</v>
          </cell>
          <cell r="J1531" t="str">
            <v>Deferred Exps Moulds</v>
          </cell>
          <cell r="K1531">
            <v>114.36</v>
          </cell>
          <cell r="L1531">
            <v>38163</v>
          </cell>
        </row>
        <row r="1532">
          <cell r="A1532" t="str">
            <v>7098638 Total</v>
          </cell>
          <cell r="K1532">
            <v>-60883.559999999983</v>
          </cell>
        </row>
        <row r="1533">
          <cell r="A1533" t="str">
            <v>7098639</v>
          </cell>
          <cell r="B1533" t="str">
            <v>620110</v>
          </cell>
          <cell r="C1533" t="str">
            <v>Canteen Expenses</v>
          </cell>
          <cell r="D1533" t="str">
            <v>751001670</v>
          </cell>
          <cell r="E1533" t="str">
            <v>006</v>
          </cell>
          <cell r="F1533" t="str">
            <v>Sodexho Marriott Services</v>
          </cell>
          <cell r="G1533">
            <v>0</v>
          </cell>
          <cell r="H1533" t="str">
            <v>ORD 1850030203</v>
          </cell>
          <cell r="I1533" t="str">
            <v>273900</v>
          </cell>
          <cell r="J1533" t="str">
            <v>Other Accr Expenses</v>
          </cell>
          <cell r="K1533">
            <v>-95000</v>
          </cell>
          <cell r="L1533">
            <v>38138</v>
          </cell>
        </row>
        <row r="1534">
          <cell r="A1534" t="str">
            <v>7098639</v>
          </cell>
          <cell r="B1534" t="str">
            <v>620210</v>
          </cell>
          <cell r="C1534" t="str">
            <v>Free-time Activitie</v>
          </cell>
          <cell r="D1534" t="str">
            <v>160443</v>
          </cell>
          <cell r="E1534" t="str">
            <v>006</v>
          </cell>
          <cell r="F1534">
            <v>0</v>
          </cell>
          <cell r="G1534" t="str">
            <v>4500002301</v>
          </cell>
          <cell r="H1534" t="str">
            <v>ORD 1850030203</v>
          </cell>
          <cell r="I1534" t="str">
            <v>407286</v>
          </cell>
          <cell r="J1534" t="str">
            <v>PRUDENTIAL OVERALL SUPPLY</v>
          </cell>
          <cell r="K1534">
            <v>1.39</v>
          </cell>
          <cell r="L1534">
            <v>38147</v>
          </cell>
        </row>
        <row r="1535">
          <cell r="A1535" t="str">
            <v>7098639</v>
          </cell>
          <cell r="B1535" t="str">
            <v>620210</v>
          </cell>
          <cell r="C1535" t="str">
            <v>Free-time Activitie</v>
          </cell>
          <cell r="D1535" t="str">
            <v>160443</v>
          </cell>
          <cell r="E1535" t="str">
            <v>006</v>
          </cell>
          <cell r="F1535">
            <v>0</v>
          </cell>
          <cell r="G1535" t="str">
            <v>4500002301</v>
          </cell>
          <cell r="H1535" t="str">
            <v>ORD 1850030205</v>
          </cell>
          <cell r="I1535" t="str">
            <v>407286</v>
          </cell>
          <cell r="J1535" t="str">
            <v>PRUDENTIAL OVERALL SUPPLY</v>
          </cell>
          <cell r="K1535">
            <v>2</v>
          </cell>
          <cell r="L1535">
            <v>38147</v>
          </cell>
        </row>
        <row r="1536">
          <cell r="A1536" t="str">
            <v>7098639</v>
          </cell>
          <cell r="B1536" t="str">
            <v>620210</v>
          </cell>
          <cell r="C1536" t="str">
            <v>Free-time Activitie</v>
          </cell>
          <cell r="D1536" t="str">
            <v>160311</v>
          </cell>
          <cell r="E1536" t="str">
            <v>006</v>
          </cell>
          <cell r="F1536">
            <v>0</v>
          </cell>
          <cell r="G1536" t="str">
            <v>4500002301</v>
          </cell>
          <cell r="H1536" t="str">
            <v>ORD 1850030205</v>
          </cell>
          <cell r="I1536" t="str">
            <v>407286</v>
          </cell>
          <cell r="J1536" t="str">
            <v>PRUDENTIAL OVERALL SUPPLY</v>
          </cell>
          <cell r="K1536">
            <v>5</v>
          </cell>
          <cell r="L1536">
            <v>38145</v>
          </cell>
        </row>
        <row r="1537">
          <cell r="A1537" t="str">
            <v>7098639</v>
          </cell>
          <cell r="B1537" t="str">
            <v>620210</v>
          </cell>
          <cell r="C1537" t="str">
            <v>Free-time Activitie</v>
          </cell>
          <cell r="D1537" t="str">
            <v>160445</v>
          </cell>
          <cell r="E1537" t="str">
            <v>006</v>
          </cell>
          <cell r="F1537">
            <v>0</v>
          </cell>
          <cell r="G1537" t="str">
            <v>4500002301</v>
          </cell>
          <cell r="H1537" t="str">
            <v>ORD 1850030205</v>
          </cell>
          <cell r="I1537" t="str">
            <v>407286</v>
          </cell>
          <cell r="J1537" t="str">
            <v>PRUDENTIAL OVERALL SUPPLY</v>
          </cell>
          <cell r="K1537">
            <v>5</v>
          </cell>
          <cell r="L1537">
            <v>38145</v>
          </cell>
        </row>
        <row r="1538">
          <cell r="A1538" t="str">
            <v>7098639</v>
          </cell>
          <cell r="B1538" t="str">
            <v>620210</v>
          </cell>
          <cell r="C1538" t="str">
            <v>Free-time Activitie</v>
          </cell>
          <cell r="D1538" t="str">
            <v>160444</v>
          </cell>
          <cell r="E1538" t="str">
            <v>006</v>
          </cell>
          <cell r="F1538">
            <v>0</v>
          </cell>
          <cell r="G1538" t="str">
            <v>4500002301</v>
          </cell>
          <cell r="H1538" t="str">
            <v>ORD 1850030205</v>
          </cell>
          <cell r="I1538" t="str">
            <v>407286</v>
          </cell>
          <cell r="J1538" t="str">
            <v>PRUDENTIAL OVERALL SUPPLY</v>
          </cell>
          <cell r="K1538">
            <v>5</v>
          </cell>
          <cell r="L1538">
            <v>38145</v>
          </cell>
        </row>
        <row r="1539">
          <cell r="A1539" t="str">
            <v>7098639</v>
          </cell>
          <cell r="B1539" t="str">
            <v>620210</v>
          </cell>
          <cell r="C1539" t="str">
            <v>Free-time Activitie</v>
          </cell>
          <cell r="D1539" t="str">
            <v>202323</v>
          </cell>
          <cell r="E1539" t="str">
            <v>006</v>
          </cell>
          <cell r="F1539">
            <v>0</v>
          </cell>
          <cell r="G1539" t="str">
            <v>4500002301</v>
          </cell>
          <cell r="H1539" t="str">
            <v>ORD 1850030205</v>
          </cell>
          <cell r="I1539" t="str">
            <v>407286</v>
          </cell>
          <cell r="J1539" t="str">
            <v>PRUDENTIAL OVERALL SUPPLY</v>
          </cell>
          <cell r="K1539">
            <v>5</v>
          </cell>
          <cell r="L1539">
            <v>38147</v>
          </cell>
        </row>
        <row r="1540">
          <cell r="A1540" t="str">
            <v>7098639</v>
          </cell>
          <cell r="B1540" t="str">
            <v>620210</v>
          </cell>
          <cell r="C1540" t="str">
            <v>Free-time Activitie</v>
          </cell>
          <cell r="D1540" t="str">
            <v>202147</v>
          </cell>
          <cell r="E1540" t="str">
            <v>006</v>
          </cell>
          <cell r="F1540">
            <v>0</v>
          </cell>
          <cell r="G1540" t="str">
            <v>4500002301</v>
          </cell>
          <cell r="H1540" t="str">
            <v>ORD 1850030205</v>
          </cell>
          <cell r="I1540" t="str">
            <v>407286</v>
          </cell>
          <cell r="J1540" t="str">
            <v>PRUDENTIAL OVERALL SUPPLY</v>
          </cell>
          <cell r="K1540">
            <v>5</v>
          </cell>
          <cell r="L1540">
            <v>38146</v>
          </cell>
        </row>
        <row r="1541">
          <cell r="A1541" t="str">
            <v>7098639</v>
          </cell>
          <cell r="B1541" t="str">
            <v>620210</v>
          </cell>
          <cell r="C1541" t="str">
            <v>Free-time Activitie</v>
          </cell>
          <cell r="D1541" t="str">
            <v>202327</v>
          </cell>
          <cell r="E1541" t="str">
            <v>006</v>
          </cell>
          <cell r="F1541">
            <v>0</v>
          </cell>
          <cell r="G1541" t="str">
            <v>4500002301</v>
          </cell>
          <cell r="H1541" t="str">
            <v>ORD 1850030205</v>
          </cell>
          <cell r="I1541" t="str">
            <v>407286</v>
          </cell>
          <cell r="J1541" t="str">
            <v>PRUDENTIAL OVERALL SUPPLY</v>
          </cell>
          <cell r="K1541">
            <v>5</v>
          </cell>
          <cell r="L1541">
            <v>38147</v>
          </cell>
        </row>
        <row r="1542">
          <cell r="A1542" t="str">
            <v>7098639</v>
          </cell>
          <cell r="B1542" t="str">
            <v>620210</v>
          </cell>
          <cell r="C1542" t="str">
            <v>Free-time Activitie</v>
          </cell>
          <cell r="D1542" t="str">
            <v>202222</v>
          </cell>
          <cell r="E1542" t="str">
            <v>006</v>
          </cell>
          <cell r="F1542">
            <v>0</v>
          </cell>
          <cell r="G1542" t="str">
            <v>4500002301</v>
          </cell>
          <cell r="H1542" t="str">
            <v>ORD 1850030205</v>
          </cell>
          <cell r="I1542" t="str">
            <v>407286</v>
          </cell>
          <cell r="J1542" t="str">
            <v>PRUDENTIAL OVERALL SUPPLY</v>
          </cell>
          <cell r="K1542">
            <v>5</v>
          </cell>
          <cell r="L1542">
            <v>38146</v>
          </cell>
        </row>
        <row r="1543">
          <cell r="A1543" t="str">
            <v>7098639</v>
          </cell>
          <cell r="B1543" t="str">
            <v>620210</v>
          </cell>
          <cell r="C1543" t="str">
            <v>Free-time Activitie</v>
          </cell>
          <cell r="D1543" t="str">
            <v>204307</v>
          </cell>
          <cell r="E1543" t="str">
            <v>006</v>
          </cell>
          <cell r="F1543">
            <v>0</v>
          </cell>
          <cell r="G1543" t="str">
            <v>4500002301</v>
          </cell>
          <cell r="H1543" t="str">
            <v>ORD 1850030205</v>
          </cell>
          <cell r="I1543" t="str">
            <v>407286</v>
          </cell>
          <cell r="J1543" t="str">
            <v>PRUDENTIAL OVERALL SUPPLY</v>
          </cell>
          <cell r="K1543">
            <v>5</v>
          </cell>
          <cell r="L1543">
            <v>38146</v>
          </cell>
        </row>
        <row r="1544">
          <cell r="A1544" t="str">
            <v>7098639</v>
          </cell>
          <cell r="B1544" t="str">
            <v>620210</v>
          </cell>
          <cell r="C1544" t="str">
            <v>Free-time Activitie</v>
          </cell>
          <cell r="D1544" t="str">
            <v>204422</v>
          </cell>
          <cell r="E1544" t="str">
            <v>006</v>
          </cell>
          <cell r="F1544">
            <v>0</v>
          </cell>
          <cell r="G1544" t="str">
            <v>4500002301</v>
          </cell>
          <cell r="H1544" t="str">
            <v>ORD 1850030205</v>
          </cell>
          <cell r="I1544" t="str">
            <v>407286</v>
          </cell>
          <cell r="J1544" t="str">
            <v>PRUDENTIAL OVERALL SUPPLY</v>
          </cell>
          <cell r="K1544">
            <v>5</v>
          </cell>
          <cell r="L1544">
            <v>38148</v>
          </cell>
        </row>
        <row r="1545">
          <cell r="A1545" t="str">
            <v>7098639</v>
          </cell>
          <cell r="B1545" t="str">
            <v>620210</v>
          </cell>
          <cell r="C1545" t="str">
            <v>Free-time Activitie</v>
          </cell>
          <cell r="D1545" t="str">
            <v>160349</v>
          </cell>
          <cell r="E1545" t="str">
            <v>006</v>
          </cell>
          <cell r="F1545">
            <v>0</v>
          </cell>
          <cell r="G1545" t="str">
            <v>4500002301</v>
          </cell>
          <cell r="H1545" t="str">
            <v>ORD 1850030205</v>
          </cell>
          <cell r="I1545" t="str">
            <v>407286</v>
          </cell>
          <cell r="J1545" t="str">
            <v>PRUDENTIAL OVERALL SUPPLY</v>
          </cell>
          <cell r="K1545">
            <v>5</v>
          </cell>
          <cell r="L1545">
            <v>38147</v>
          </cell>
        </row>
        <row r="1546">
          <cell r="A1546" t="str">
            <v>7098639</v>
          </cell>
          <cell r="B1546" t="str">
            <v>620210</v>
          </cell>
          <cell r="C1546" t="str">
            <v>Free-time Activitie</v>
          </cell>
          <cell r="D1546" t="str">
            <v>202419</v>
          </cell>
          <cell r="E1546" t="str">
            <v>006</v>
          </cell>
          <cell r="F1546">
            <v>0</v>
          </cell>
          <cell r="G1546" t="str">
            <v>4500002301</v>
          </cell>
          <cell r="H1546" t="str">
            <v>ORD 1850030205</v>
          </cell>
          <cell r="I1546" t="str">
            <v>407286</v>
          </cell>
          <cell r="J1546" t="str">
            <v>PRUDENTIAL OVERALL SUPPLY</v>
          </cell>
          <cell r="K1546">
            <v>5</v>
          </cell>
          <cell r="L1546">
            <v>38146</v>
          </cell>
        </row>
        <row r="1547">
          <cell r="A1547" t="str">
            <v>7098639</v>
          </cell>
          <cell r="B1547" t="str">
            <v>620210</v>
          </cell>
          <cell r="C1547" t="str">
            <v>Free-time Activitie</v>
          </cell>
          <cell r="D1547" t="str">
            <v>160344</v>
          </cell>
          <cell r="E1547" t="str">
            <v>006</v>
          </cell>
          <cell r="F1547">
            <v>0</v>
          </cell>
          <cell r="G1547" t="str">
            <v>4500002301</v>
          </cell>
          <cell r="H1547" t="str">
            <v>ORD 1850030205</v>
          </cell>
          <cell r="I1547" t="str">
            <v>407286</v>
          </cell>
          <cell r="J1547" t="str">
            <v>PRUDENTIAL OVERALL SUPPLY</v>
          </cell>
          <cell r="K1547">
            <v>5</v>
          </cell>
          <cell r="L1547">
            <v>38147</v>
          </cell>
        </row>
        <row r="1548">
          <cell r="A1548" t="str">
            <v>7098639</v>
          </cell>
          <cell r="B1548" t="str">
            <v>620210</v>
          </cell>
          <cell r="C1548" t="str">
            <v>Free-time Activitie</v>
          </cell>
          <cell r="D1548" t="str">
            <v>202415</v>
          </cell>
          <cell r="E1548" t="str">
            <v>006</v>
          </cell>
          <cell r="F1548">
            <v>0</v>
          </cell>
          <cell r="G1548" t="str">
            <v>4500002301</v>
          </cell>
          <cell r="H1548" t="str">
            <v>ORD 1850030205</v>
          </cell>
          <cell r="I1548" t="str">
            <v>407286</v>
          </cell>
          <cell r="J1548" t="str">
            <v>PRUDENTIAL OVERALL SUPPLY</v>
          </cell>
          <cell r="K1548">
            <v>5</v>
          </cell>
          <cell r="L1548">
            <v>38146</v>
          </cell>
        </row>
        <row r="1549">
          <cell r="A1549" t="str">
            <v>7098639</v>
          </cell>
          <cell r="B1549" t="str">
            <v>620210</v>
          </cell>
          <cell r="C1549" t="str">
            <v>Free-time Activitie</v>
          </cell>
          <cell r="D1549" t="str">
            <v>226913</v>
          </cell>
          <cell r="E1549" t="str">
            <v>006</v>
          </cell>
          <cell r="F1549">
            <v>0</v>
          </cell>
          <cell r="G1549" t="str">
            <v>4500002301</v>
          </cell>
          <cell r="H1549" t="str">
            <v>ORD 1850030205</v>
          </cell>
          <cell r="I1549" t="str">
            <v>407286</v>
          </cell>
          <cell r="J1549" t="str">
            <v>PRUDENTIAL OVERALL SUPPLY</v>
          </cell>
          <cell r="K1549">
            <v>5</v>
          </cell>
          <cell r="L1549">
            <v>38160</v>
          </cell>
        </row>
        <row r="1550">
          <cell r="A1550" t="str">
            <v>7098639</v>
          </cell>
          <cell r="B1550" t="str">
            <v>620210</v>
          </cell>
          <cell r="C1550" t="str">
            <v>Free-time Activitie</v>
          </cell>
          <cell r="D1550" t="str">
            <v>226918</v>
          </cell>
          <cell r="E1550" t="str">
            <v>006</v>
          </cell>
          <cell r="F1550">
            <v>0</v>
          </cell>
          <cell r="G1550" t="str">
            <v>4500002301</v>
          </cell>
          <cell r="H1550" t="str">
            <v>ORD 1850030203</v>
          </cell>
          <cell r="I1550" t="str">
            <v>407286</v>
          </cell>
          <cell r="J1550" t="str">
            <v>PRUDENTIAL OVERALL SUPPLY</v>
          </cell>
          <cell r="K1550">
            <v>5</v>
          </cell>
          <cell r="L1550">
            <v>38160</v>
          </cell>
        </row>
        <row r="1551">
          <cell r="A1551" t="str">
            <v>7098639</v>
          </cell>
          <cell r="B1551" t="str">
            <v>620210</v>
          </cell>
          <cell r="C1551" t="str">
            <v>Free-time Activitie</v>
          </cell>
          <cell r="D1551" t="str">
            <v>160311</v>
          </cell>
          <cell r="E1551" t="str">
            <v>006</v>
          </cell>
          <cell r="F1551">
            <v>0</v>
          </cell>
          <cell r="G1551" t="str">
            <v>4500002301</v>
          </cell>
          <cell r="H1551" t="str">
            <v>ORD 1850030205</v>
          </cell>
          <cell r="I1551" t="str">
            <v>407286</v>
          </cell>
          <cell r="J1551" t="str">
            <v>PRUDENTIAL OVERALL SUPPLY</v>
          </cell>
          <cell r="K1551">
            <v>6.03</v>
          </cell>
          <cell r="L1551">
            <v>38145</v>
          </cell>
        </row>
        <row r="1552">
          <cell r="A1552" t="str">
            <v>7098639</v>
          </cell>
          <cell r="B1552" t="str">
            <v>620210</v>
          </cell>
          <cell r="C1552" t="str">
            <v>Free-time Activitie</v>
          </cell>
          <cell r="D1552" t="str">
            <v>160445</v>
          </cell>
          <cell r="E1552" t="str">
            <v>006</v>
          </cell>
          <cell r="F1552">
            <v>0</v>
          </cell>
          <cell r="G1552" t="str">
            <v>4500002301</v>
          </cell>
          <cell r="H1552" t="str">
            <v>ORD 1850030205</v>
          </cell>
          <cell r="I1552" t="str">
            <v>407286</v>
          </cell>
          <cell r="J1552" t="str">
            <v>PRUDENTIAL OVERALL SUPPLY</v>
          </cell>
          <cell r="K1552">
            <v>6.03</v>
          </cell>
          <cell r="L1552">
            <v>38145</v>
          </cell>
        </row>
        <row r="1553">
          <cell r="A1553" t="str">
            <v>7098639</v>
          </cell>
          <cell r="B1553" t="str">
            <v>620210</v>
          </cell>
          <cell r="C1553" t="str">
            <v>Free-time Activitie</v>
          </cell>
          <cell r="D1553" t="str">
            <v>160444</v>
          </cell>
          <cell r="E1553" t="str">
            <v>006</v>
          </cell>
          <cell r="F1553">
            <v>0</v>
          </cell>
          <cell r="G1553" t="str">
            <v>4500002301</v>
          </cell>
          <cell r="H1553" t="str">
            <v>ORD 1850030205</v>
          </cell>
          <cell r="I1553" t="str">
            <v>407286</v>
          </cell>
          <cell r="J1553" t="str">
            <v>PRUDENTIAL OVERALL SUPPLY</v>
          </cell>
          <cell r="K1553">
            <v>6.03</v>
          </cell>
          <cell r="L1553">
            <v>38145</v>
          </cell>
        </row>
        <row r="1554">
          <cell r="A1554" t="str">
            <v>7098639</v>
          </cell>
          <cell r="B1554" t="str">
            <v>620210</v>
          </cell>
          <cell r="C1554" t="str">
            <v>Free-time Activitie</v>
          </cell>
          <cell r="D1554" t="str">
            <v>202327</v>
          </cell>
          <cell r="E1554" t="str">
            <v>006</v>
          </cell>
          <cell r="F1554">
            <v>0</v>
          </cell>
          <cell r="G1554" t="str">
            <v>4500002301</v>
          </cell>
          <cell r="H1554" t="str">
            <v>ORD 1850030205</v>
          </cell>
          <cell r="I1554" t="str">
            <v>407286</v>
          </cell>
          <cell r="J1554" t="str">
            <v>PRUDENTIAL OVERALL SUPPLY</v>
          </cell>
          <cell r="K1554">
            <v>6.03</v>
          </cell>
          <cell r="L1554">
            <v>38147</v>
          </cell>
        </row>
        <row r="1555">
          <cell r="A1555" t="str">
            <v>7098639</v>
          </cell>
          <cell r="B1555" t="str">
            <v>620210</v>
          </cell>
          <cell r="C1555" t="str">
            <v>Free-time Activitie</v>
          </cell>
          <cell r="D1555" t="str">
            <v>202222</v>
          </cell>
          <cell r="E1555" t="str">
            <v>006</v>
          </cell>
          <cell r="F1555">
            <v>0</v>
          </cell>
          <cell r="G1555" t="str">
            <v>4500002301</v>
          </cell>
          <cell r="H1555" t="str">
            <v>ORD 1850030205</v>
          </cell>
          <cell r="I1555" t="str">
            <v>407286</v>
          </cell>
          <cell r="J1555" t="str">
            <v>PRUDENTIAL OVERALL SUPPLY</v>
          </cell>
          <cell r="K1555">
            <v>6.03</v>
          </cell>
          <cell r="L1555">
            <v>38146</v>
          </cell>
        </row>
        <row r="1556">
          <cell r="A1556" t="str">
            <v>7098639</v>
          </cell>
          <cell r="B1556" t="str">
            <v>620210</v>
          </cell>
          <cell r="C1556" t="str">
            <v>Free-time Activitie</v>
          </cell>
          <cell r="D1556" t="str">
            <v>204422</v>
          </cell>
          <cell r="E1556" t="str">
            <v>006</v>
          </cell>
          <cell r="F1556">
            <v>0</v>
          </cell>
          <cell r="G1556" t="str">
            <v>4500002301</v>
          </cell>
          <cell r="H1556" t="str">
            <v>ORD 1850030205</v>
          </cell>
          <cell r="I1556" t="str">
            <v>407286</v>
          </cell>
          <cell r="J1556" t="str">
            <v>PRUDENTIAL OVERALL SUPPLY</v>
          </cell>
          <cell r="K1556">
            <v>6.03</v>
          </cell>
          <cell r="L1556">
            <v>38148</v>
          </cell>
        </row>
        <row r="1557">
          <cell r="A1557" t="str">
            <v>7098639</v>
          </cell>
          <cell r="B1557" t="str">
            <v>620210</v>
          </cell>
          <cell r="C1557" t="str">
            <v>Free-time Activitie</v>
          </cell>
          <cell r="D1557" t="str">
            <v>202415</v>
          </cell>
          <cell r="E1557" t="str">
            <v>006</v>
          </cell>
          <cell r="F1557">
            <v>0</v>
          </cell>
          <cell r="G1557" t="str">
            <v>4500002301</v>
          </cell>
          <cell r="H1557" t="str">
            <v>ORD 1850030205</v>
          </cell>
          <cell r="I1557" t="str">
            <v>407286</v>
          </cell>
          <cell r="J1557" t="str">
            <v>PRUDENTIAL OVERALL SUPPLY</v>
          </cell>
          <cell r="K1557">
            <v>6.03</v>
          </cell>
          <cell r="L1557">
            <v>38146</v>
          </cell>
        </row>
        <row r="1558">
          <cell r="A1558" t="str">
            <v>7098639</v>
          </cell>
          <cell r="B1558" t="str">
            <v>620210</v>
          </cell>
          <cell r="C1558" t="str">
            <v>Free-time Activitie</v>
          </cell>
          <cell r="D1558" t="str">
            <v>226913</v>
          </cell>
          <cell r="E1558" t="str">
            <v>006</v>
          </cell>
          <cell r="F1558">
            <v>0</v>
          </cell>
          <cell r="G1558" t="str">
            <v>4500002301</v>
          </cell>
          <cell r="H1558" t="str">
            <v>ORD 1850030203</v>
          </cell>
          <cell r="I1558" t="str">
            <v>407286</v>
          </cell>
          <cell r="J1558" t="str">
            <v>PRUDENTIAL OVERALL SUPPLY</v>
          </cell>
          <cell r="K1558">
            <v>6.03</v>
          </cell>
          <cell r="L1558">
            <v>38160</v>
          </cell>
        </row>
        <row r="1559">
          <cell r="A1559" t="str">
            <v>7098639</v>
          </cell>
          <cell r="B1559" t="str">
            <v>620210</v>
          </cell>
          <cell r="C1559" t="str">
            <v>Free-time Activitie</v>
          </cell>
          <cell r="D1559" t="str">
            <v>202323</v>
          </cell>
          <cell r="E1559" t="str">
            <v>006</v>
          </cell>
          <cell r="F1559">
            <v>0</v>
          </cell>
          <cell r="G1559" t="str">
            <v>4500002301</v>
          </cell>
          <cell r="H1559" t="str">
            <v>ORD 1850030203</v>
          </cell>
          <cell r="I1559" t="str">
            <v>407286</v>
          </cell>
          <cell r="J1559" t="str">
            <v>PRUDENTIAL OVERALL SUPPLY</v>
          </cell>
          <cell r="K1559">
            <v>7.79</v>
          </cell>
          <cell r="L1559">
            <v>38147</v>
          </cell>
        </row>
        <row r="1560">
          <cell r="A1560" t="str">
            <v>7098639</v>
          </cell>
          <cell r="B1560" t="str">
            <v>620210</v>
          </cell>
          <cell r="C1560" t="str">
            <v>Free-time Activitie</v>
          </cell>
          <cell r="D1560" t="str">
            <v>202147</v>
          </cell>
          <cell r="E1560" t="str">
            <v>006</v>
          </cell>
          <cell r="F1560">
            <v>0</v>
          </cell>
          <cell r="G1560" t="str">
            <v>4500002301</v>
          </cell>
          <cell r="H1560" t="str">
            <v>ORD 1850030203</v>
          </cell>
          <cell r="I1560" t="str">
            <v>407286</v>
          </cell>
          <cell r="J1560" t="str">
            <v>PRUDENTIAL OVERALL SUPPLY</v>
          </cell>
          <cell r="K1560">
            <v>7.79</v>
          </cell>
          <cell r="L1560">
            <v>38146</v>
          </cell>
        </row>
        <row r="1561">
          <cell r="A1561" t="str">
            <v>7098639</v>
          </cell>
          <cell r="B1561" t="str">
            <v>620210</v>
          </cell>
          <cell r="C1561" t="str">
            <v>Free-time Activitie</v>
          </cell>
          <cell r="D1561" t="str">
            <v>204307</v>
          </cell>
          <cell r="E1561" t="str">
            <v>006</v>
          </cell>
          <cell r="F1561">
            <v>0</v>
          </cell>
          <cell r="G1561" t="str">
            <v>4500002301</v>
          </cell>
          <cell r="H1561" t="str">
            <v>ORD 1850030203</v>
          </cell>
          <cell r="I1561" t="str">
            <v>407286</v>
          </cell>
          <cell r="J1561" t="str">
            <v>PRUDENTIAL OVERALL SUPPLY</v>
          </cell>
          <cell r="K1561">
            <v>7.79</v>
          </cell>
          <cell r="L1561">
            <v>38146</v>
          </cell>
        </row>
        <row r="1562">
          <cell r="A1562" t="str">
            <v>7098639</v>
          </cell>
          <cell r="B1562" t="str">
            <v>620210</v>
          </cell>
          <cell r="C1562" t="str">
            <v>Free-time Activitie</v>
          </cell>
          <cell r="D1562" t="str">
            <v>160349</v>
          </cell>
          <cell r="E1562" t="str">
            <v>006</v>
          </cell>
          <cell r="F1562">
            <v>0</v>
          </cell>
          <cell r="G1562" t="str">
            <v>4500002301</v>
          </cell>
          <cell r="H1562" t="str">
            <v>ORD 1850030203</v>
          </cell>
          <cell r="I1562" t="str">
            <v>407286</v>
          </cell>
          <cell r="J1562" t="str">
            <v>PRUDENTIAL OVERALL SUPPLY</v>
          </cell>
          <cell r="K1562">
            <v>7.79</v>
          </cell>
          <cell r="L1562">
            <v>38147</v>
          </cell>
        </row>
        <row r="1563">
          <cell r="A1563" t="str">
            <v>7098639</v>
          </cell>
          <cell r="B1563" t="str">
            <v>620210</v>
          </cell>
          <cell r="C1563" t="str">
            <v>Free-time Activitie</v>
          </cell>
          <cell r="D1563" t="str">
            <v>202419</v>
          </cell>
          <cell r="E1563" t="str">
            <v>006</v>
          </cell>
          <cell r="F1563">
            <v>0</v>
          </cell>
          <cell r="G1563" t="str">
            <v>4500002301</v>
          </cell>
          <cell r="H1563" t="str">
            <v>ORD 1850030203</v>
          </cell>
          <cell r="I1563" t="str">
            <v>407286</v>
          </cell>
          <cell r="J1563" t="str">
            <v>PRUDENTIAL OVERALL SUPPLY</v>
          </cell>
          <cell r="K1563">
            <v>7.79</v>
          </cell>
          <cell r="L1563">
            <v>38146</v>
          </cell>
        </row>
        <row r="1564">
          <cell r="A1564" t="str">
            <v>7098639</v>
          </cell>
          <cell r="B1564" t="str">
            <v>620210</v>
          </cell>
          <cell r="C1564" t="str">
            <v>Free-time Activitie</v>
          </cell>
          <cell r="D1564" t="str">
            <v>160344</v>
          </cell>
          <cell r="E1564" t="str">
            <v>006</v>
          </cell>
          <cell r="F1564">
            <v>0</v>
          </cell>
          <cell r="G1564" t="str">
            <v>4500002301</v>
          </cell>
          <cell r="H1564" t="str">
            <v>ORD 1850030203</v>
          </cell>
          <cell r="I1564" t="str">
            <v>407286</v>
          </cell>
          <cell r="J1564" t="str">
            <v>PRUDENTIAL OVERALL SUPPLY</v>
          </cell>
          <cell r="K1564">
            <v>7.79</v>
          </cell>
          <cell r="L1564">
            <v>38147</v>
          </cell>
        </row>
        <row r="1565">
          <cell r="A1565" t="str">
            <v>7098639</v>
          </cell>
          <cell r="B1565" t="str">
            <v>620210</v>
          </cell>
          <cell r="C1565" t="str">
            <v>Free-time Activitie</v>
          </cell>
          <cell r="D1565" t="str">
            <v>160341</v>
          </cell>
          <cell r="E1565" t="str">
            <v>006</v>
          </cell>
          <cell r="F1565">
            <v>0</v>
          </cell>
          <cell r="G1565" t="str">
            <v>4500002301</v>
          </cell>
          <cell r="H1565" t="str">
            <v>ORD 1850030203</v>
          </cell>
          <cell r="I1565" t="str">
            <v>407286</v>
          </cell>
          <cell r="J1565" t="str">
            <v>PRUDENTIAL OVERALL SUPPLY</v>
          </cell>
          <cell r="K1565">
            <v>12.39</v>
          </cell>
          <cell r="L1565">
            <v>38145</v>
          </cell>
        </row>
        <row r="1566">
          <cell r="A1566" t="str">
            <v>7098639</v>
          </cell>
          <cell r="B1566" t="str">
            <v>620210</v>
          </cell>
          <cell r="C1566" t="str">
            <v>Free-time Activitie</v>
          </cell>
          <cell r="D1566" t="str">
            <v>160314</v>
          </cell>
          <cell r="E1566" t="str">
            <v>006</v>
          </cell>
          <cell r="F1566">
            <v>0</v>
          </cell>
          <cell r="G1566" t="str">
            <v>4500002301</v>
          </cell>
          <cell r="H1566" t="str">
            <v>ORD 1850030203</v>
          </cell>
          <cell r="I1566" t="str">
            <v>407286</v>
          </cell>
          <cell r="J1566" t="str">
            <v>PRUDENTIAL OVERALL SUPPLY</v>
          </cell>
          <cell r="K1566">
            <v>12.39</v>
          </cell>
          <cell r="L1566">
            <v>38145</v>
          </cell>
        </row>
        <row r="1567">
          <cell r="A1567" t="str">
            <v>7098639</v>
          </cell>
          <cell r="B1567" t="str">
            <v>620210</v>
          </cell>
          <cell r="C1567" t="str">
            <v>Free-time Activitie</v>
          </cell>
          <cell r="D1567" t="str">
            <v>160441</v>
          </cell>
          <cell r="E1567" t="str">
            <v>006</v>
          </cell>
          <cell r="F1567">
            <v>0</v>
          </cell>
          <cell r="G1567" t="str">
            <v>4500002301</v>
          </cell>
          <cell r="H1567" t="str">
            <v>ORD 1850030203</v>
          </cell>
          <cell r="I1567" t="str">
            <v>407286</v>
          </cell>
          <cell r="J1567" t="str">
            <v>PRUDENTIAL OVERALL SUPPLY</v>
          </cell>
          <cell r="K1567">
            <v>12.39</v>
          </cell>
          <cell r="L1567">
            <v>38145</v>
          </cell>
        </row>
        <row r="1568">
          <cell r="A1568" t="str">
            <v>7098639</v>
          </cell>
          <cell r="B1568" t="str">
            <v>620210</v>
          </cell>
          <cell r="C1568" t="str">
            <v>Free-time Activitie</v>
          </cell>
          <cell r="D1568" t="str">
            <v>202417</v>
          </cell>
          <cell r="E1568" t="str">
            <v>006</v>
          </cell>
          <cell r="F1568">
            <v>0</v>
          </cell>
          <cell r="G1568" t="str">
            <v>4500002301</v>
          </cell>
          <cell r="H1568" t="str">
            <v>ORD 1850030203</v>
          </cell>
          <cell r="I1568" t="str">
            <v>407286</v>
          </cell>
          <cell r="J1568" t="str">
            <v>PRUDENTIAL OVERALL SUPPLY</v>
          </cell>
          <cell r="K1568">
            <v>12.39</v>
          </cell>
          <cell r="L1568">
            <v>38146</v>
          </cell>
        </row>
        <row r="1569">
          <cell r="A1569" t="str">
            <v>7098639</v>
          </cell>
          <cell r="B1569" t="str">
            <v>620210</v>
          </cell>
          <cell r="C1569" t="str">
            <v>Free-time Activitie</v>
          </cell>
          <cell r="D1569" t="str">
            <v>160463</v>
          </cell>
          <cell r="E1569" t="str">
            <v>006</v>
          </cell>
          <cell r="F1569">
            <v>0</v>
          </cell>
          <cell r="G1569" t="str">
            <v>4500002301</v>
          </cell>
          <cell r="H1569" t="str">
            <v>ORD 1850030203</v>
          </cell>
          <cell r="I1569" t="str">
            <v>407286</v>
          </cell>
          <cell r="J1569" t="str">
            <v>PRUDENTIAL OVERALL SUPPLY</v>
          </cell>
          <cell r="K1569">
            <v>12.39</v>
          </cell>
          <cell r="L1569">
            <v>38147</v>
          </cell>
        </row>
        <row r="1570">
          <cell r="A1570" t="str">
            <v>7098639</v>
          </cell>
          <cell r="B1570" t="str">
            <v>620210</v>
          </cell>
          <cell r="C1570" t="str">
            <v>Free-time Activitie</v>
          </cell>
          <cell r="D1570" t="str">
            <v>204304</v>
          </cell>
          <cell r="E1570" t="str">
            <v>006</v>
          </cell>
          <cell r="F1570">
            <v>0</v>
          </cell>
          <cell r="G1570" t="str">
            <v>4500002301</v>
          </cell>
          <cell r="H1570" t="str">
            <v>ORD 1850030203</v>
          </cell>
          <cell r="I1570" t="str">
            <v>407286</v>
          </cell>
          <cell r="J1570" t="str">
            <v>PRUDENTIAL OVERALL SUPPLY</v>
          </cell>
          <cell r="K1570">
            <v>12.39</v>
          </cell>
          <cell r="L1570">
            <v>38146</v>
          </cell>
        </row>
        <row r="1571">
          <cell r="A1571" t="str">
            <v>7098639</v>
          </cell>
          <cell r="B1571" t="str">
            <v>620210</v>
          </cell>
          <cell r="C1571" t="str">
            <v>Free-time Activitie</v>
          </cell>
          <cell r="D1571" t="str">
            <v>227652</v>
          </cell>
          <cell r="E1571" t="str">
            <v>006</v>
          </cell>
          <cell r="F1571">
            <v>0</v>
          </cell>
          <cell r="G1571" t="str">
            <v>4500002301</v>
          </cell>
          <cell r="H1571" t="str">
            <v>ORD 1850030203</v>
          </cell>
          <cell r="I1571" t="str">
            <v>407286</v>
          </cell>
          <cell r="J1571" t="str">
            <v>PRUDENTIAL OVERALL SUPPLY</v>
          </cell>
          <cell r="K1571">
            <v>12.39</v>
          </cell>
          <cell r="L1571">
            <v>38160</v>
          </cell>
        </row>
        <row r="1572">
          <cell r="A1572" t="str">
            <v>7098639</v>
          </cell>
          <cell r="B1572" t="str">
            <v>620210</v>
          </cell>
          <cell r="C1572" t="str">
            <v>Free-time Activitie</v>
          </cell>
          <cell r="D1572" t="str">
            <v>230049</v>
          </cell>
          <cell r="E1572" t="str">
            <v>006</v>
          </cell>
          <cell r="F1572">
            <v>0</v>
          </cell>
          <cell r="G1572" t="str">
            <v>4500002301</v>
          </cell>
          <cell r="H1572" t="str">
            <v>ORD 1850030203</v>
          </cell>
          <cell r="I1572" t="str">
            <v>407286</v>
          </cell>
          <cell r="J1572" t="str">
            <v>PRUDENTIAL OVERALL SUPPLY</v>
          </cell>
          <cell r="K1572">
            <v>12.39</v>
          </cell>
          <cell r="L1572">
            <v>38161</v>
          </cell>
        </row>
        <row r="1573">
          <cell r="A1573" t="str">
            <v>7098639</v>
          </cell>
          <cell r="B1573" t="str">
            <v>620210</v>
          </cell>
          <cell r="C1573" t="str">
            <v>Free-time Activitie</v>
          </cell>
          <cell r="D1573" t="str">
            <v>160341</v>
          </cell>
          <cell r="E1573" t="str">
            <v>006</v>
          </cell>
          <cell r="F1573">
            <v>0</v>
          </cell>
          <cell r="G1573" t="str">
            <v>4500002301</v>
          </cell>
          <cell r="H1573" t="str">
            <v>ORD 1850030203</v>
          </cell>
          <cell r="I1573" t="str">
            <v>407286</v>
          </cell>
          <cell r="J1573" t="str">
            <v>PRUDENTIAL OVERALL SUPPLY</v>
          </cell>
          <cell r="K1573">
            <v>27</v>
          </cell>
          <cell r="L1573">
            <v>38145</v>
          </cell>
        </row>
        <row r="1574">
          <cell r="A1574" t="str">
            <v>7098639</v>
          </cell>
          <cell r="B1574" t="str">
            <v>620210</v>
          </cell>
          <cell r="C1574" t="str">
            <v>Free-time Activitie</v>
          </cell>
          <cell r="D1574" t="str">
            <v>202323</v>
          </cell>
          <cell r="E1574" t="str">
            <v>006</v>
          </cell>
          <cell r="F1574">
            <v>0</v>
          </cell>
          <cell r="G1574" t="str">
            <v>4500002301</v>
          </cell>
          <cell r="H1574" t="str">
            <v>ORD 1850030203</v>
          </cell>
          <cell r="I1574" t="str">
            <v>407286</v>
          </cell>
          <cell r="J1574" t="str">
            <v>PRUDENTIAL OVERALL SUPPLY</v>
          </cell>
          <cell r="K1574">
            <v>27</v>
          </cell>
          <cell r="L1574">
            <v>38147</v>
          </cell>
        </row>
        <row r="1575">
          <cell r="A1575" t="str">
            <v>7098639</v>
          </cell>
          <cell r="B1575" t="str">
            <v>620210</v>
          </cell>
          <cell r="C1575" t="str">
            <v>Free-time Activitie</v>
          </cell>
          <cell r="D1575" t="str">
            <v>202147</v>
          </cell>
          <cell r="E1575" t="str">
            <v>006</v>
          </cell>
          <cell r="F1575">
            <v>0</v>
          </cell>
          <cell r="G1575" t="str">
            <v>4500002301</v>
          </cell>
          <cell r="H1575" t="str">
            <v>ORD 1850030203</v>
          </cell>
          <cell r="I1575" t="str">
            <v>407286</v>
          </cell>
          <cell r="J1575" t="str">
            <v>PRUDENTIAL OVERALL SUPPLY</v>
          </cell>
          <cell r="K1575">
            <v>27</v>
          </cell>
          <cell r="L1575">
            <v>38146</v>
          </cell>
        </row>
        <row r="1576">
          <cell r="A1576" t="str">
            <v>7098639</v>
          </cell>
          <cell r="B1576" t="str">
            <v>620210</v>
          </cell>
          <cell r="C1576" t="str">
            <v>Free-time Activitie</v>
          </cell>
          <cell r="D1576" t="str">
            <v>160314</v>
          </cell>
          <cell r="E1576" t="str">
            <v>006</v>
          </cell>
          <cell r="F1576">
            <v>0</v>
          </cell>
          <cell r="G1576" t="str">
            <v>4500002301</v>
          </cell>
          <cell r="H1576" t="str">
            <v>ORD 1850030203</v>
          </cell>
          <cell r="I1576" t="str">
            <v>407286</v>
          </cell>
          <cell r="J1576" t="str">
            <v>PRUDENTIAL OVERALL SUPPLY</v>
          </cell>
          <cell r="K1576">
            <v>27</v>
          </cell>
          <cell r="L1576">
            <v>38145</v>
          </cell>
        </row>
        <row r="1577">
          <cell r="A1577" t="str">
            <v>7098639</v>
          </cell>
          <cell r="B1577" t="str">
            <v>620210</v>
          </cell>
          <cell r="C1577" t="str">
            <v>Free-time Activitie</v>
          </cell>
          <cell r="D1577" t="str">
            <v>160441</v>
          </cell>
          <cell r="E1577" t="str">
            <v>006</v>
          </cell>
          <cell r="F1577">
            <v>0</v>
          </cell>
          <cell r="G1577" t="str">
            <v>4500002301</v>
          </cell>
          <cell r="H1577" t="str">
            <v>ORD 1850030203</v>
          </cell>
          <cell r="I1577" t="str">
            <v>407286</v>
          </cell>
          <cell r="J1577" t="str">
            <v>PRUDENTIAL OVERALL SUPPLY</v>
          </cell>
          <cell r="K1577">
            <v>27</v>
          </cell>
          <cell r="L1577">
            <v>38145</v>
          </cell>
        </row>
        <row r="1578">
          <cell r="A1578" t="str">
            <v>7098639</v>
          </cell>
          <cell r="B1578" t="str">
            <v>620210</v>
          </cell>
          <cell r="C1578" t="str">
            <v>Free-time Activitie</v>
          </cell>
          <cell r="D1578" t="str">
            <v>204307</v>
          </cell>
          <cell r="E1578" t="str">
            <v>006</v>
          </cell>
          <cell r="F1578">
            <v>0</v>
          </cell>
          <cell r="G1578" t="str">
            <v>4500002301</v>
          </cell>
          <cell r="H1578" t="str">
            <v>ORD 1850030203</v>
          </cell>
          <cell r="I1578" t="str">
            <v>407286</v>
          </cell>
          <cell r="J1578" t="str">
            <v>PRUDENTIAL OVERALL SUPPLY</v>
          </cell>
          <cell r="K1578">
            <v>27</v>
          </cell>
          <cell r="L1578">
            <v>38146</v>
          </cell>
        </row>
        <row r="1579">
          <cell r="A1579" t="str">
            <v>7098639</v>
          </cell>
          <cell r="B1579" t="str">
            <v>620210</v>
          </cell>
          <cell r="C1579" t="str">
            <v>Free-time Activitie</v>
          </cell>
          <cell r="D1579" t="str">
            <v>202419</v>
          </cell>
          <cell r="E1579" t="str">
            <v>006</v>
          </cell>
          <cell r="F1579">
            <v>0</v>
          </cell>
          <cell r="G1579" t="str">
            <v>4500002301</v>
          </cell>
          <cell r="H1579" t="str">
            <v>ORD 1850030203</v>
          </cell>
          <cell r="I1579" t="str">
            <v>407286</v>
          </cell>
          <cell r="J1579" t="str">
            <v>PRUDENTIAL OVERALL SUPPLY</v>
          </cell>
          <cell r="K1579">
            <v>27</v>
          </cell>
          <cell r="L1579">
            <v>38146</v>
          </cell>
        </row>
        <row r="1580">
          <cell r="A1580" t="str">
            <v>7098639</v>
          </cell>
          <cell r="B1580" t="str">
            <v>620210</v>
          </cell>
          <cell r="C1580" t="str">
            <v>Free-time Activitie</v>
          </cell>
          <cell r="D1580" t="str">
            <v>160349</v>
          </cell>
          <cell r="E1580" t="str">
            <v>006</v>
          </cell>
          <cell r="F1580">
            <v>0</v>
          </cell>
          <cell r="G1580" t="str">
            <v>4500002301</v>
          </cell>
          <cell r="H1580" t="str">
            <v>ORD 1850030203</v>
          </cell>
          <cell r="I1580" t="str">
            <v>407286</v>
          </cell>
          <cell r="J1580" t="str">
            <v>PRUDENTIAL OVERALL SUPPLY</v>
          </cell>
          <cell r="K1580">
            <v>27</v>
          </cell>
          <cell r="L1580">
            <v>38147</v>
          </cell>
        </row>
        <row r="1581">
          <cell r="A1581" t="str">
            <v>7098639</v>
          </cell>
          <cell r="B1581" t="str">
            <v>620210</v>
          </cell>
          <cell r="C1581" t="str">
            <v>Free-time Activitie</v>
          </cell>
          <cell r="D1581" t="str">
            <v>160463</v>
          </cell>
          <cell r="E1581" t="str">
            <v>006</v>
          </cell>
          <cell r="F1581">
            <v>0</v>
          </cell>
          <cell r="G1581" t="str">
            <v>4500002301</v>
          </cell>
          <cell r="H1581" t="str">
            <v>ORD 1850030203</v>
          </cell>
          <cell r="I1581" t="str">
            <v>407286</v>
          </cell>
          <cell r="J1581" t="str">
            <v>PRUDENTIAL OVERALL SUPPLY</v>
          </cell>
          <cell r="K1581">
            <v>27</v>
          </cell>
          <cell r="L1581">
            <v>38147</v>
          </cell>
        </row>
        <row r="1582">
          <cell r="A1582" t="str">
            <v>7098639</v>
          </cell>
          <cell r="B1582" t="str">
            <v>620210</v>
          </cell>
          <cell r="C1582" t="str">
            <v>Free-time Activitie</v>
          </cell>
          <cell r="D1582" t="str">
            <v>160344</v>
          </cell>
          <cell r="E1582" t="str">
            <v>006</v>
          </cell>
          <cell r="F1582">
            <v>0</v>
          </cell>
          <cell r="G1582" t="str">
            <v>4500002301</v>
          </cell>
          <cell r="H1582" t="str">
            <v>ORD 1850030203</v>
          </cell>
          <cell r="I1582" t="str">
            <v>407286</v>
          </cell>
          <cell r="J1582" t="str">
            <v>PRUDENTIAL OVERALL SUPPLY</v>
          </cell>
          <cell r="K1582">
            <v>27</v>
          </cell>
          <cell r="L1582">
            <v>38147</v>
          </cell>
        </row>
        <row r="1583">
          <cell r="A1583" t="str">
            <v>7098639</v>
          </cell>
          <cell r="B1583" t="str">
            <v>620210</v>
          </cell>
          <cell r="C1583" t="str">
            <v>Free-time Activitie</v>
          </cell>
          <cell r="D1583" t="str">
            <v>202417</v>
          </cell>
          <cell r="E1583" t="str">
            <v>006</v>
          </cell>
          <cell r="F1583">
            <v>0</v>
          </cell>
          <cell r="G1583" t="str">
            <v>4500002301</v>
          </cell>
          <cell r="H1583" t="str">
            <v>ORD 1850030203</v>
          </cell>
          <cell r="I1583" t="str">
            <v>407286</v>
          </cell>
          <cell r="J1583" t="str">
            <v>PRUDENTIAL OVERALL SUPPLY</v>
          </cell>
          <cell r="K1583">
            <v>27</v>
          </cell>
          <cell r="L1583">
            <v>38146</v>
          </cell>
        </row>
        <row r="1584">
          <cell r="A1584" t="str">
            <v>7098639</v>
          </cell>
          <cell r="B1584" t="str">
            <v>620210</v>
          </cell>
          <cell r="C1584" t="str">
            <v>Free-time Activitie</v>
          </cell>
          <cell r="D1584" t="str">
            <v>204304</v>
          </cell>
          <cell r="E1584" t="str">
            <v>006</v>
          </cell>
          <cell r="F1584">
            <v>0</v>
          </cell>
          <cell r="G1584" t="str">
            <v>4500002301</v>
          </cell>
          <cell r="H1584" t="str">
            <v>ORD 1850030203</v>
          </cell>
          <cell r="I1584" t="str">
            <v>407286</v>
          </cell>
          <cell r="J1584" t="str">
            <v>PRUDENTIAL OVERALL SUPPLY</v>
          </cell>
          <cell r="K1584">
            <v>27</v>
          </cell>
          <cell r="L1584">
            <v>38146</v>
          </cell>
        </row>
        <row r="1585">
          <cell r="A1585" t="str">
            <v>7098639</v>
          </cell>
          <cell r="B1585" t="str">
            <v>620210</v>
          </cell>
          <cell r="C1585" t="str">
            <v>Free-time Activitie</v>
          </cell>
          <cell r="D1585" t="str">
            <v>226918</v>
          </cell>
          <cell r="E1585" t="str">
            <v>006</v>
          </cell>
          <cell r="F1585">
            <v>0</v>
          </cell>
          <cell r="G1585" t="str">
            <v>4500002301</v>
          </cell>
          <cell r="H1585" t="str">
            <v>ORD 1850030203</v>
          </cell>
          <cell r="I1585" t="str">
            <v>407286</v>
          </cell>
          <cell r="J1585" t="str">
            <v>PRUDENTIAL OVERALL SUPPLY</v>
          </cell>
          <cell r="K1585">
            <v>27</v>
          </cell>
          <cell r="L1585">
            <v>38160</v>
          </cell>
        </row>
        <row r="1586">
          <cell r="A1586" t="str">
            <v>7098639</v>
          </cell>
          <cell r="B1586" t="str">
            <v>620210</v>
          </cell>
          <cell r="C1586" t="str">
            <v>Free-time Activitie</v>
          </cell>
          <cell r="D1586" t="str">
            <v>227652</v>
          </cell>
          <cell r="E1586" t="str">
            <v>006</v>
          </cell>
          <cell r="F1586">
            <v>0</v>
          </cell>
          <cell r="G1586" t="str">
            <v>4500002301</v>
          </cell>
          <cell r="H1586" t="str">
            <v>ORD 1850030203</v>
          </cell>
          <cell r="I1586" t="str">
            <v>407286</v>
          </cell>
          <cell r="J1586" t="str">
            <v>PRUDENTIAL OVERALL SUPPLY</v>
          </cell>
          <cell r="K1586">
            <v>27</v>
          </cell>
          <cell r="L1586">
            <v>38160</v>
          </cell>
        </row>
        <row r="1587">
          <cell r="A1587" t="str">
            <v>7098639</v>
          </cell>
          <cell r="B1587" t="str">
            <v>620210</v>
          </cell>
          <cell r="C1587" t="str">
            <v>Free-time Activitie</v>
          </cell>
          <cell r="D1587" t="str">
            <v>230049</v>
          </cell>
          <cell r="E1587" t="str">
            <v>006</v>
          </cell>
          <cell r="F1587">
            <v>0</v>
          </cell>
          <cell r="G1587" t="str">
            <v>4500002301</v>
          </cell>
          <cell r="H1587" t="str">
            <v>ORD 1850030203</v>
          </cell>
          <cell r="I1587" t="str">
            <v>407286</v>
          </cell>
          <cell r="J1587" t="str">
            <v>PRUDENTIAL OVERALL SUPPLY</v>
          </cell>
          <cell r="K1587">
            <v>27</v>
          </cell>
          <cell r="L1587">
            <v>38161</v>
          </cell>
        </row>
        <row r="1588">
          <cell r="A1588" t="str">
            <v>7098639</v>
          </cell>
          <cell r="B1588" t="str">
            <v>620210</v>
          </cell>
          <cell r="C1588" t="str">
            <v>Free-time Activitie</v>
          </cell>
          <cell r="D1588" t="str">
            <v>160311</v>
          </cell>
          <cell r="E1588" t="str">
            <v>006</v>
          </cell>
          <cell r="F1588">
            <v>0</v>
          </cell>
          <cell r="G1588" t="str">
            <v>4500002301</v>
          </cell>
          <cell r="H1588" t="str">
            <v>ORD 1850030203</v>
          </cell>
          <cell r="I1588" t="str">
            <v>407286</v>
          </cell>
          <cell r="J1588" t="str">
            <v>PRUDENTIAL OVERALL SUPPLY</v>
          </cell>
          <cell r="K1588">
            <v>42</v>
          </cell>
          <cell r="L1588">
            <v>38145</v>
          </cell>
        </row>
        <row r="1589">
          <cell r="A1589" t="str">
            <v>7098639</v>
          </cell>
          <cell r="B1589" t="str">
            <v>620210</v>
          </cell>
          <cell r="C1589" t="str">
            <v>Free-time Activitie</v>
          </cell>
          <cell r="D1589" t="str">
            <v>160445</v>
          </cell>
          <cell r="E1589" t="str">
            <v>006</v>
          </cell>
          <cell r="F1589">
            <v>0</v>
          </cell>
          <cell r="G1589" t="str">
            <v>4500002301</v>
          </cell>
          <cell r="H1589" t="str">
            <v>ORD 1850030203</v>
          </cell>
          <cell r="I1589" t="str">
            <v>407286</v>
          </cell>
          <cell r="J1589" t="str">
            <v>PRUDENTIAL OVERALL SUPPLY</v>
          </cell>
          <cell r="K1589">
            <v>42</v>
          </cell>
          <cell r="L1589">
            <v>38145</v>
          </cell>
        </row>
        <row r="1590">
          <cell r="A1590" t="str">
            <v>7098639</v>
          </cell>
          <cell r="B1590" t="str">
            <v>620210</v>
          </cell>
          <cell r="C1590" t="str">
            <v>Free-time Activitie</v>
          </cell>
          <cell r="D1590" t="str">
            <v>160444</v>
          </cell>
          <cell r="E1590" t="str">
            <v>006</v>
          </cell>
          <cell r="F1590">
            <v>0</v>
          </cell>
          <cell r="G1590" t="str">
            <v>4500002301</v>
          </cell>
          <cell r="H1590" t="str">
            <v>ORD 1850030203</v>
          </cell>
          <cell r="I1590" t="str">
            <v>407286</v>
          </cell>
          <cell r="J1590" t="str">
            <v>PRUDENTIAL OVERALL SUPPLY</v>
          </cell>
          <cell r="K1590">
            <v>42</v>
          </cell>
          <cell r="L1590">
            <v>38145</v>
          </cell>
        </row>
        <row r="1591">
          <cell r="A1591" t="str">
            <v>7098639</v>
          </cell>
          <cell r="B1591" t="str">
            <v>620210</v>
          </cell>
          <cell r="C1591" t="str">
            <v>Free-time Activitie</v>
          </cell>
          <cell r="D1591" t="str">
            <v>202327</v>
          </cell>
          <cell r="E1591" t="str">
            <v>006</v>
          </cell>
          <cell r="F1591">
            <v>0</v>
          </cell>
          <cell r="G1591" t="str">
            <v>4500002301</v>
          </cell>
          <cell r="H1591" t="str">
            <v>ORD 1850030203</v>
          </cell>
          <cell r="I1591" t="str">
            <v>407286</v>
          </cell>
          <cell r="J1591" t="str">
            <v>PRUDENTIAL OVERALL SUPPLY</v>
          </cell>
          <cell r="K1591">
            <v>42</v>
          </cell>
          <cell r="L1591">
            <v>38147</v>
          </cell>
        </row>
        <row r="1592">
          <cell r="A1592" t="str">
            <v>7098639</v>
          </cell>
          <cell r="B1592" t="str">
            <v>620210</v>
          </cell>
          <cell r="C1592" t="str">
            <v>Free-time Activitie</v>
          </cell>
          <cell r="D1592" t="str">
            <v>202222</v>
          </cell>
          <cell r="E1592" t="str">
            <v>006</v>
          </cell>
          <cell r="F1592">
            <v>0</v>
          </cell>
          <cell r="G1592" t="str">
            <v>4500002301</v>
          </cell>
          <cell r="H1592" t="str">
            <v>ORD 1850030203</v>
          </cell>
          <cell r="I1592" t="str">
            <v>407286</v>
          </cell>
          <cell r="J1592" t="str">
            <v>PRUDENTIAL OVERALL SUPPLY</v>
          </cell>
          <cell r="K1592">
            <v>42</v>
          </cell>
          <cell r="L1592">
            <v>38146</v>
          </cell>
        </row>
        <row r="1593">
          <cell r="A1593" t="str">
            <v>7098639</v>
          </cell>
          <cell r="B1593" t="str">
            <v>620210</v>
          </cell>
          <cell r="C1593" t="str">
            <v>Free-time Activitie</v>
          </cell>
          <cell r="D1593" t="str">
            <v>204422</v>
          </cell>
          <cell r="E1593" t="str">
            <v>006</v>
          </cell>
          <cell r="F1593">
            <v>0</v>
          </cell>
          <cell r="G1593" t="str">
            <v>4500002301</v>
          </cell>
          <cell r="H1593" t="str">
            <v>ORD 1850030203</v>
          </cell>
          <cell r="I1593" t="str">
            <v>407286</v>
          </cell>
          <cell r="J1593" t="str">
            <v>PRUDENTIAL OVERALL SUPPLY</v>
          </cell>
          <cell r="K1593">
            <v>42</v>
          </cell>
          <cell r="L1593">
            <v>38148</v>
          </cell>
        </row>
        <row r="1594">
          <cell r="A1594" t="str">
            <v>7098639</v>
          </cell>
          <cell r="B1594" t="str">
            <v>620210</v>
          </cell>
          <cell r="C1594" t="str">
            <v>Free-time Activitie</v>
          </cell>
          <cell r="D1594" t="str">
            <v>202415</v>
          </cell>
          <cell r="E1594" t="str">
            <v>006</v>
          </cell>
          <cell r="F1594">
            <v>0</v>
          </cell>
          <cell r="G1594" t="str">
            <v>4500002301</v>
          </cell>
          <cell r="H1594" t="str">
            <v>ORD 1850030203</v>
          </cell>
          <cell r="I1594" t="str">
            <v>407286</v>
          </cell>
          <cell r="J1594" t="str">
            <v>PRUDENTIAL OVERALL SUPPLY</v>
          </cell>
          <cell r="K1594">
            <v>42</v>
          </cell>
          <cell r="L1594">
            <v>38146</v>
          </cell>
        </row>
        <row r="1595">
          <cell r="A1595" t="str">
            <v>7098639</v>
          </cell>
          <cell r="B1595" t="str">
            <v>620210</v>
          </cell>
          <cell r="C1595" t="str">
            <v>Free-time Activitie</v>
          </cell>
          <cell r="D1595" t="str">
            <v>360001035</v>
          </cell>
          <cell r="E1595" t="str">
            <v>006</v>
          </cell>
          <cell r="F1595" t="str">
            <v>Catering Services and Voucher Mar-04</v>
          </cell>
          <cell r="G1595">
            <v>0</v>
          </cell>
          <cell r="H1595">
            <v>0</v>
          </cell>
          <cell r="I1595" t="str">
            <v>434925</v>
          </cell>
          <cell r="J1595" t="str">
            <v>PREMIER FOOD SERVICES INC</v>
          </cell>
          <cell r="K1595">
            <v>63.21</v>
          </cell>
          <cell r="L1595">
            <v>38145</v>
          </cell>
        </row>
        <row r="1596">
          <cell r="A1596" t="str">
            <v>7098639</v>
          </cell>
          <cell r="B1596" t="str">
            <v>620210</v>
          </cell>
          <cell r="C1596" t="str">
            <v>Free-time Activitie</v>
          </cell>
          <cell r="D1596" t="str">
            <v>160341</v>
          </cell>
          <cell r="E1596" t="str">
            <v>006</v>
          </cell>
          <cell r="F1596">
            <v>0</v>
          </cell>
          <cell r="G1596" t="str">
            <v>4500002301</v>
          </cell>
          <cell r="H1596" t="str">
            <v>ORD 1850030203</v>
          </cell>
          <cell r="I1596" t="str">
            <v>407286</v>
          </cell>
          <cell r="J1596" t="str">
            <v>PRUDENTIAL OVERALL SUPPLY</v>
          </cell>
          <cell r="K1596">
            <v>105</v>
          </cell>
          <cell r="L1596">
            <v>38145</v>
          </cell>
        </row>
        <row r="1597">
          <cell r="A1597" t="str">
            <v>7098639</v>
          </cell>
          <cell r="B1597" t="str">
            <v>620210</v>
          </cell>
          <cell r="C1597" t="str">
            <v>Free-time Activitie</v>
          </cell>
          <cell r="D1597" t="str">
            <v>202323</v>
          </cell>
          <cell r="E1597" t="str">
            <v>006</v>
          </cell>
          <cell r="F1597">
            <v>0</v>
          </cell>
          <cell r="G1597" t="str">
            <v>4500002301</v>
          </cell>
          <cell r="H1597" t="str">
            <v>ORD 1850030203</v>
          </cell>
          <cell r="I1597" t="str">
            <v>407286</v>
          </cell>
          <cell r="J1597" t="str">
            <v>PRUDENTIAL OVERALL SUPPLY</v>
          </cell>
          <cell r="K1597">
            <v>105</v>
          </cell>
          <cell r="L1597">
            <v>38147</v>
          </cell>
        </row>
        <row r="1598">
          <cell r="A1598" t="str">
            <v>7098639</v>
          </cell>
          <cell r="B1598" t="str">
            <v>620210</v>
          </cell>
          <cell r="C1598" t="str">
            <v>Free-time Activitie</v>
          </cell>
          <cell r="D1598" t="str">
            <v>202147</v>
          </cell>
          <cell r="E1598" t="str">
            <v>006</v>
          </cell>
          <cell r="F1598">
            <v>0</v>
          </cell>
          <cell r="G1598" t="str">
            <v>4500002301</v>
          </cell>
          <cell r="H1598" t="str">
            <v>ORD 1850030203</v>
          </cell>
          <cell r="I1598" t="str">
            <v>407286</v>
          </cell>
          <cell r="J1598" t="str">
            <v>PRUDENTIAL OVERALL SUPPLY</v>
          </cell>
          <cell r="K1598">
            <v>105</v>
          </cell>
          <cell r="L1598">
            <v>38146</v>
          </cell>
        </row>
        <row r="1599">
          <cell r="A1599" t="str">
            <v>7098639</v>
          </cell>
          <cell r="B1599" t="str">
            <v>620210</v>
          </cell>
          <cell r="C1599" t="str">
            <v>Free-time Activitie</v>
          </cell>
          <cell r="D1599" t="str">
            <v>160314</v>
          </cell>
          <cell r="E1599" t="str">
            <v>006</v>
          </cell>
          <cell r="F1599">
            <v>0</v>
          </cell>
          <cell r="G1599" t="str">
            <v>4500002301</v>
          </cell>
          <cell r="H1599" t="str">
            <v>ORD 1850030203</v>
          </cell>
          <cell r="I1599" t="str">
            <v>407286</v>
          </cell>
          <cell r="J1599" t="str">
            <v>PRUDENTIAL OVERALL SUPPLY</v>
          </cell>
          <cell r="K1599">
            <v>105</v>
          </cell>
          <cell r="L1599">
            <v>38145</v>
          </cell>
        </row>
        <row r="1600">
          <cell r="A1600" t="str">
            <v>7098639</v>
          </cell>
          <cell r="B1600" t="str">
            <v>620210</v>
          </cell>
          <cell r="C1600" t="str">
            <v>Free-time Activitie</v>
          </cell>
          <cell r="D1600" t="str">
            <v>160441</v>
          </cell>
          <cell r="E1600" t="str">
            <v>006</v>
          </cell>
          <cell r="F1600">
            <v>0</v>
          </cell>
          <cell r="G1600" t="str">
            <v>4500002301</v>
          </cell>
          <cell r="H1600" t="str">
            <v>ORD 1850030203</v>
          </cell>
          <cell r="I1600" t="str">
            <v>407286</v>
          </cell>
          <cell r="J1600" t="str">
            <v>PRUDENTIAL OVERALL SUPPLY</v>
          </cell>
          <cell r="K1600">
            <v>105</v>
          </cell>
          <cell r="L1600">
            <v>38145</v>
          </cell>
        </row>
        <row r="1601">
          <cell r="A1601" t="str">
            <v>7098639</v>
          </cell>
          <cell r="B1601" t="str">
            <v>620210</v>
          </cell>
          <cell r="C1601" t="str">
            <v>Free-time Activitie</v>
          </cell>
          <cell r="D1601" t="str">
            <v>204307</v>
          </cell>
          <cell r="E1601" t="str">
            <v>006</v>
          </cell>
          <cell r="F1601">
            <v>0</v>
          </cell>
          <cell r="G1601" t="str">
            <v>4500002301</v>
          </cell>
          <cell r="H1601" t="str">
            <v>ORD 1850030203</v>
          </cell>
          <cell r="I1601" t="str">
            <v>407286</v>
          </cell>
          <cell r="J1601" t="str">
            <v>PRUDENTIAL OVERALL SUPPLY</v>
          </cell>
          <cell r="K1601">
            <v>105</v>
          </cell>
          <cell r="L1601">
            <v>38146</v>
          </cell>
        </row>
        <row r="1602">
          <cell r="A1602" t="str">
            <v>7098639</v>
          </cell>
          <cell r="B1602" t="str">
            <v>620210</v>
          </cell>
          <cell r="C1602" t="str">
            <v>Free-time Activitie</v>
          </cell>
          <cell r="D1602" t="str">
            <v>202419</v>
          </cell>
          <cell r="E1602" t="str">
            <v>006</v>
          </cell>
          <cell r="F1602">
            <v>0</v>
          </cell>
          <cell r="G1602" t="str">
            <v>4500002301</v>
          </cell>
          <cell r="H1602" t="str">
            <v>ORD 1850030203</v>
          </cell>
          <cell r="I1602" t="str">
            <v>407286</v>
          </cell>
          <cell r="J1602" t="str">
            <v>PRUDENTIAL OVERALL SUPPLY</v>
          </cell>
          <cell r="K1602">
            <v>105</v>
          </cell>
          <cell r="L1602">
            <v>38146</v>
          </cell>
        </row>
        <row r="1603">
          <cell r="A1603" t="str">
            <v>7098639</v>
          </cell>
          <cell r="B1603" t="str">
            <v>620210</v>
          </cell>
          <cell r="C1603" t="str">
            <v>Free-time Activitie</v>
          </cell>
          <cell r="D1603" t="str">
            <v>160349</v>
          </cell>
          <cell r="E1603" t="str">
            <v>006</v>
          </cell>
          <cell r="F1603">
            <v>0</v>
          </cell>
          <cell r="G1603" t="str">
            <v>4500002301</v>
          </cell>
          <cell r="H1603" t="str">
            <v>ORD 1850030203</v>
          </cell>
          <cell r="I1603" t="str">
            <v>407286</v>
          </cell>
          <cell r="J1603" t="str">
            <v>PRUDENTIAL OVERALL SUPPLY</v>
          </cell>
          <cell r="K1603">
            <v>105</v>
          </cell>
          <cell r="L1603">
            <v>38147</v>
          </cell>
        </row>
        <row r="1604">
          <cell r="A1604" t="str">
            <v>7098639</v>
          </cell>
          <cell r="B1604" t="str">
            <v>620210</v>
          </cell>
          <cell r="C1604" t="str">
            <v>Free-time Activitie</v>
          </cell>
          <cell r="D1604" t="str">
            <v>160463</v>
          </cell>
          <cell r="E1604" t="str">
            <v>006</v>
          </cell>
          <cell r="F1604">
            <v>0</v>
          </cell>
          <cell r="G1604" t="str">
            <v>4500002301</v>
          </cell>
          <cell r="H1604" t="str">
            <v>ORD 1850030203</v>
          </cell>
          <cell r="I1604" t="str">
            <v>407286</v>
          </cell>
          <cell r="J1604" t="str">
            <v>PRUDENTIAL OVERALL SUPPLY</v>
          </cell>
          <cell r="K1604">
            <v>105</v>
          </cell>
          <cell r="L1604">
            <v>38147</v>
          </cell>
        </row>
        <row r="1605">
          <cell r="A1605" t="str">
            <v>7098639</v>
          </cell>
          <cell r="B1605" t="str">
            <v>620210</v>
          </cell>
          <cell r="C1605" t="str">
            <v>Free-time Activitie</v>
          </cell>
          <cell r="D1605" t="str">
            <v>160344</v>
          </cell>
          <cell r="E1605" t="str">
            <v>006</v>
          </cell>
          <cell r="F1605">
            <v>0</v>
          </cell>
          <cell r="G1605" t="str">
            <v>4500002301</v>
          </cell>
          <cell r="H1605" t="str">
            <v>ORD 1850030203</v>
          </cell>
          <cell r="I1605" t="str">
            <v>407286</v>
          </cell>
          <cell r="J1605" t="str">
            <v>PRUDENTIAL OVERALL SUPPLY</v>
          </cell>
          <cell r="K1605">
            <v>105</v>
          </cell>
          <cell r="L1605">
            <v>38147</v>
          </cell>
        </row>
        <row r="1606">
          <cell r="A1606" t="str">
            <v>7098639</v>
          </cell>
          <cell r="B1606" t="str">
            <v>620210</v>
          </cell>
          <cell r="C1606" t="str">
            <v>Free-time Activitie</v>
          </cell>
          <cell r="D1606" t="str">
            <v>202417</v>
          </cell>
          <cell r="E1606" t="str">
            <v>006</v>
          </cell>
          <cell r="F1606">
            <v>0</v>
          </cell>
          <cell r="G1606" t="str">
            <v>4500002301</v>
          </cell>
          <cell r="H1606" t="str">
            <v>ORD 1850030203</v>
          </cell>
          <cell r="I1606" t="str">
            <v>407286</v>
          </cell>
          <cell r="J1606" t="str">
            <v>PRUDENTIAL OVERALL SUPPLY</v>
          </cell>
          <cell r="K1606">
            <v>105</v>
          </cell>
          <cell r="L1606">
            <v>38146</v>
          </cell>
        </row>
        <row r="1607">
          <cell r="A1607" t="str">
            <v>7098639</v>
          </cell>
          <cell r="B1607" t="str">
            <v>620210</v>
          </cell>
          <cell r="C1607" t="str">
            <v>Free-time Activitie</v>
          </cell>
          <cell r="D1607" t="str">
            <v>204304</v>
          </cell>
          <cell r="E1607" t="str">
            <v>006</v>
          </cell>
          <cell r="F1607">
            <v>0</v>
          </cell>
          <cell r="G1607" t="str">
            <v>4500002301</v>
          </cell>
          <cell r="H1607" t="str">
            <v>ORD 1850030203</v>
          </cell>
          <cell r="I1607" t="str">
            <v>407286</v>
          </cell>
          <cell r="J1607" t="str">
            <v>PRUDENTIAL OVERALL SUPPLY</v>
          </cell>
          <cell r="K1607">
            <v>105</v>
          </cell>
          <cell r="L1607">
            <v>38146</v>
          </cell>
        </row>
        <row r="1608">
          <cell r="A1608" t="str">
            <v>7098639</v>
          </cell>
          <cell r="B1608" t="str">
            <v>620210</v>
          </cell>
          <cell r="C1608" t="str">
            <v>Free-time Activitie</v>
          </cell>
          <cell r="D1608" t="str">
            <v>226918</v>
          </cell>
          <cell r="E1608" t="str">
            <v>006</v>
          </cell>
          <cell r="F1608">
            <v>0</v>
          </cell>
          <cell r="G1608" t="str">
            <v>4500002301</v>
          </cell>
          <cell r="H1608" t="str">
            <v>ORD 1850030203</v>
          </cell>
          <cell r="I1608" t="str">
            <v>407286</v>
          </cell>
          <cell r="J1608" t="str">
            <v>PRUDENTIAL OVERALL SUPPLY</v>
          </cell>
          <cell r="K1608">
            <v>105</v>
          </cell>
          <cell r="L1608">
            <v>38160</v>
          </cell>
        </row>
        <row r="1609">
          <cell r="A1609" t="str">
            <v>7098639</v>
          </cell>
          <cell r="B1609" t="str">
            <v>620210</v>
          </cell>
          <cell r="C1609" t="str">
            <v>Free-time Activitie</v>
          </cell>
          <cell r="D1609" t="str">
            <v>227652</v>
          </cell>
          <cell r="E1609" t="str">
            <v>006</v>
          </cell>
          <cell r="F1609">
            <v>0</v>
          </cell>
          <cell r="G1609" t="str">
            <v>4500002301</v>
          </cell>
          <cell r="H1609" t="str">
            <v>ORD 1850030203</v>
          </cell>
          <cell r="I1609" t="str">
            <v>407286</v>
          </cell>
          <cell r="J1609" t="str">
            <v>PRUDENTIAL OVERALL SUPPLY</v>
          </cell>
          <cell r="K1609">
            <v>105</v>
          </cell>
          <cell r="L1609">
            <v>38160</v>
          </cell>
        </row>
        <row r="1610">
          <cell r="A1610" t="str">
            <v>7098639</v>
          </cell>
          <cell r="B1610" t="str">
            <v>620210</v>
          </cell>
          <cell r="C1610" t="str">
            <v>Free-time Activitie</v>
          </cell>
          <cell r="D1610" t="str">
            <v>230049</v>
          </cell>
          <cell r="E1610" t="str">
            <v>006</v>
          </cell>
          <cell r="F1610">
            <v>0</v>
          </cell>
          <cell r="G1610" t="str">
            <v>4500002301</v>
          </cell>
          <cell r="H1610" t="str">
            <v>ORD 1850030203</v>
          </cell>
          <cell r="I1610" t="str">
            <v>407286</v>
          </cell>
          <cell r="J1610" t="str">
            <v>PRUDENTIAL OVERALL SUPPLY</v>
          </cell>
          <cell r="K1610">
            <v>105</v>
          </cell>
          <cell r="L1610">
            <v>38161</v>
          </cell>
        </row>
        <row r="1611">
          <cell r="A1611" t="str">
            <v>7098639</v>
          </cell>
          <cell r="B1611" t="str">
            <v>620210</v>
          </cell>
          <cell r="C1611" t="str">
            <v>Free-time Activitie</v>
          </cell>
          <cell r="D1611" t="str">
            <v>360001036</v>
          </cell>
          <cell r="E1611" t="str">
            <v>006</v>
          </cell>
          <cell r="F1611" t="str">
            <v>Catering Services and Vouchers Apr-04</v>
          </cell>
          <cell r="G1611">
            <v>0</v>
          </cell>
          <cell r="H1611">
            <v>0</v>
          </cell>
          <cell r="I1611" t="str">
            <v>434925</v>
          </cell>
          <cell r="J1611" t="str">
            <v>PREMIER FOOD SERVICES INC</v>
          </cell>
          <cell r="K1611">
            <v>194.95</v>
          </cell>
          <cell r="L1611">
            <v>38145</v>
          </cell>
        </row>
        <row r="1612">
          <cell r="A1612" t="str">
            <v>7098639</v>
          </cell>
          <cell r="B1612" t="str">
            <v>620210</v>
          </cell>
          <cell r="C1612" t="str">
            <v>Free-time Activitie</v>
          </cell>
          <cell r="D1612" t="str">
            <v>751001670</v>
          </cell>
          <cell r="E1612" t="str">
            <v>006</v>
          </cell>
          <cell r="F1612" t="str">
            <v>MediFit Wellness Management</v>
          </cell>
          <cell r="G1612">
            <v>0</v>
          </cell>
          <cell r="H1612" t="str">
            <v>ORD 1850030203</v>
          </cell>
          <cell r="I1612" t="str">
            <v>273900</v>
          </cell>
          <cell r="J1612" t="str">
            <v>Other Accr Expenses</v>
          </cell>
          <cell r="K1612">
            <v>-56000</v>
          </cell>
          <cell r="L1612">
            <v>38138</v>
          </cell>
        </row>
        <row r="1613">
          <cell r="A1613" t="str">
            <v>7098639</v>
          </cell>
          <cell r="B1613" t="str">
            <v>620215</v>
          </cell>
          <cell r="C1613" t="str">
            <v>Free Time Act Inc</v>
          </cell>
          <cell r="D1613" t="str">
            <v>641000224</v>
          </cell>
          <cell r="E1613" t="str">
            <v>006</v>
          </cell>
          <cell r="F1613" t="str">
            <v>06/11 SAN DIEGO FITNESS</v>
          </cell>
          <cell r="G1613">
            <v>0</v>
          </cell>
          <cell r="H1613">
            <v>0</v>
          </cell>
          <cell r="I1613" t="str">
            <v>271000</v>
          </cell>
          <cell r="J1613" t="str">
            <v>Accr Wages, Salaries</v>
          </cell>
          <cell r="K1613">
            <v>-4530</v>
          </cell>
          <cell r="L1613">
            <v>38148</v>
          </cell>
        </row>
        <row r="1614">
          <cell r="A1614" t="str">
            <v>7098639</v>
          </cell>
          <cell r="B1614" t="str">
            <v>620250</v>
          </cell>
          <cell r="C1614" t="str">
            <v>Recreation Expenses</v>
          </cell>
          <cell r="D1614" t="str">
            <v>758004055</v>
          </cell>
          <cell r="E1614" t="str">
            <v>006</v>
          </cell>
          <cell r="F1614" t="str">
            <v>Miranda, Cynthia 6/8/2004 Smoothies for Blood Driv</v>
          </cell>
          <cell r="G1614">
            <v>0</v>
          </cell>
          <cell r="H1614">
            <v>0</v>
          </cell>
          <cell r="I1614" t="str">
            <v>199300</v>
          </cell>
          <cell r="J1614" t="str">
            <v>Petty Cash</v>
          </cell>
          <cell r="K1614">
            <v>40</v>
          </cell>
          <cell r="L1614">
            <v>38160</v>
          </cell>
        </row>
        <row r="1615">
          <cell r="A1615" t="str">
            <v>7098639</v>
          </cell>
          <cell r="B1615" t="str">
            <v>620250</v>
          </cell>
          <cell r="C1615" t="str">
            <v>Recreation Expenses</v>
          </cell>
          <cell r="D1615" t="str">
            <v>758004055</v>
          </cell>
          <cell r="E1615" t="str">
            <v>006</v>
          </cell>
          <cell r="F1615" t="str">
            <v>Michels, Julie 6/15/2004 Var Items for Hoopfest</v>
          </cell>
          <cell r="G1615">
            <v>0</v>
          </cell>
          <cell r="H1615">
            <v>0</v>
          </cell>
          <cell r="I1615" t="str">
            <v>199300</v>
          </cell>
          <cell r="J1615" t="str">
            <v>Petty Cash</v>
          </cell>
          <cell r="K1615">
            <v>50.54</v>
          </cell>
          <cell r="L1615">
            <v>38160</v>
          </cell>
        </row>
        <row r="1616">
          <cell r="A1616" t="str">
            <v>7098639</v>
          </cell>
          <cell r="B1616" t="str">
            <v>620250</v>
          </cell>
          <cell r="C1616" t="str">
            <v>Recreation Expenses</v>
          </cell>
          <cell r="D1616" t="str">
            <v>496024114</v>
          </cell>
          <cell r="E1616" t="str">
            <v>006</v>
          </cell>
          <cell r="F1616" t="str">
            <v>*TENNIS CLINIC  GEOFF GRIFFIN</v>
          </cell>
          <cell r="G1616">
            <v>0</v>
          </cell>
          <cell r="H1616" t="str">
            <v>ORD 1850030203</v>
          </cell>
          <cell r="I1616" t="str">
            <v>388888</v>
          </cell>
          <cell r="J1616" t="str">
            <v>GEOFF GRIFFING</v>
          </cell>
          <cell r="K1616">
            <v>600</v>
          </cell>
          <cell r="L1616">
            <v>38161</v>
          </cell>
        </row>
        <row r="1617">
          <cell r="A1617" t="str">
            <v>7098639</v>
          </cell>
          <cell r="B1617" t="str">
            <v>680000</v>
          </cell>
          <cell r="C1617" t="str">
            <v>Office Suppl &amp; Equip</v>
          </cell>
          <cell r="D1617" t="str">
            <v>161015899</v>
          </cell>
          <cell r="E1617" t="str">
            <v>006</v>
          </cell>
          <cell r="F1617" t="str">
            <v>*INV# 0669 09 79245 CARMEL MNT SAN DIEGO#669*</v>
          </cell>
          <cell r="G1617">
            <v>0</v>
          </cell>
          <cell r="H1617">
            <v>0</v>
          </cell>
          <cell r="I1617" t="str">
            <v>321874</v>
          </cell>
          <cell r="J1617" t="str">
            <v>HOME DEPOT COMMERCIAL ACCOUNT PROGR</v>
          </cell>
          <cell r="K1617">
            <v>26.79</v>
          </cell>
          <cell r="L1617">
            <v>38146</v>
          </cell>
        </row>
        <row r="1618">
          <cell r="A1618" t="str">
            <v>7098639</v>
          </cell>
          <cell r="B1618" t="str">
            <v>680000</v>
          </cell>
          <cell r="C1618" t="str">
            <v>Office Suppl &amp; Equip</v>
          </cell>
          <cell r="D1618" t="str">
            <v>161016619</v>
          </cell>
          <cell r="E1618" t="str">
            <v>006</v>
          </cell>
          <cell r="F1618" t="str">
            <v>*6035-3225-0351-3016</v>
          </cell>
          <cell r="G1618">
            <v>0</v>
          </cell>
          <cell r="H1618">
            <v>0</v>
          </cell>
          <cell r="I1618" t="str">
            <v>321874</v>
          </cell>
          <cell r="J1618" t="str">
            <v>HOME DEPOT COMMERCIAL ACCOUNT PROGR</v>
          </cell>
          <cell r="K1618">
            <v>27.55</v>
          </cell>
          <cell r="L1618">
            <v>38153</v>
          </cell>
        </row>
        <row r="1619">
          <cell r="A1619" t="str">
            <v>7098639</v>
          </cell>
          <cell r="B1619" t="str">
            <v>680000</v>
          </cell>
          <cell r="C1619" t="str">
            <v>Office Suppl &amp; Equip</v>
          </cell>
          <cell r="D1619" t="str">
            <v>230190</v>
          </cell>
          <cell r="E1619" t="str">
            <v>006</v>
          </cell>
          <cell r="F1619">
            <v>0</v>
          </cell>
          <cell r="G1619" t="str">
            <v>4886887</v>
          </cell>
          <cell r="H1619" t="str">
            <v>ORD 1850030203</v>
          </cell>
          <cell r="I1619" t="str">
            <v>399327</v>
          </cell>
          <cell r="J1619" t="str">
            <v>HERMAN MILLER WORKPLACE RESOURCE D/</v>
          </cell>
          <cell r="K1619">
            <v>60.4</v>
          </cell>
          <cell r="L1619">
            <v>38161</v>
          </cell>
        </row>
        <row r="1620">
          <cell r="A1620" t="str">
            <v>7098639</v>
          </cell>
          <cell r="B1620" t="str">
            <v>680000</v>
          </cell>
          <cell r="C1620" t="str">
            <v>Office Suppl &amp; Equip</v>
          </cell>
          <cell r="D1620" t="str">
            <v>5000301486</v>
          </cell>
          <cell r="E1620" t="str">
            <v>006</v>
          </cell>
          <cell r="F1620" t="str">
            <v>20600-4 NUTRI ALOE BODY LOTION</v>
          </cell>
          <cell r="G1620" t="str">
            <v>4876463</v>
          </cell>
          <cell r="H1620" t="str">
            <v>ORD 1850030203</v>
          </cell>
          <cell r="I1620" t="str">
            <v>230316</v>
          </cell>
          <cell r="J1620" t="str">
            <v>GR/IR Non coded 3</v>
          </cell>
          <cell r="K1620">
            <v>68.959999999999994</v>
          </cell>
          <cell r="L1620">
            <v>38146</v>
          </cell>
        </row>
        <row r="1621">
          <cell r="A1621" t="str">
            <v>7098639</v>
          </cell>
          <cell r="B1621" t="str">
            <v>680000</v>
          </cell>
          <cell r="C1621" t="str">
            <v>Office Suppl &amp; Equip</v>
          </cell>
          <cell r="D1621" t="str">
            <v>230190</v>
          </cell>
          <cell r="E1621" t="str">
            <v>006</v>
          </cell>
          <cell r="F1621">
            <v>0</v>
          </cell>
          <cell r="G1621" t="str">
            <v>4886887</v>
          </cell>
          <cell r="H1621" t="str">
            <v>ORD 1850030203</v>
          </cell>
          <cell r="I1621" t="str">
            <v>399327</v>
          </cell>
          <cell r="J1621" t="str">
            <v>HERMAN MILLER WORKPLACE RESOURCE D/</v>
          </cell>
          <cell r="K1621">
            <v>75.930000000000007</v>
          </cell>
          <cell r="L1621">
            <v>38161</v>
          </cell>
        </row>
        <row r="1622">
          <cell r="A1622" t="str">
            <v>7098639</v>
          </cell>
          <cell r="B1622" t="str">
            <v>680000</v>
          </cell>
          <cell r="C1622" t="str">
            <v>Office Suppl &amp; Equip</v>
          </cell>
          <cell r="D1622" t="str">
            <v>188040</v>
          </cell>
          <cell r="E1622" t="str">
            <v>006</v>
          </cell>
          <cell r="F1622">
            <v>0</v>
          </cell>
          <cell r="G1622" t="str">
            <v>4774616</v>
          </cell>
          <cell r="H1622" t="str">
            <v>ORD 1850030206</v>
          </cell>
          <cell r="I1622" t="str">
            <v>399327</v>
          </cell>
          <cell r="J1622" t="str">
            <v>HERMAN MILLER WORKPLACE RESOURCE D/</v>
          </cell>
          <cell r="K1622">
            <v>83.78</v>
          </cell>
          <cell r="L1622">
            <v>38139</v>
          </cell>
        </row>
        <row r="1623">
          <cell r="A1623" t="str">
            <v>7098639</v>
          </cell>
          <cell r="B1623" t="str">
            <v>680000</v>
          </cell>
          <cell r="C1623" t="str">
            <v>Office Suppl &amp; Equip</v>
          </cell>
          <cell r="D1623" t="str">
            <v>230190</v>
          </cell>
          <cell r="E1623" t="str">
            <v>006</v>
          </cell>
          <cell r="F1623">
            <v>0</v>
          </cell>
          <cell r="G1623" t="str">
            <v>4886887</v>
          </cell>
          <cell r="H1623" t="str">
            <v>ORD 1850030203</v>
          </cell>
          <cell r="I1623" t="str">
            <v>399327</v>
          </cell>
          <cell r="J1623" t="str">
            <v>HERMAN MILLER WORKPLACE RESOURCE D/</v>
          </cell>
          <cell r="K1623">
            <v>94.13</v>
          </cell>
          <cell r="L1623">
            <v>38161</v>
          </cell>
        </row>
        <row r="1624">
          <cell r="A1624" t="str">
            <v>7098639</v>
          </cell>
          <cell r="B1624" t="str">
            <v>680000</v>
          </cell>
          <cell r="C1624" t="str">
            <v>Office Suppl &amp; Equip</v>
          </cell>
          <cell r="D1624" t="str">
            <v>188040</v>
          </cell>
          <cell r="E1624" t="str">
            <v>006</v>
          </cell>
          <cell r="F1624">
            <v>0</v>
          </cell>
          <cell r="G1624" t="str">
            <v>4774616</v>
          </cell>
          <cell r="H1624" t="str">
            <v>ORD 1850030206</v>
          </cell>
          <cell r="I1624" t="str">
            <v>399327</v>
          </cell>
          <cell r="J1624" t="str">
            <v>HERMAN MILLER WORKPLACE RESOURCE D/</v>
          </cell>
          <cell r="K1624">
            <v>103.85</v>
          </cell>
          <cell r="L1624">
            <v>38139</v>
          </cell>
        </row>
        <row r="1625">
          <cell r="A1625" t="str">
            <v>7098639</v>
          </cell>
          <cell r="B1625" t="str">
            <v>680000</v>
          </cell>
          <cell r="C1625" t="str">
            <v>Office Suppl &amp; Equip</v>
          </cell>
          <cell r="D1625" t="str">
            <v>161015900</v>
          </cell>
          <cell r="E1625" t="str">
            <v>006</v>
          </cell>
          <cell r="F1625" t="str">
            <v>*INV#6656 00002 66387 SAN MARCOS,CA 6656*</v>
          </cell>
          <cell r="G1625">
            <v>0</v>
          </cell>
          <cell r="H1625">
            <v>0</v>
          </cell>
          <cell r="I1625" t="str">
            <v>321874</v>
          </cell>
          <cell r="J1625" t="str">
            <v>HOME DEPOT COMMERCIAL ACCOUNT PROGR</v>
          </cell>
          <cell r="K1625">
            <v>129.28</v>
          </cell>
          <cell r="L1625">
            <v>38146</v>
          </cell>
        </row>
        <row r="1626">
          <cell r="A1626" t="str">
            <v>7098639</v>
          </cell>
          <cell r="B1626" t="str">
            <v>680000</v>
          </cell>
          <cell r="C1626" t="str">
            <v>Office Suppl &amp; Equip</v>
          </cell>
          <cell r="D1626" t="str">
            <v>5000301486</v>
          </cell>
          <cell r="E1626" t="str">
            <v>006</v>
          </cell>
          <cell r="F1626" t="str">
            <v>60400-4 ROSEMARY MINT CONDITIONER</v>
          </cell>
          <cell r="G1626" t="str">
            <v>4876463</v>
          </cell>
          <cell r="H1626" t="str">
            <v>ORD 1850030203</v>
          </cell>
          <cell r="I1626" t="str">
            <v>230316</v>
          </cell>
          <cell r="J1626" t="str">
            <v>GR/IR Non coded 3</v>
          </cell>
          <cell r="K1626">
            <v>135.77000000000001</v>
          </cell>
          <cell r="L1626">
            <v>38146</v>
          </cell>
        </row>
        <row r="1627">
          <cell r="A1627" t="str">
            <v>7098639</v>
          </cell>
          <cell r="B1627" t="str">
            <v>680000</v>
          </cell>
          <cell r="C1627" t="str">
            <v>Office Suppl &amp; Equip</v>
          </cell>
          <cell r="D1627" t="str">
            <v>161015910</v>
          </cell>
          <cell r="E1627" t="str">
            <v>006</v>
          </cell>
          <cell r="F1627" t="str">
            <v>*SKIN CANCER SCREENING 051904*</v>
          </cell>
          <cell r="G1627">
            <v>0</v>
          </cell>
          <cell r="H1627" t="str">
            <v>ORD 1850030203</v>
          </cell>
          <cell r="I1627" t="str">
            <v>386846</v>
          </cell>
          <cell r="J1627" t="str">
            <v>KAISER PERMANENTE-SALES &amp; MARKETING</v>
          </cell>
          <cell r="K1627">
            <v>215.5</v>
          </cell>
          <cell r="L1627">
            <v>38146</v>
          </cell>
        </row>
        <row r="1628">
          <cell r="A1628" t="str">
            <v>7098639</v>
          </cell>
          <cell r="B1628" t="str">
            <v>680000</v>
          </cell>
          <cell r="C1628" t="str">
            <v>Office Suppl &amp; Equip</v>
          </cell>
          <cell r="D1628" t="str">
            <v>5000321939</v>
          </cell>
          <cell r="E1628" t="str">
            <v>006</v>
          </cell>
          <cell r="F1628" t="str">
            <v>6225-0603 MARKERBOARD BRACKETS</v>
          </cell>
          <cell r="G1628" t="str">
            <v>4849742</v>
          </cell>
          <cell r="H1628" t="str">
            <v>ORD 1850030203</v>
          </cell>
          <cell r="I1628" t="str">
            <v>230316</v>
          </cell>
          <cell r="J1628" t="str">
            <v>GR/IR Non coded 3</v>
          </cell>
          <cell r="K1628">
            <v>271.52999999999997</v>
          </cell>
          <cell r="L1628">
            <v>38155</v>
          </cell>
        </row>
        <row r="1629">
          <cell r="A1629" t="str">
            <v>7098639</v>
          </cell>
          <cell r="B1629" t="str">
            <v>680000</v>
          </cell>
          <cell r="C1629" t="str">
            <v>Office Suppl &amp; Equip</v>
          </cell>
          <cell r="D1629" t="str">
            <v>5000321939</v>
          </cell>
          <cell r="E1629" t="str">
            <v>006</v>
          </cell>
          <cell r="F1629" t="str">
            <v>NCES-16-S END-OF-RUN SEGMENTED 16" STEEL</v>
          </cell>
          <cell r="G1629" t="str">
            <v>4849742</v>
          </cell>
          <cell r="H1629" t="str">
            <v>ORD 1850030203</v>
          </cell>
          <cell r="I1629" t="str">
            <v>230316</v>
          </cell>
          <cell r="J1629" t="str">
            <v>GR/IR Non coded 3</v>
          </cell>
          <cell r="K1629">
            <v>278.32</v>
          </cell>
          <cell r="L1629">
            <v>38155</v>
          </cell>
        </row>
        <row r="1630">
          <cell r="A1630" t="str">
            <v>7098639</v>
          </cell>
          <cell r="B1630" t="str">
            <v>680000</v>
          </cell>
          <cell r="C1630" t="str">
            <v>Office Suppl &amp; Equip</v>
          </cell>
          <cell r="D1630" t="str">
            <v>496021309</v>
          </cell>
          <cell r="E1630" t="str">
            <v>006</v>
          </cell>
          <cell r="F1630" t="str">
            <v>*OFFICALS VISION SPORTS JOEY GARCIA</v>
          </cell>
          <cell r="G1630">
            <v>0</v>
          </cell>
          <cell r="H1630" t="str">
            <v>ORD 1850030203</v>
          </cell>
          <cell r="I1630" t="str">
            <v>437085</v>
          </cell>
          <cell r="J1630" t="str">
            <v>JOSEPH L GARCIA</v>
          </cell>
          <cell r="K1630">
            <v>280</v>
          </cell>
          <cell r="L1630">
            <v>38140</v>
          </cell>
        </row>
        <row r="1631">
          <cell r="A1631" t="str">
            <v>7098639</v>
          </cell>
          <cell r="B1631" t="str">
            <v>680000</v>
          </cell>
          <cell r="C1631" t="str">
            <v>Office Suppl &amp; Equip</v>
          </cell>
          <cell r="D1631" t="str">
            <v>161015977</v>
          </cell>
          <cell r="E1631" t="str">
            <v>006</v>
          </cell>
          <cell r="F1631" t="str">
            <v>5/18/2004</v>
          </cell>
          <cell r="G1631">
            <v>0</v>
          </cell>
          <cell r="H1631" t="str">
            <v>ORD 1850030203</v>
          </cell>
          <cell r="I1631" t="str">
            <v>378592</v>
          </cell>
          <cell r="J1631" t="str">
            <v>RAPHAELS PARTY RENTALS</v>
          </cell>
          <cell r="K1631">
            <v>283.87</v>
          </cell>
          <cell r="L1631">
            <v>38146</v>
          </cell>
        </row>
        <row r="1632">
          <cell r="A1632" t="str">
            <v>7098639</v>
          </cell>
          <cell r="B1632" t="str">
            <v>680000</v>
          </cell>
          <cell r="C1632" t="str">
            <v>Office Suppl &amp; Equip</v>
          </cell>
          <cell r="D1632" t="str">
            <v>5000301486</v>
          </cell>
          <cell r="E1632" t="str">
            <v>006</v>
          </cell>
          <cell r="F1632" t="str">
            <v>60600-4 CITRUS BASIL BODY WASH SHAMPOO</v>
          </cell>
          <cell r="G1632" t="str">
            <v>4876463</v>
          </cell>
          <cell r="H1632" t="str">
            <v>ORD 1850030203</v>
          </cell>
          <cell r="I1632" t="str">
            <v>230316</v>
          </cell>
          <cell r="J1632" t="str">
            <v>GR/IR Non coded 3</v>
          </cell>
          <cell r="K1632">
            <v>633.57000000000005</v>
          </cell>
          <cell r="L1632">
            <v>38146</v>
          </cell>
        </row>
        <row r="1633">
          <cell r="A1633" t="str">
            <v>7098639</v>
          </cell>
          <cell r="B1633" t="str">
            <v>680000</v>
          </cell>
          <cell r="C1633" t="str">
            <v>Office Suppl &amp; Equip</v>
          </cell>
          <cell r="D1633" t="str">
            <v>229994</v>
          </cell>
          <cell r="E1633" t="str">
            <v>006</v>
          </cell>
          <cell r="F1633">
            <v>0</v>
          </cell>
          <cell r="G1633" t="str">
            <v>4849742</v>
          </cell>
          <cell r="H1633" t="str">
            <v>ORD 1850030203</v>
          </cell>
          <cell r="I1633" t="str">
            <v>303705</v>
          </cell>
          <cell r="J1633" t="str">
            <v>HAWORTH, INC.</v>
          </cell>
          <cell r="K1633">
            <v>668.05</v>
          </cell>
          <cell r="L1633">
            <v>38160</v>
          </cell>
        </row>
        <row r="1634">
          <cell r="A1634" t="str">
            <v>7098639</v>
          </cell>
          <cell r="B1634" t="str">
            <v>680000</v>
          </cell>
          <cell r="C1634" t="str">
            <v>Office Suppl &amp; Equip</v>
          </cell>
          <cell r="D1634" t="str">
            <v>5000319091</v>
          </cell>
          <cell r="E1634" t="str">
            <v>006</v>
          </cell>
          <cell r="F1634" t="str">
            <v>TK-18,21204099 for DP85F fax machine</v>
          </cell>
          <cell r="G1634" t="str">
            <v>4883399</v>
          </cell>
          <cell r="H1634" t="str">
            <v>ORD 1850030203</v>
          </cell>
          <cell r="I1634" t="str">
            <v>230316</v>
          </cell>
          <cell r="J1634" t="str">
            <v>GR/IR Non coded 3</v>
          </cell>
          <cell r="K1634">
            <v>732.7</v>
          </cell>
          <cell r="L1634">
            <v>38154</v>
          </cell>
        </row>
        <row r="1635">
          <cell r="A1635" t="str">
            <v>7098639</v>
          </cell>
          <cell r="B1635" t="str">
            <v>680000</v>
          </cell>
          <cell r="C1635" t="str">
            <v>Office Suppl &amp; Equip</v>
          </cell>
          <cell r="D1635" t="str">
            <v>210161</v>
          </cell>
          <cell r="E1635" t="str">
            <v>006</v>
          </cell>
          <cell r="F1635">
            <v>0</v>
          </cell>
          <cell r="G1635" t="str">
            <v>4500000299</v>
          </cell>
          <cell r="H1635">
            <v>0</v>
          </cell>
          <cell r="I1635" t="str">
            <v>305230</v>
          </cell>
          <cell r="J1635" t="str">
            <v>IKON OFFICE SOLUTIONS</v>
          </cell>
          <cell r="K1635">
            <v>1105.1099999999999</v>
          </cell>
          <cell r="L1635">
            <v>38152</v>
          </cell>
        </row>
        <row r="1636">
          <cell r="A1636" t="str">
            <v>7098639</v>
          </cell>
          <cell r="B1636" t="str">
            <v>680000</v>
          </cell>
          <cell r="C1636" t="str">
            <v>Office Suppl &amp; Equip</v>
          </cell>
          <cell r="D1636" t="str">
            <v>5000321939</v>
          </cell>
          <cell r="E1636" t="str">
            <v>006</v>
          </cell>
          <cell r="F1636" t="str">
            <v>SPLB-9143 MARKERBOARD 16"HX24"W WITH LIP</v>
          </cell>
          <cell r="G1636" t="str">
            <v>4849742</v>
          </cell>
          <cell r="H1636" t="str">
            <v>ORD 1850030203</v>
          </cell>
          <cell r="I1636" t="str">
            <v>230316</v>
          </cell>
          <cell r="J1636" t="str">
            <v>GR/IR Non coded 3</v>
          </cell>
          <cell r="K1636">
            <v>1846.41</v>
          </cell>
          <cell r="L1636">
            <v>38155</v>
          </cell>
        </row>
        <row r="1637">
          <cell r="A1637" t="str">
            <v>7098639</v>
          </cell>
          <cell r="B1637" t="str">
            <v>680000</v>
          </cell>
          <cell r="C1637" t="str">
            <v>Office Suppl &amp; Equip</v>
          </cell>
          <cell r="D1637" t="str">
            <v>5000321940</v>
          </cell>
          <cell r="E1637" t="str">
            <v>006</v>
          </cell>
          <cell r="F1637" t="str">
            <v>3680NB1 FILE CABINET 36WX80"H FINISH</v>
          </cell>
          <cell r="G1637" t="str">
            <v>4810281</v>
          </cell>
          <cell r="H1637" t="str">
            <v>ORD 1850030206</v>
          </cell>
          <cell r="I1637" t="str">
            <v>230316</v>
          </cell>
          <cell r="J1637" t="str">
            <v>GR/IR Non coded 3</v>
          </cell>
          <cell r="K1637">
            <v>3714.15</v>
          </cell>
          <cell r="L1637">
            <v>38155</v>
          </cell>
        </row>
        <row r="1638">
          <cell r="A1638" t="str">
            <v>7098639</v>
          </cell>
          <cell r="B1638" t="str">
            <v>681000</v>
          </cell>
          <cell r="C1638" t="str">
            <v>Postal Courier Serv</v>
          </cell>
          <cell r="D1638" t="str">
            <v>496021680</v>
          </cell>
          <cell r="E1638" t="str">
            <v>006</v>
          </cell>
          <cell r="F1638" t="str">
            <v>*ACCT#15699077 RESERVE ACCOUNT</v>
          </cell>
          <cell r="G1638">
            <v>0</v>
          </cell>
          <cell r="H1638">
            <v>0</v>
          </cell>
          <cell r="I1638" t="str">
            <v>323043</v>
          </cell>
          <cell r="J1638" t="str">
            <v>POSTAGE BY PHONE SYSTEM</v>
          </cell>
          <cell r="K1638">
            <v>1500</v>
          </cell>
          <cell r="L1638">
            <v>38142</v>
          </cell>
        </row>
        <row r="1639">
          <cell r="A1639" t="str">
            <v>7098639</v>
          </cell>
          <cell r="B1639" t="str">
            <v>681000</v>
          </cell>
          <cell r="C1639" t="str">
            <v>Postal Courier Serv</v>
          </cell>
          <cell r="D1639" t="str">
            <v>751001748</v>
          </cell>
          <cell r="E1639" t="str">
            <v>006</v>
          </cell>
          <cell r="F1639" t="str">
            <v>P5 Correct A/P Auto Accural</v>
          </cell>
          <cell r="G1639">
            <v>0</v>
          </cell>
          <cell r="H1639" t="str">
            <v>ORD 1850030200</v>
          </cell>
          <cell r="I1639" t="str">
            <v>620210</v>
          </cell>
          <cell r="J1639" t="str">
            <v>Free-time Activitie</v>
          </cell>
          <cell r="K1639">
            <v>-1109.55</v>
          </cell>
          <cell r="L1639">
            <v>38138</v>
          </cell>
        </row>
        <row r="1640">
          <cell r="A1640" t="str">
            <v>7098639</v>
          </cell>
          <cell r="B1640" t="str">
            <v>681100</v>
          </cell>
          <cell r="C1640" t="str">
            <v>Off phon-C Costs</v>
          </cell>
          <cell r="D1640" t="str">
            <v>360001123</v>
          </cell>
          <cell r="E1640" t="str">
            <v>006</v>
          </cell>
          <cell r="F1640" t="str">
            <v>*ACCT#7043370508 SBC 6/04</v>
          </cell>
          <cell r="G1640">
            <v>0</v>
          </cell>
          <cell r="H1640">
            <v>0</v>
          </cell>
          <cell r="I1640" t="str">
            <v>312561</v>
          </cell>
          <cell r="J1640" t="str">
            <v>SBC</v>
          </cell>
          <cell r="K1640">
            <v>98.77</v>
          </cell>
          <cell r="L1640">
            <v>38160</v>
          </cell>
        </row>
        <row r="1641">
          <cell r="A1641" t="str">
            <v>7098639</v>
          </cell>
          <cell r="B1641" t="str">
            <v>691300</v>
          </cell>
          <cell r="C1641" t="str">
            <v>Consultants</v>
          </cell>
          <cell r="D1641" t="str">
            <v>758003847</v>
          </cell>
          <cell r="E1641" t="str">
            <v>006</v>
          </cell>
          <cell r="F1641" t="str">
            <v>RCR#3162-SAN DIEGO-EML SUBLEASE LEGAL FEES</v>
          </cell>
          <cell r="G1641">
            <v>0</v>
          </cell>
          <cell r="H1641" t="str">
            <v>ORD 1850030206</v>
          </cell>
          <cell r="I1641" t="str">
            <v>171900</v>
          </cell>
          <cell r="J1641" t="str">
            <v>Oth Prep Exp Acc Inc</v>
          </cell>
          <cell r="K1641">
            <v>482.17</v>
          </cell>
          <cell r="L1641">
            <v>38158</v>
          </cell>
        </row>
        <row r="1642">
          <cell r="A1642" t="str">
            <v>7098639</v>
          </cell>
          <cell r="B1642" t="str">
            <v>693000</v>
          </cell>
          <cell r="C1642" t="str">
            <v>Hired Labour</v>
          </cell>
          <cell r="D1642" t="str">
            <v>751001670</v>
          </cell>
          <cell r="E1642" t="str">
            <v>006</v>
          </cell>
          <cell r="F1642" t="str">
            <v>Archer Mailroom Services</v>
          </cell>
          <cell r="G1642">
            <v>0</v>
          </cell>
          <cell r="H1642" t="str">
            <v>ORD 1850030205</v>
          </cell>
          <cell r="I1642" t="str">
            <v>273900</v>
          </cell>
          <cell r="J1642" t="str">
            <v>Other Accr Expenses</v>
          </cell>
          <cell r="K1642">
            <v>-66265</v>
          </cell>
          <cell r="L1642">
            <v>38138</v>
          </cell>
        </row>
        <row r="1643">
          <cell r="A1643" t="str">
            <v>7098639</v>
          </cell>
          <cell r="B1643" t="str">
            <v>700000</v>
          </cell>
          <cell r="C1643" t="str">
            <v>Real Estate Repair</v>
          </cell>
          <cell r="D1643" t="str">
            <v>201787</v>
          </cell>
          <cell r="E1643" t="str">
            <v>006</v>
          </cell>
          <cell r="F1643">
            <v>0</v>
          </cell>
          <cell r="G1643" t="str">
            <v>4259653</v>
          </cell>
          <cell r="H1643">
            <v>0</v>
          </cell>
          <cell r="I1643" t="str">
            <v>323379</v>
          </cell>
          <cell r="J1643" t="str">
            <v>SCHINDLER ELEVATOR CORPORATION</v>
          </cell>
          <cell r="K1643">
            <v>450</v>
          </cell>
          <cell r="L1643">
            <v>38147</v>
          </cell>
        </row>
        <row r="1644">
          <cell r="A1644" t="str">
            <v>7098639</v>
          </cell>
          <cell r="B1644" t="str">
            <v>700000</v>
          </cell>
          <cell r="C1644" t="str">
            <v>Real Estate Repair</v>
          </cell>
          <cell r="D1644" t="str">
            <v>201790</v>
          </cell>
          <cell r="E1644" t="str">
            <v>006</v>
          </cell>
          <cell r="F1644">
            <v>0</v>
          </cell>
          <cell r="G1644" t="str">
            <v>4259653</v>
          </cell>
          <cell r="H1644">
            <v>0</v>
          </cell>
          <cell r="I1644" t="str">
            <v>323379</v>
          </cell>
          <cell r="J1644" t="str">
            <v>SCHINDLER ELEVATOR CORPORATION</v>
          </cell>
          <cell r="K1644">
            <v>511.63</v>
          </cell>
          <cell r="L1644">
            <v>38147</v>
          </cell>
        </row>
        <row r="1645">
          <cell r="A1645" t="str">
            <v>7098639</v>
          </cell>
          <cell r="B1645" t="str">
            <v>700000</v>
          </cell>
          <cell r="C1645" t="str">
            <v>Real Estate Repair</v>
          </cell>
          <cell r="D1645" t="str">
            <v>204675</v>
          </cell>
          <cell r="E1645" t="str">
            <v>006</v>
          </cell>
          <cell r="F1645">
            <v>0</v>
          </cell>
          <cell r="G1645" t="str">
            <v>4670666</v>
          </cell>
          <cell r="H1645">
            <v>0</v>
          </cell>
          <cell r="I1645" t="str">
            <v>360684</v>
          </cell>
          <cell r="J1645" t="str">
            <v>BAY CITY ELECTRIC WORKS, INC</v>
          </cell>
          <cell r="K1645">
            <v>771.24</v>
          </cell>
          <cell r="L1645">
            <v>38148</v>
          </cell>
        </row>
        <row r="1646">
          <cell r="A1646" t="str">
            <v>7098639</v>
          </cell>
          <cell r="B1646" t="str">
            <v>700000</v>
          </cell>
          <cell r="C1646" t="str">
            <v>Real Estate Repair</v>
          </cell>
          <cell r="D1646" t="str">
            <v>496022870</v>
          </cell>
          <cell r="E1646" t="str">
            <v>006</v>
          </cell>
          <cell r="F1646" t="str">
            <v>*BOILER/MACHINERY INSUR.B2 SAN DIEGO 4/1/04-4/1/05</v>
          </cell>
          <cell r="G1646">
            <v>0</v>
          </cell>
          <cell r="H1646" t="str">
            <v>ORD 1850030203</v>
          </cell>
          <cell r="I1646" t="str">
            <v>390097</v>
          </cell>
          <cell r="J1646" t="str">
            <v>NK SAN DIEGO LLC</v>
          </cell>
          <cell r="K1646">
            <v>1233</v>
          </cell>
          <cell r="L1646">
            <v>38154</v>
          </cell>
        </row>
        <row r="1647">
          <cell r="A1647" t="str">
            <v>7098639</v>
          </cell>
          <cell r="B1647" t="str">
            <v>700000</v>
          </cell>
          <cell r="C1647" t="str">
            <v>Real Estate Repair</v>
          </cell>
          <cell r="D1647" t="str">
            <v>751001748</v>
          </cell>
          <cell r="E1647" t="str">
            <v>006</v>
          </cell>
          <cell r="F1647" t="str">
            <v>P5 Correct A/P Auto Accural</v>
          </cell>
          <cell r="G1647">
            <v>0</v>
          </cell>
          <cell r="H1647" t="str">
            <v>ORD 1850030205</v>
          </cell>
          <cell r="I1647" t="str">
            <v>620210</v>
          </cell>
          <cell r="J1647" t="str">
            <v>Free-time Activitie</v>
          </cell>
          <cell r="K1647">
            <v>-2332.52</v>
          </cell>
          <cell r="L1647">
            <v>38138</v>
          </cell>
        </row>
        <row r="1648">
          <cell r="A1648" t="str">
            <v>7098639</v>
          </cell>
          <cell r="B1648" t="str">
            <v>700050</v>
          </cell>
          <cell r="C1648" t="str">
            <v>Real Est Maint</v>
          </cell>
          <cell r="D1648" t="str">
            <v>190875</v>
          </cell>
          <cell r="E1648" t="str">
            <v>006</v>
          </cell>
          <cell r="F1648">
            <v>0</v>
          </cell>
          <cell r="G1648" t="str">
            <v>4500009773</v>
          </cell>
          <cell r="H1648" t="str">
            <v>ORD 1850030203</v>
          </cell>
          <cell r="I1648" t="str">
            <v>436977</v>
          </cell>
          <cell r="J1648" t="str">
            <v>THE WATT STOPPER INC</v>
          </cell>
          <cell r="K1648">
            <v>9</v>
          </cell>
          <cell r="L1648">
            <v>38140</v>
          </cell>
        </row>
        <row r="1649">
          <cell r="A1649" t="str">
            <v>7098639</v>
          </cell>
          <cell r="B1649" t="str">
            <v>700050</v>
          </cell>
          <cell r="C1649" t="str">
            <v>Real Est Maint</v>
          </cell>
          <cell r="D1649" t="str">
            <v>188200</v>
          </cell>
          <cell r="E1649" t="str">
            <v>006</v>
          </cell>
          <cell r="F1649">
            <v>0</v>
          </cell>
          <cell r="G1649" t="str">
            <v>4500002743</v>
          </cell>
          <cell r="H1649" t="str">
            <v>ORD 1850030203</v>
          </cell>
          <cell r="I1649" t="str">
            <v>430133</v>
          </cell>
          <cell r="J1649" t="str">
            <v>JOHNSON &amp; JENNINGS</v>
          </cell>
          <cell r="K1649">
            <v>53.88</v>
          </cell>
          <cell r="L1649">
            <v>38139</v>
          </cell>
        </row>
        <row r="1650">
          <cell r="A1650" t="str">
            <v>7098639</v>
          </cell>
          <cell r="B1650" t="str">
            <v>700050</v>
          </cell>
          <cell r="C1650" t="str">
            <v>Real Est Maint</v>
          </cell>
          <cell r="D1650" t="str">
            <v>188200</v>
          </cell>
          <cell r="E1650" t="str">
            <v>006</v>
          </cell>
          <cell r="F1650">
            <v>0</v>
          </cell>
          <cell r="G1650" t="str">
            <v>4500002743</v>
          </cell>
          <cell r="H1650" t="str">
            <v>ORD 1850030203</v>
          </cell>
          <cell r="I1650" t="str">
            <v>430133</v>
          </cell>
          <cell r="J1650" t="str">
            <v>JOHNSON &amp; JENNINGS</v>
          </cell>
          <cell r="K1650">
            <v>59.27</v>
          </cell>
          <cell r="L1650">
            <v>38139</v>
          </cell>
        </row>
        <row r="1651">
          <cell r="A1651" t="str">
            <v>7098639</v>
          </cell>
          <cell r="B1651" t="str">
            <v>700050</v>
          </cell>
          <cell r="C1651" t="str">
            <v>Real Est Maint</v>
          </cell>
          <cell r="D1651" t="str">
            <v>188200</v>
          </cell>
          <cell r="E1651" t="str">
            <v>006</v>
          </cell>
          <cell r="F1651">
            <v>0</v>
          </cell>
          <cell r="G1651" t="str">
            <v>4500002743</v>
          </cell>
          <cell r="H1651" t="str">
            <v>ORD 1850030203</v>
          </cell>
          <cell r="I1651" t="str">
            <v>430133</v>
          </cell>
          <cell r="J1651" t="str">
            <v>JOHNSON &amp; JENNINGS</v>
          </cell>
          <cell r="K1651">
            <v>80.819999999999993</v>
          </cell>
          <cell r="L1651">
            <v>38139</v>
          </cell>
        </row>
        <row r="1652">
          <cell r="A1652" t="str">
            <v>7098639</v>
          </cell>
          <cell r="B1652" t="str">
            <v>700050</v>
          </cell>
          <cell r="C1652" t="str">
            <v>Real Est Maint</v>
          </cell>
          <cell r="D1652" t="str">
            <v>227656</v>
          </cell>
          <cell r="E1652" t="str">
            <v>006</v>
          </cell>
          <cell r="F1652">
            <v>0</v>
          </cell>
          <cell r="G1652" t="str">
            <v>4615931</v>
          </cell>
          <cell r="H1652">
            <v>0</v>
          </cell>
          <cell r="I1652" t="str">
            <v>359343</v>
          </cell>
          <cell r="J1652" t="str">
            <v>TRIDENT TECHNOLOGIES INC</v>
          </cell>
          <cell r="K1652">
            <v>235.97</v>
          </cell>
          <cell r="L1652">
            <v>38147</v>
          </cell>
        </row>
        <row r="1653">
          <cell r="A1653" t="str">
            <v>7098639</v>
          </cell>
          <cell r="B1653" t="str">
            <v>700050</v>
          </cell>
          <cell r="C1653" t="str">
            <v>Real Est Maint</v>
          </cell>
          <cell r="D1653" t="str">
            <v>188200</v>
          </cell>
          <cell r="E1653" t="str">
            <v>006</v>
          </cell>
          <cell r="F1653">
            <v>0</v>
          </cell>
          <cell r="G1653" t="str">
            <v>4500002743</v>
          </cell>
          <cell r="H1653" t="str">
            <v>ORD 1850030203</v>
          </cell>
          <cell r="I1653" t="str">
            <v>430133</v>
          </cell>
          <cell r="J1653" t="str">
            <v>JOHNSON &amp; JENNINGS</v>
          </cell>
          <cell r="K1653">
            <v>241.36</v>
          </cell>
          <cell r="L1653">
            <v>38139</v>
          </cell>
        </row>
        <row r="1654">
          <cell r="A1654" t="str">
            <v>7098639</v>
          </cell>
          <cell r="B1654" t="str">
            <v>700050</v>
          </cell>
          <cell r="C1654" t="str">
            <v>Real Est Maint</v>
          </cell>
          <cell r="D1654" t="str">
            <v>187798</v>
          </cell>
          <cell r="E1654" t="str">
            <v>006</v>
          </cell>
          <cell r="F1654">
            <v>0</v>
          </cell>
          <cell r="G1654" t="str">
            <v>4500000350</v>
          </cell>
          <cell r="H1654">
            <v>0</v>
          </cell>
          <cell r="I1654" t="str">
            <v>410965</v>
          </cell>
          <cell r="J1654" t="str">
            <v>SOUTH BAY RESTAURANT EQUIPMENT SERV</v>
          </cell>
          <cell r="K1654">
            <v>374</v>
          </cell>
          <cell r="L1654">
            <v>38139</v>
          </cell>
        </row>
        <row r="1655">
          <cell r="A1655" t="str">
            <v>7098639</v>
          </cell>
          <cell r="B1655" t="str">
            <v>700050</v>
          </cell>
          <cell r="C1655" t="str">
            <v>Real Est Maint</v>
          </cell>
          <cell r="D1655" t="str">
            <v>188200</v>
          </cell>
          <cell r="E1655" t="str">
            <v>006</v>
          </cell>
          <cell r="F1655">
            <v>0</v>
          </cell>
          <cell r="G1655" t="str">
            <v>4500002743</v>
          </cell>
          <cell r="H1655" t="str">
            <v>ORD 1850030203</v>
          </cell>
          <cell r="I1655" t="str">
            <v>430133</v>
          </cell>
          <cell r="J1655" t="str">
            <v>JOHNSON &amp; JENNINGS</v>
          </cell>
          <cell r="K1655">
            <v>377.13</v>
          </cell>
          <cell r="L1655">
            <v>38139</v>
          </cell>
        </row>
        <row r="1656">
          <cell r="A1656" t="str">
            <v>7098639</v>
          </cell>
          <cell r="B1656" t="str">
            <v>700050</v>
          </cell>
          <cell r="C1656" t="str">
            <v>Real Est Maint</v>
          </cell>
          <cell r="D1656" t="str">
            <v>188200</v>
          </cell>
          <cell r="E1656" t="str">
            <v>006</v>
          </cell>
          <cell r="F1656">
            <v>0</v>
          </cell>
          <cell r="G1656" t="str">
            <v>4500002743</v>
          </cell>
          <cell r="H1656" t="str">
            <v>ORD 1850030203</v>
          </cell>
          <cell r="I1656" t="str">
            <v>430133</v>
          </cell>
          <cell r="J1656" t="str">
            <v>JOHNSON &amp; JENNINGS</v>
          </cell>
          <cell r="K1656">
            <v>433.16</v>
          </cell>
          <cell r="L1656">
            <v>38139</v>
          </cell>
        </row>
        <row r="1657">
          <cell r="A1657" t="str">
            <v>7098639</v>
          </cell>
          <cell r="B1657" t="str">
            <v>700050</v>
          </cell>
          <cell r="C1657" t="str">
            <v>Real Est Maint</v>
          </cell>
          <cell r="D1657" t="str">
            <v>201921</v>
          </cell>
          <cell r="E1657" t="str">
            <v>006</v>
          </cell>
          <cell r="F1657">
            <v>0</v>
          </cell>
          <cell r="G1657" t="str">
            <v>4750922</v>
          </cell>
          <cell r="H1657">
            <v>0</v>
          </cell>
          <cell r="I1657" t="str">
            <v>360542</v>
          </cell>
          <cell r="J1657" t="str">
            <v>SCHMIDT FIRE PROTECTION CO INC</v>
          </cell>
          <cell r="K1657">
            <v>651</v>
          </cell>
          <cell r="L1657">
            <v>38147</v>
          </cell>
        </row>
        <row r="1658">
          <cell r="A1658" t="str">
            <v>7098639</v>
          </cell>
          <cell r="B1658" t="str">
            <v>700050</v>
          </cell>
          <cell r="C1658" t="str">
            <v>Real Est Maint</v>
          </cell>
          <cell r="D1658" t="str">
            <v>201921</v>
          </cell>
          <cell r="E1658" t="str">
            <v>006</v>
          </cell>
          <cell r="F1658">
            <v>0</v>
          </cell>
          <cell r="G1658" t="str">
            <v>4750922</v>
          </cell>
          <cell r="H1658">
            <v>0</v>
          </cell>
          <cell r="I1658" t="str">
            <v>360542</v>
          </cell>
          <cell r="J1658" t="str">
            <v>SCHMIDT FIRE PROTECTION CO INC</v>
          </cell>
          <cell r="K1658">
            <v>1170</v>
          </cell>
          <cell r="L1658">
            <v>38147</v>
          </cell>
        </row>
        <row r="1659">
          <cell r="A1659" t="str">
            <v>7098639</v>
          </cell>
          <cell r="B1659" t="str">
            <v>700050</v>
          </cell>
          <cell r="C1659" t="str">
            <v>Real Est Maint</v>
          </cell>
          <cell r="D1659" t="str">
            <v>188200</v>
          </cell>
          <cell r="E1659" t="str">
            <v>006</v>
          </cell>
          <cell r="F1659">
            <v>0</v>
          </cell>
          <cell r="G1659" t="str">
            <v>4500002743</v>
          </cell>
          <cell r="H1659" t="str">
            <v>ORD 1850030203</v>
          </cell>
          <cell r="I1659" t="str">
            <v>430133</v>
          </cell>
          <cell r="J1659" t="str">
            <v>JOHNSON &amp; JENNINGS</v>
          </cell>
          <cell r="K1659">
            <v>3814.35</v>
          </cell>
          <cell r="L1659">
            <v>38139</v>
          </cell>
        </row>
        <row r="1660">
          <cell r="A1660" t="str">
            <v>7098639</v>
          </cell>
          <cell r="B1660" t="str">
            <v>700050</v>
          </cell>
          <cell r="C1660" t="str">
            <v>Real Est Maint</v>
          </cell>
          <cell r="D1660" t="str">
            <v>360001058</v>
          </cell>
          <cell r="E1660" t="str">
            <v>006</v>
          </cell>
          <cell r="F1660" t="str">
            <v>INV#6/04PREFUNDTX CUSHMAN WAKEFIELD</v>
          </cell>
          <cell r="G1660">
            <v>0</v>
          </cell>
          <cell r="H1660" t="str">
            <v>ORD 1850030200</v>
          </cell>
          <cell r="I1660" t="str">
            <v>325209</v>
          </cell>
          <cell r="J1660" t="str">
            <v>CUSHMAN &amp; WAKEFIELD OF TEXAS, INC.</v>
          </cell>
          <cell r="K1660">
            <v>5000</v>
          </cell>
          <cell r="L1660">
            <v>38146</v>
          </cell>
        </row>
        <row r="1661">
          <cell r="A1661" t="str">
            <v>7098639</v>
          </cell>
          <cell r="B1661" t="str">
            <v>700050</v>
          </cell>
          <cell r="C1661" t="str">
            <v>Real Est Maint</v>
          </cell>
          <cell r="D1661" t="str">
            <v>187098</v>
          </cell>
          <cell r="E1661" t="str">
            <v>006</v>
          </cell>
          <cell r="F1661">
            <v>0</v>
          </cell>
          <cell r="G1661" t="str">
            <v>4500006573</v>
          </cell>
          <cell r="H1661" t="str">
            <v>ORD 1850030203</v>
          </cell>
          <cell r="I1661" t="str">
            <v>379741</v>
          </cell>
          <cell r="J1661" t="str">
            <v>POWERWARE</v>
          </cell>
          <cell r="K1661">
            <v>8331.23</v>
          </cell>
          <cell r="L1661">
            <v>38139</v>
          </cell>
        </row>
        <row r="1662">
          <cell r="A1662" t="str">
            <v>7098639</v>
          </cell>
          <cell r="B1662" t="str">
            <v>700100</v>
          </cell>
          <cell r="C1662" t="str">
            <v>Park &amp; Grds Main</v>
          </cell>
          <cell r="D1662" t="str">
            <v>751001748</v>
          </cell>
          <cell r="E1662" t="str">
            <v>006</v>
          </cell>
          <cell r="F1662" t="str">
            <v>P5 Correct A/P Auto Accural</v>
          </cell>
          <cell r="G1662">
            <v>0</v>
          </cell>
          <cell r="H1662" t="str">
            <v>ORD 1850030200</v>
          </cell>
          <cell r="I1662" t="str">
            <v>620210</v>
          </cell>
          <cell r="J1662" t="str">
            <v>Free-time Activitie</v>
          </cell>
          <cell r="K1662">
            <v>-142.49</v>
          </cell>
          <cell r="L1662">
            <v>38138</v>
          </cell>
        </row>
        <row r="1663">
          <cell r="A1663" t="str">
            <v>7098639</v>
          </cell>
          <cell r="B1663" t="str">
            <v>700100</v>
          </cell>
          <cell r="C1663" t="str">
            <v>Park &amp; Grds Main</v>
          </cell>
          <cell r="D1663" t="str">
            <v>751001670</v>
          </cell>
          <cell r="E1663" t="str">
            <v>006</v>
          </cell>
          <cell r="F1663" t="str">
            <v>Scripps Association Dues (paid quarterly)</v>
          </cell>
          <cell r="G1663">
            <v>0</v>
          </cell>
          <cell r="H1663" t="str">
            <v>ORD 1850030203</v>
          </cell>
          <cell r="I1663" t="str">
            <v>273900</v>
          </cell>
          <cell r="J1663" t="str">
            <v>Other Accr Expenses</v>
          </cell>
          <cell r="K1663">
            <v>-17373.36</v>
          </cell>
          <cell r="L1663">
            <v>38138</v>
          </cell>
        </row>
        <row r="1664">
          <cell r="A1664" t="str">
            <v>7098639</v>
          </cell>
          <cell r="B1664" t="str">
            <v>700100</v>
          </cell>
          <cell r="C1664" t="str">
            <v>Park &amp; Grds Main</v>
          </cell>
          <cell r="D1664" t="str">
            <v>751001748</v>
          </cell>
          <cell r="E1664" t="str">
            <v>006</v>
          </cell>
          <cell r="F1664" t="str">
            <v>P5 Correct A/P Auto Accural</v>
          </cell>
          <cell r="G1664">
            <v>0</v>
          </cell>
          <cell r="H1664" t="str">
            <v>ORD 1850030200</v>
          </cell>
          <cell r="I1664" t="str">
            <v>620210</v>
          </cell>
          <cell r="J1664" t="str">
            <v>Free-time Activitie</v>
          </cell>
          <cell r="K1664">
            <v>-2055</v>
          </cell>
          <cell r="L1664">
            <v>38138</v>
          </cell>
        </row>
        <row r="1665">
          <cell r="A1665" t="str">
            <v>7098639</v>
          </cell>
          <cell r="B1665" t="str">
            <v>700100</v>
          </cell>
          <cell r="C1665" t="str">
            <v>Park &amp; Grds Main</v>
          </cell>
          <cell r="D1665" t="str">
            <v>751001748</v>
          </cell>
          <cell r="E1665" t="str">
            <v>006</v>
          </cell>
          <cell r="F1665" t="str">
            <v>P5 Correct A/P Auto Accural</v>
          </cell>
          <cell r="G1665">
            <v>0</v>
          </cell>
          <cell r="H1665" t="str">
            <v>ORD 1850030200</v>
          </cell>
          <cell r="I1665" t="str">
            <v>620210</v>
          </cell>
          <cell r="J1665" t="str">
            <v>Free-time Activitie</v>
          </cell>
          <cell r="K1665">
            <v>-232</v>
          </cell>
          <cell r="L1665">
            <v>38138</v>
          </cell>
        </row>
        <row r="1666">
          <cell r="A1666" t="str">
            <v>7098639</v>
          </cell>
          <cell r="B1666" t="str">
            <v>700100</v>
          </cell>
          <cell r="C1666" t="str">
            <v>Park &amp; Grds Main</v>
          </cell>
          <cell r="D1666" t="str">
            <v>751001748</v>
          </cell>
          <cell r="E1666" t="str">
            <v>006</v>
          </cell>
          <cell r="F1666" t="str">
            <v>P5 Correct A/P Auto Accural</v>
          </cell>
          <cell r="G1666">
            <v>0</v>
          </cell>
          <cell r="H1666" t="str">
            <v>ORD 1850030200</v>
          </cell>
          <cell r="I1666" t="str">
            <v>620210</v>
          </cell>
          <cell r="J1666" t="str">
            <v>Free-time Activitie</v>
          </cell>
          <cell r="K1666">
            <v>-28.98</v>
          </cell>
          <cell r="L1666">
            <v>38138</v>
          </cell>
        </row>
        <row r="1667">
          <cell r="A1667" t="str">
            <v>7098639</v>
          </cell>
          <cell r="B1667" t="str">
            <v>700100</v>
          </cell>
          <cell r="C1667" t="str">
            <v>Park &amp; Grds Main</v>
          </cell>
          <cell r="D1667" t="str">
            <v>751001748</v>
          </cell>
          <cell r="E1667" t="str">
            <v>006</v>
          </cell>
          <cell r="F1667" t="str">
            <v>P5 Correct A/P Auto Accural</v>
          </cell>
          <cell r="G1667">
            <v>0</v>
          </cell>
          <cell r="H1667" t="str">
            <v>ORD 1850030200</v>
          </cell>
          <cell r="I1667" t="str">
            <v>620210</v>
          </cell>
          <cell r="J1667" t="str">
            <v>Free-time Activitie</v>
          </cell>
          <cell r="K1667">
            <v>-299.07</v>
          </cell>
          <cell r="L1667">
            <v>38138</v>
          </cell>
        </row>
        <row r="1668">
          <cell r="A1668" t="str">
            <v>7098639</v>
          </cell>
          <cell r="B1668" t="str">
            <v>700100</v>
          </cell>
          <cell r="C1668" t="str">
            <v>Park &amp; Grds Main</v>
          </cell>
          <cell r="D1668" t="str">
            <v>751001748</v>
          </cell>
          <cell r="E1668" t="str">
            <v>006</v>
          </cell>
          <cell r="F1668" t="str">
            <v>P5 Correct A/P Auto Accural</v>
          </cell>
          <cell r="G1668">
            <v>0</v>
          </cell>
          <cell r="H1668" t="str">
            <v>ORD 1850030200</v>
          </cell>
          <cell r="I1668" t="str">
            <v>620210</v>
          </cell>
          <cell r="J1668" t="str">
            <v>Free-time Activitie</v>
          </cell>
          <cell r="K1668">
            <v>-305.19</v>
          </cell>
          <cell r="L1668">
            <v>38138</v>
          </cell>
        </row>
        <row r="1669">
          <cell r="A1669" t="str">
            <v>7098639</v>
          </cell>
          <cell r="B1669" t="str">
            <v>700100</v>
          </cell>
          <cell r="C1669" t="str">
            <v>Park &amp; Grds Main</v>
          </cell>
          <cell r="D1669" t="str">
            <v>751001748</v>
          </cell>
          <cell r="E1669" t="str">
            <v>006</v>
          </cell>
          <cell r="F1669" t="str">
            <v>P5 Correct A/P Auto Accural</v>
          </cell>
          <cell r="G1669">
            <v>0</v>
          </cell>
          <cell r="H1669" t="str">
            <v>ORD 1850030200</v>
          </cell>
          <cell r="I1669" t="str">
            <v>620210</v>
          </cell>
          <cell r="J1669" t="str">
            <v>Free-time Activitie</v>
          </cell>
          <cell r="K1669">
            <v>-460</v>
          </cell>
          <cell r="L1669">
            <v>38138</v>
          </cell>
        </row>
        <row r="1670">
          <cell r="A1670" t="str">
            <v>7098639</v>
          </cell>
          <cell r="B1670" t="str">
            <v>700100</v>
          </cell>
          <cell r="C1670" t="str">
            <v>Park &amp; Grds Main</v>
          </cell>
          <cell r="D1670" t="str">
            <v>751001748</v>
          </cell>
          <cell r="E1670" t="str">
            <v>006</v>
          </cell>
          <cell r="F1670" t="str">
            <v>P5 Correct A/P Auto Accural</v>
          </cell>
          <cell r="G1670">
            <v>0</v>
          </cell>
          <cell r="H1670" t="str">
            <v>ORD 1850030200</v>
          </cell>
          <cell r="I1670" t="str">
            <v>620210</v>
          </cell>
          <cell r="J1670" t="str">
            <v>Free-time Activitie</v>
          </cell>
          <cell r="K1670">
            <v>-905</v>
          </cell>
          <cell r="L1670">
            <v>38138</v>
          </cell>
        </row>
        <row r="1671">
          <cell r="A1671" t="str">
            <v>7098639</v>
          </cell>
          <cell r="B1671" t="str">
            <v>700100</v>
          </cell>
          <cell r="C1671" t="str">
            <v>Park &amp; Grds Main</v>
          </cell>
          <cell r="D1671" t="str">
            <v>751001670</v>
          </cell>
          <cell r="E1671" t="str">
            <v>006</v>
          </cell>
          <cell r="F1671" t="str">
            <v>Scripps Association Dues (paid quarterly)</v>
          </cell>
          <cell r="G1671">
            <v>0</v>
          </cell>
          <cell r="H1671" t="str">
            <v>ORD 1850030205</v>
          </cell>
          <cell r="I1671" t="str">
            <v>273900</v>
          </cell>
          <cell r="J1671" t="str">
            <v>Other Accr Expenses</v>
          </cell>
          <cell r="K1671">
            <v>-9951.3700000000008</v>
          </cell>
          <cell r="L1671">
            <v>38138</v>
          </cell>
        </row>
        <row r="1672">
          <cell r="A1672" t="str">
            <v>7098639</v>
          </cell>
          <cell r="B1672" t="str">
            <v>700200</v>
          </cell>
          <cell r="C1672" t="str">
            <v>Cleaning</v>
          </cell>
          <cell r="D1672" t="str">
            <v>160341</v>
          </cell>
          <cell r="E1672" t="str">
            <v>006</v>
          </cell>
          <cell r="F1672">
            <v>0</v>
          </cell>
          <cell r="G1672" t="str">
            <v>4500002301</v>
          </cell>
          <cell r="H1672" t="str">
            <v>ORD 1850030203</v>
          </cell>
          <cell r="I1672" t="str">
            <v>407286</v>
          </cell>
          <cell r="J1672" t="str">
            <v>PRUDENTIAL OVERALL SUPPLY</v>
          </cell>
          <cell r="K1672">
            <v>4.5999999999999996</v>
          </cell>
          <cell r="L1672">
            <v>38145</v>
          </cell>
        </row>
        <row r="1673">
          <cell r="A1673" t="str">
            <v>7098639</v>
          </cell>
          <cell r="B1673" t="str">
            <v>700200</v>
          </cell>
          <cell r="C1673" t="str">
            <v>Cleaning</v>
          </cell>
          <cell r="D1673" t="str">
            <v>160314</v>
          </cell>
          <cell r="E1673" t="str">
            <v>006</v>
          </cell>
          <cell r="F1673">
            <v>0</v>
          </cell>
          <cell r="G1673" t="str">
            <v>4500002301</v>
          </cell>
          <cell r="H1673" t="str">
            <v>ORD 1850030203</v>
          </cell>
          <cell r="I1673" t="str">
            <v>407286</v>
          </cell>
          <cell r="J1673" t="str">
            <v>PRUDENTIAL OVERALL SUPPLY</v>
          </cell>
          <cell r="K1673">
            <v>4.5999999999999996</v>
          </cell>
          <cell r="L1673">
            <v>38145</v>
          </cell>
        </row>
        <row r="1674">
          <cell r="A1674" t="str">
            <v>7098639</v>
          </cell>
          <cell r="B1674" t="str">
            <v>700200</v>
          </cell>
          <cell r="C1674" t="str">
            <v>Cleaning</v>
          </cell>
          <cell r="D1674" t="str">
            <v>160441</v>
          </cell>
          <cell r="E1674" t="str">
            <v>006</v>
          </cell>
          <cell r="F1674">
            <v>0</v>
          </cell>
          <cell r="G1674" t="str">
            <v>4500002301</v>
          </cell>
          <cell r="H1674" t="str">
            <v>ORD 1850030203</v>
          </cell>
          <cell r="I1674" t="str">
            <v>407286</v>
          </cell>
          <cell r="J1674" t="str">
            <v>PRUDENTIAL OVERALL SUPPLY</v>
          </cell>
          <cell r="K1674">
            <v>4.5999999999999996</v>
          </cell>
          <cell r="L1674">
            <v>38145</v>
          </cell>
        </row>
        <row r="1675">
          <cell r="A1675" t="str">
            <v>7098639</v>
          </cell>
          <cell r="B1675" t="str">
            <v>700200</v>
          </cell>
          <cell r="C1675" t="str">
            <v>Cleaning</v>
          </cell>
          <cell r="D1675" t="str">
            <v>160463</v>
          </cell>
          <cell r="E1675" t="str">
            <v>006</v>
          </cell>
          <cell r="F1675">
            <v>0</v>
          </cell>
          <cell r="G1675" t="str">
            <v>4500002301</v>
          </cell>
          <cell r="H1675" t="str">
            <v>ORD 1850030203</v>
          </cell>
          <cell r="I1675" t="str">
            <v>407286</v>
          </cell>
          <cell r="J1675" t="str">
            <v>PRUDENTIAL OVERALL SUPPLY</v>
          </cell>
          <cell r="K1675">
            <v>4.5999999999999996</v>
          </cell>
          <cell r="L1675">
            <v>38147</v>
          </cell>
        </row>
        <row r="1676">
          <cell r="A1676" t="str">
            <v>7098639</v>
          </cell>
          <cell r="B1676" t="str">
            <v>700200</v>
          </cell>
          <cell r="C1676" t="str">
            <v>Cleaning</v>
          </cell>
          <cell r="D1676" t="str">
            <v>202417</v>
          </cell>
          <cell r="E1676" t="str">
            <v>006</v>
          </cell>
          <cell r="F1676">
            <v>0</v>
          </cell>
          <cell r="G1676" t="str">
            <v>4500002301</v>
          </cell>
          <cell r="H1676" t="str">
            <v>ORD 1850030203</v>
          </cell>
          <cell r="I1676" t="str">
            <v>407286</v>
          </cell>
          <cell r="J1676" t="str">
            <v>PRUDENTIAL OVERALL SUPPLY</v>
          </cell>
          <cell r="K1676">
            <v>4.5999999999999996</v>
          </cell>
          <cell r="L1676">
            <v>38146</v>
          </cell>
        </row>
        <row r="1677">
          <cell r="A1677" t="str">
            <v>7098639</v>
          </cell>
          <cell r="B1677" t="str">
            <v>700200</v>
          </cell>
          <cell r="C1677" t="str">
            <v>Cleaning</v>
          </cell>
          <cell r="D1677" t="str">
            <v>204304</v>
          </cell>
          <cell r="E1677" t="str">
            <v>006</v>
          </cell>
          <cell r="F1677">
            <v>0</v>
          </cell>
          <cell r="G1677" t="str">
            <v>4500002301</v>
          </cell>
          <cell r="H1677" t="str">
            <v>ORD 1850030203</v>
          </cell>
          <cell r="I1677" t="str">
            <v>407286</v>
          </cell>
          <cell r="J1677" t="str">
            <v>PRUDENTIAL OVERALL SUPPLY</v>
          </cell>
          <cell r="K1677">
            <v>4.5999999999999996</v>
          </cell>
          <cell r="L1677">
            <v>38146</v>
          </cell>
        </row>
        <row r="1678">
          <cell r="A1678" t="str">
            <v>7098639</v>
          </cell>
          <cell r="B1678" t="str">
            <v>700200</v>
          </cell>
          <cell r="C1678" t="str">
            <v>Cleaning</v>
          </cell>
          <cell r="D1678" t="str">
            <v>226918</v>
          </cell>
          <cell r="E1678" t="str">
            <v>006</v>
          </cell>
          <cell r="F1678">
            <v>0</v>
          </cell>
          <cell r="G1678" t="str">
            <v>4500002301</v>
          </cell>
          <cell r="H1678" t="str">
            <v>ORD 1850030203</v>
          </cell>
          <cell r="I1678" t="str">
            <v>407286</v>
          </cell>
          <cell r="J1678" t="str">
            <v>PRUDENTIAL OVERALL SUPPLY</v>
          </cell>
          <cell r="K1678">
            <v>4.5999999999999996</v>
          </cell>
          <cell r="L1678">
            <v>38160</v>
          </cell>
        </row>
        <row r="1679">
          <cell r="A1679" t="str">
            <v>7098639</v>
          </cell>
          <cell r="B1679" t="str">
            <v>700200</v>
          </cell>
          <cell r="C1679" t="str">
            <v>Cleaning</v>
          </cell>
          <cell r="D1679" t="str">
            <v>227652</v>
          </cell>
          <cell r="E1679" t="str">
            <v>006</v>
          </cell>
          <cell r="F1679">
            <v>0</v>
          </cell>
          <cell r="G1679" t="str">
            <v>4500002301</v>
          </cell>
          <cell r="H1679" t="str">
            <v>ORD 1850030203</v>
          </cell>
          <cell r="I1679" t="str">
            <v>407286</v>
          </cell>
          <cell r="J1679" t="str">
            <v>PRUDENTIAL OVERALL SUPPLY</v>
          </cell>
          <cell r="K1679">
            <v>4.5999999999999996</v>
          </cell>
          <cell r="L1679">
            <v>38160</v>
          </cell>
        </row>
        <row r="1680">
          <cell r="A1680" t="str">
            <v>7098639</v>
          </cell>
          <cell r="B1680" t="str">
            <v>700200</v>
          </cell>
          <cell r="C1680" t="str">
            <v>Cleaning</v>
          </cell>
          <cell r="D1680" t="str">
            <v>230049</v>
          </cell>
          <cell r="E1680" t="str">
            <v>006</v>
          </cell>
          <cell r="F1680">
            <v>0</v>
          </cell>
          <cell r="G1680" t="str">
            <v>4500002301</v>
          </cell>
          <cell r="H1680" t="str">
            <v>ORD 1850030203</v>
          </cell>
          <cell r="I1680" t="str">
            <v>407286</v>
          </cell>
          <cell r="J1680" t="str">
            <v>PRUDENTIAL OVERALL SUPPLY</v>
          </cell>
          <cell r="K1680">
            <v>4.5999999999999996</v>
          </cell>
          <cell r="L1680">
            <v>38161</v>
          </cell>
        </row>
        <row r="1681">
          <cell r="A1681" t="str">
            <v>7098639</v>
          </cell>
          <cell r="B1681" t="str">
            <v>700200</v>
          </cell>
          <cell r="C1681" t="str">
            <v>Cleaning</v>
          </cell>
          <cell r="D1681" t="str">
            <v>160341</v>
          </cell>
          <cell r="E1681" t="str">
            <v>006</v>
          </cell>
          <cell r="F1681">
            <v>0</v>
          </cell>
          <cell r="G1681" t="str">
            <v>4500002301</v>
          </cell>
          <cell r="H1681" t="str">
            <v>ORD 1850030203</v>
          </cell>
          <cell r="I1681" t="str">
            <v>407286</v>
          </cell>
          <cell r="J1681" t="str">
            <v>PRUDENTIAL OVERALL SUPPLY</v>
          </cell>
          <cell r="K1681">
            <v>5</v>
          </cell>
          <cell r="L1681">
            <v>38145</v>
          </cell>
        </row>
        <row r="1682">
          <cell r="A1682" t="str">
            <v>7098639</v>
          </cell>
          <cell r="B1682" t="str">
            <v>700200</v>
          </cell>
          <cell r="C1682" t="str">
            <v>Cleaning</v>
          </cell>
          <cell r="D1682" t="str">
            <v>160314</v>
          </cell>
          <cell r="E1682" t="str">
            <v>006</v>
          </cell>
          <cell r="F1682">
            <v>0</v>
          </cell>
          <cell r="G1682" t="str">
            <v>4500002301</v>
          </cell>
          <cell r="H1682" t="str">
            <v>ORD 1850030203</v>
          </cell>
          <cell r="I1682" t="str">
            <v>407286</v>
          </cell>
          <cell r="J1682" t="str">
            <v>PRUDENTIAL OVERALL SUPPLY</v>
          </cell>
          <cell r="K1682">
            <v>5</v>
          </cell>
          <cell r="L1682">
            <v>38145</v>
          </cell>
        </row>
        <row r="1683">
          <cell r="A1683" t="str">
            <v>7098639</v>
          </cell>
          <cell r="B1683" t="str">
            <v>700200</v>
          </cell>
          <cell r="C1683" t="str">
            <v>Cleaning</v>
          </cell>
          <cell r="D1683" t="str">
            <v>160441</v>
          </cell>
          <cell r="E1683" t="str">
            <v>006</v>
          </cell>
          <cell r="F1683">
            <v>0</v>
          </cell>
          <cell r="G1683" t="str">
            <v>4500002301</v>
          </cell>
          <cell r="H1683" t="str">
            <v>ORD 1850030203</v>
          </cell>
          <cell r="I1683" t="str">
            <v>407286</v>
          </cell>
          <cell r="J1683" t="str">
            <v>PRUDENTIAL OVERALL SUPPLY</v>
          </cell>
          <cell r="K1683">
            <v>5</v>
          </cell>
          <cell r="L1683">
            <v>38145</v>
          </cell>
        </row>
        <row r="1684">
          <cell r="A1684" t="str">
            <v>7098639</v>
          </cell>
          <cell r="B1684" t="str">
            <v>700200</v>
          </cell>
          <cell r="C1684" t="str">
            <v>Cleaning</v>
          </cell>
          <cell r="D1684" t="str">
            <v>160463</v>
          </cell>
          <cell r="E1684" t="str">
            <v>006</v>
          </cell>
          <cell r="F1684">
            <v>0</v>
          </cell>
          <cell r="G1684" t="str">
            <v>4500002301</v>
          </cell>
          <cell r="H1684" t="str">
            <v>ORD 1850030203</v>
          </cell>
          <cell r="I1684" t="str">
            <v>407286</v>
          </cell>
          <cell r="J1684" t="str">
            <v>PRUDENTIAL OVERALL SUPPLY</v>
          </cell>
          <cell r="K1684">
            <v>5</v>
          </cell>
          <cell r="L1684">
            <v>38147</v>
          </cell>
        </row>
        <row r="1685">
          <cell r="A1685" t="str">
            <v>7098639</v>
          </cell>
          <cell r="B1685" t="str">
            <v>700200</v>
          </cell>
          <cell r="C1685" t="str">
            <v>Cleaning</v>
          </cell>
          <cell r="D1685" t="str">
            <v>202417</v>
          </cell>
          <cell r="E1685" t="str">
            <v>006</v>
          </cell>
          <cell r="F1685">
            <v>0</v>
          </cell>
          <cell r="G1685" t="str">
            <v>4500002301</v>
          </cell>
          <cell r="H1685" t="str">
            <v>ORD 1850030203</v>
          </cell>
          <cell r="I1685" t="str">
            <v>407286</v>
          </cell>
          <cell r="J1685" t="str">
            <v>PRUDENTIAL OVERALL SUPPLY</v>
          </cell>
          <cell r="K1685">
            <v>5</v>
          </cell>
          <cell r="L1685">
            <v>38146</v>
          </cell>
        </row>
        <row r="1686">
          <cell r="A1686" t="str">
            <v>7098639</v>
          </cell>
          <cell r="B1686" t="str">
            <v>700200</v>
          </cell>
          <cell r="C1686" t="str">
            <v>Cleaning</v>
          </cell>
          <cell r="D1686" t="str">
            <v>204304</v>
          </cell>
          <cell r="E1686" t="str">
            <v>006</v>
          </cell>
          <cell r="F1686">
            <v>0</v>
          </cell>
          <cell r="G1686" t="str">
            <v>4500002301</v>
          </cell>
          <cell r="H1686" t="str">
            <v>ORD 1850030203</v>
          </cell>
          <cell r="I1686" t="str">
            <v>407286</v>
          </cell>
          <cell r="J1686" t="str">
            <v>PRUDENTIAL OVERALL SUPPLY</v>
          </cell>
          <cell r="K1686">
            <v>5</v>
          </cell>
          <cell r="L1686">
            <v>38146</v>
          </cell>
        </row>
        <row r="1687">
          <cell r="A1687" t="str">
            <v>7098639</v>
          </cell>
          <cell r="B1687" t="str">
            <v>700200</v>
          </cell>
          <cell r="C1687" t="str">
            <v>Cleaning</v>
          </cell>
          <cell r="D1687" t="str">
            <v>227652</v>
          </cell>
          <cell r="E1687" t="str">
            <v>006</v>
          </cell>
          <cell r="F1687">
            <v>0</v>
          </cell>
          <cell r="G1687" t="str">
            <v>4500002301</v>
          </cell>
          <cell r="H1687" t="str">
            <v>ORD 1850030203</v>
          </cell>
          <cell r="I1687" t="str">
            <v>407286</v>
          </cell>
          <cell r="J1687" t="str">
            <v>PRUDENTIAL OVERALL SUPPLY</v>
          </cell>
          <cell r="K1687">
            <v>5</v>
          </cell>
          <cell r="L1687">
            <v>38160</v>
          </cell>
        </row>
        <row r="1688">
          <cell r="A1688" t="str">
            <v>7098639</v>
          </cell>
          <cell r="B1688" t="str">
            <v>700200</v>
          </cell>
          <cell r="C1688" t="str">
            <v>Cleaning</v>
          </cell>
          <cell r="D1688" t="str">
            <v>230049</v>
          </cell>
          <cell r="E1688" t="str">
            <v>006</v>
          </cell>
          <cell r="F1688">
            <v>0</v>
          </cell>
          <cell r="G1688" t="str">
            <v>4500002301</v>
          </cell>
          <cell r="H1688" t="str">
            <v>ORD 1850030203</v>
          </cell>
          <cell r="I1688" t="str">
            <v>407286</v>
          </cell>
          <cell r="J1688" t="str">
            <v>PRUDENTIAL OVERALL SUPPLY</v>
          </cell>
          <cell r="K1688">
            <v>5</v>
          </cell>
          <cell r="L1688">
            <v>38161</v>
          </cell>
        </row>
        <row r="1689">
          <cell r="A1689" t="str">
            <v>7098639</v>
          </cell>
          <cell r="B1689" t="str">
            <v>700200</v>
          </cell>
          <cell r="C1689" t="str">
            <v>Cleaning</v>
          </cell>
          <cell r="D1689" t="str">
            <v>160311</v>
          </cell>
          <cell r="E1689" t="str">
            <v>006</v>
          </cell>
          <cell r="F1689">
            <v>0</v>
          </cell>
          <cell r="G1689" t="str">
            <v>4500002301</v>
          </cell>
          <cell r="H1689" t="str">
            <v>ORD 1850030205</v>
          </cell>
          <cell r="I1689" t="str">
            <v>407286</v>
          </cell>
          <cell r="J1689" t="str">
            <v>PRUDENTIAL OVERALL SUPPLY</v>
          </cell>
          <cell r="K1689">
            <v>9.5</v>
          </cell>
          <cell r="L1689">
            <v>38145</v>
          </cell>
        </row>
        <row r="1690">
          <cell r="A1690" t="str">
            <v>7098639</v>
          </cell>
          <cell r="B1690" t="str">
            <v>700200</v>
          </cell>
          <cell r="C1690" t="str">
            <v>Cleaning</v>
          </cell>
          <cell r="D1690" t="str">
            <v>160445</v>
          </cell>
          <cell r="E1690" t="str">
            <v>006</v>
          </cell>
          <cell r="F1690">
            <v>0</v>
          </cell>
          <cell r="G1690" t="str">
            <v>4500002301</v>
          </cell>
          <cell r="H1690" t="str">
            <v>ORD 1850030205</v>
          </cell>
          <cell r="I1690" t="str">
            <v>407286</v>
          </cell>
          <cell r="J1690" t="str">
            <v>PRUDENTIAL OVERALL SUPPLY</v>
          </cell>
          <cell r="K1690">
            <v>9.5</v>
          </cell>
          <cell r="L1690">
            <v>38145</v>
          </cell>
        </row>
        <row r="1691">
          <cell r="A1691" t="str">
            <v>7098639</v>
          </cell>
          <cell r="B1691" t="str">
            <v>700200</v>
          </cell>
          <cell r="C1691" t="str">
            <v>Cleaning</v>
          </cell>
          <cell r="D1691" t="str">
            <v>160444</v>
          </cell>
          <cell r="E1691" t="str">
            <v>006</v>
          </cell>
          <cell r="F1691">
            <v>0</v>
          </cell>
          <cell r="G1691" t="str">
            <v>4500002301</v>
          </cell>
          <cell r="H1691" t="str">
            <v>ORD 1850030205</v>
          </cell>
          <cell r="I1691" t="str">
            <v>407286</v>
          </cell>
          <cell r="J1691" t="str">
            <v>PRUDENTIAL OVERALL SUPPLY</v>
          </cell>
          <cell r="K1691">
            <v>9.5</v>
          </cell>
          <cell r="L1691">
            <v>38145</v>
          </cell>
        </row>
        <row r="1692">
          <cell r="A1692" t="str">
            <v>7098639</v>
          </cell>
          <cell r="B1692" t="str">
            <v>700200</v>
          </cell>
          <cell r="C1692" t="str">
            <v>Cleaning</v>
          </cell>
          <cell r="D1692" t="str">
            <v>202327</v>
          </cell>
          <cell r="E1692" t="str">
            <v>006</v>
          </cell>
          <cell r="F1692">
            <v>0</v>
          </cell>
          <cell r="G1692" t="str">
            <v>4500002301</v>
          </cell>
          <cell r="H1692" t="str">
            <v>ORD 1850030205</v>
          </cell>
          <cell r="I1692" t="str">
            <v>407286</v>
          </cell>
          <cell r="J1692" t="str">
            <v>PRUDENTIAL OVERALL SUPPLY</v>
          </cell>
          <cell r="K1692">
            <v>9.5</v>
          </cell>
          <cell r="L1692">
            <v>38147</v>
          </cell>
        </row>
        <row r="1693">
          <cell r="A1693" t="str">
            <v>7098639</v>
          </cell>
          <cell r="B1693" t="str">
            <v>700200</v>
          </cell>
          <cell r="C1693" t="str">
            <v>Cleaning</v>
          </cell>
          <cell r="D1693" t="str">
            <v>202222</v>
          </cell>
          <cell r="E1693" t="str">
            <v>006</v>
          </cell>
          <cell r="F1693">
            <v>0</v>
          </cell>
          <cell r="G1693" t="str">
            <v>4500002301</v>
          </cell>
          <cell r="H1693" t="str">
            <v>ORD 1850030205</v>
          </cell>
          <cell r="I1693" t="str">
            <v>407286</v>
          </cell>
          <cell r="J1693" t="str">
            <v>PRUDENTIAL OVERALL SUPPLY</v>
          </cell>
          <cell r="K1693">
            <v>9.5</v>
          </cell>
          <cell r="L1693">
            <v>38146</v>
          </cell>
        </row>
        <row r="1694">
          <cell r="A1694" t="str">
            <v>7098639</v>
          </cell>
          <cell r="B1694" t="str">
            <v>700200</v>
          </cell>
          <cell r="C1694" t="str">
            <v>Cleaning</v>
          </cell>
          <cell r="D1694" t="str">
            <v>204422</v>
          </cell>
          <cell r="E1694" t="str">
            <v>006</v>
          </cell>
          <cell r="F1694">
            <v>0</v>
          </cell>
          <cell r="G1694" t="str">
            <v>4500002301</v>
          </cell>
          <cell r="H1694" t="str">
            <v>ORD 1850030205</v>
          </cell>
          <cell r="I1694" t="str">
            <v>407286</v>
          </cell>
          <cell r="J1694" t="str">
            <v>PRUDENTIAL OVERALL SUPPLY</v>
          </cell>
          <cell r="K1694">
            <v>9.5</v>
          </cell>
          <cell r="L1694">
            <v>38148</v>
          </cell>
        </row>
        <row r="1695">
          <cell r="A1695" t="str">
            <v>7098639</v>
          </cell>
          <cell r="B1695" t="str">
            <v>700200</v>
          </cell>
          <cell r="C1695" t="str">
            <v>Cleaning</v>
          </cell>
          <cell r="D1695" t="str">
            <v>202415</v>
          </cell>
          <cell r="E1695" t="str">
            <v>006</v>
          </cell>
          <cell r="F1695">
            <v>0</v>
          </cell>
          <cell r="G1695" t="str">
            <v>4500002301</v>
          </cell>
          <cell r="H1695" t="str">
            <v>ORD 1850030205</v>
          </cell>
          <cell r="I1695" t="str">
            <v>407286</v>
          </cell>
          <cell r="J1695" t="str">
            <v>PRUDENTIAL OVERALL SUPPLY</v>
          </cell>
          <cell r="K1695">
            <v>9.5</v>
          </cell>
          <cell r="L1695">
            <v>38146</v>
          </cell>
        </row>
        <row r="1696">
          <cell r="A1696" t="str">
            <v>7098639</v>
          </cell>
          <cell r="B1696" t="str">
            <v>700200</v>
          </cell>
          <cell r="C1696" t="str">
            <v>Cleaning</v>
          </cell>
          <cell r="D1696" t="str">
            <v>226913</v>
          </cell>
          <cell r="E1696" t="str">
            <v>006</v>
          </cell>
          <cell r="F1696">
            <v>0</v>
          </cell>
          <cell r="G1696" t="str">
            <v>4500002301</v>
          </cell>
          <cell r="H1696" t="str">
            <v>ORD 1850030203</v>
          </cell>
          <cell r="I1696" t="str">
            <v>407286</v>
          </cell>
          <cell r="J1696" t="str">
            <v>PRUDENTIAL OVERALL SUPPLY</v>
          </cell>
          <cell r="K1696">
            <v>9.5</v>
          </cell>
          <cell r="L1696">
            <v>38160</v>
          </cell>
        </row>
        <row r="1697">
          <cell r="A1697" t="str">
            <v>7098639</v>
          </cell>
          <cell r="B1697" t="str">
            <v>700200</v>
          </cell>
          <cell r="C1697" t="str">
            <v>Cleaning</v>
          </cell>
          <cell r="D1697" t="str">
            <v>160311</v>
          </cell>
          <cell r="E1697" t="str">
            <v>006</v>
          </cell>
          <cell r="F1697">
            <v>0</v>
          </cell>
          <cell r="G1697" t="str">
            <v>4500002301</v>
          </cell>
          <cell r="H1697" t="str">
            <v>ORD 1850030205</v>
          </cell>
          <cell r="I1697" t="str">
            <v>407286</v>
          </cell>
          <cell r="J1697" t="str">
            <v>PRUDENTIAL OVERALL SUPPLY</v>
          </cell>
          <cell r="K1697">
            <v>10.5</v>
          </cell>
          <cell r="L1697">
            <v>38145</v>
          </cell>
        </row>
        <row r="1698">
          <cell r="A1698" t="str">
            <v>7098639</v>
          </cell>
          <cell r="B1698" t="str">
            <v>700200</v>
          </cell>
          <cell r="C1698" t="str">
            <v>Cleaning</v>
          </cell>
          <cell r="D1698" t="str">
            <v>160445</v>
          </cell>
          <cell r="E1698" t="str">
            <v>006</v>
          </cell>
          <cell r="F1698">
            <v>0</v>
          </cell>
          <cell r="G1698" t="str">
            <v>4500002301</v>
          </cell>
          <cell r="H1698" t="str">
            <v>ORD 1850030205</v>
          </cell>
          <cell r="I1698" t="str">
            <v>407286</v>
          </cell>
          <cell r="J1698" t="str">
            <v>PRUDENTIAL OVERALL SUPPLY</v>
          </cell>
          <cell r="K1698">
            <v>10.5</v>
          </cell>
          <cell r="L1698">
            <v>38145</v>
          </cell>
        </row>
        <row r="1699">
          <cell r="A1699" t="str">
            <v>7098639</v>
          </cell>
          <cell r="B1699" t="str">
            <v>700200</v>
          </cell>
          <cell r="C1699" t="str">
            <v>Cleaning</v>
          </cell>
          <cell r="D1699" t="str">
            <v>160444</v>
          </cell>
          <cell r="E1699" t="str">
            <v>006</v>
          </cell>
          <cell r="F1699">
            <v>0</v>
          </cell>
          <cell r="G1699" t="str">
            <v>4500002301</v>
          </cell>
          <cell r="H1699" t="str">
            <v>ORD 1850030205</v>
          </cell>
          <cell r="I1699" t="str">
            <v>407286</v>
          </cell>
          <cell r="J1699" t="str">
            <v>PRUDENTIAL OVERALL SUPPLY</v>
          </cell>
          <cell r="K1699">
            <v>10.5</v>
          </cell>
          <cell r="L1699">
            <v>38145</v>
          </cell>
        </row>
        <row r="1700">
          <cell r="A1700" t="str">
            <v>7098639</v>
          </cell>
          <cell r="B1700" t="str">
            <v>700200</v>
          </cell>
          <cell r="C1700" t="str">
            <v>Cleaning</v>
          </cell>
          <cell r="D1700" t="str">
            <v>202327</v>
          </cell>
          <cell r="E1700" t="str">
            <v>006</v>
          </cell>
          <cell r="F1700">
            <v>0</v>
          </cell>
          <cell r="G1700" t="str">
            <v>4500002301</v>
          </cell>
          <cell r="H1700" t="str">
            <v>ORD 1850030205</v>
          </cell>
          <cell r="I1700" t="str">
            <v>407286</v>
          </cell>
          <cell r="J1700" t="str">
            <v>PRUDENTIAL OVERALL SUPPLY</v>
          </cell>
          <cell r="K1700">
            <v>10.5</v>
          </cell>
          <cell r="L1700">
            <v>38147</v>
          </cell>
        </row>
        <row r="1701">
          <cell r="A1701" t="str">
            <v>7098639</v>
          </cell>
          <cell r="B1701" t="str">
            <v>700200</v>
          </cell>
          <cell r="C1701" t="str">
            <v>Cleaning</v>
          </cell>
          <cell r="D1701" t="str">
            <v>202222</v>
          </cell>
          <cell r="E1701" t="str">
            <v>006</v>
          </cell>
          <cell r="F1701">
            <v>0</v>
          </cell>
          <cell r="G1701" t="str">
            <v>4500002301</v>
          </cell>
          <cell r="H1701" t="str">
            <v>ORD 1850030205</v>
          </cell>
          <cell r="I1701" t="str">
            <v>407286</v>
          </cell>
          <cell r="J1701" t="str">
            <v>PRUDENTIAL OVERALL SUPPLY</v>
          </cell>
          <cell r="K1701">
            <v>10.5</v>
          </cell>
          <cell r="L1701">
            <v>38146</v>
          </cell>
        </row>
        <row r="1702">
          <cell r="A1702" t="str">
            <v>7098639</v>
          </cell>
          <cell r="B1702" t="str">
            <v>700200</v>
          </cell>
          <cell r="C1702" t="str">
            <v>Cleaning</v>
          </cell>
          <cell r="D1702" t="str">
            <v>204422</v>
          </cell>
          <cell r="E1702" t="str">
            <v>006</v>
          </cell>
          <cell r="F1702">
            <v>0</v>
          </cell>
          <cell r="G1702" t="str">
            <v>4500002301</v>
          </cell>
          <cell r="H1702" t="str">
            <v>ORD 1850030205</v>
          </cell>
          <cell r="I1702" t="str">
            <v>407286</v>
          </cell>
          <cell r="J1702" t="str">
            <v>PRUDENTIAL OVERALL SUPPLY</v>
          </cell>
          <cell r="K1702">
            <v>10.5</v>
          </cell>
          <cell r="L1702">
            <v>38148</v>
          </cell>
        </row>
        <row r="1703">
          <cell r="A1703" t="str">
            <v>7098639</v>
          </cell>
          <cell r="B1703" t="str">
            <v>700200</v>
          </cell>
          <cell r="C1703" t="str">
            <v>Cleaning</v>
          </cell>
          <cell r="D1703" t="str">
            <v>202415</v>
          </cell>
          <cell r="E1703" t="str">
            <v>006</v>
          </cell>
          <cell r="F1703">
            <v>0</v>
          </cell>
          <cell r="G1703" t="str">
            <v>4500002301</v>
          </cell>
          <cell r="H1703" t="str">
            <v>ORD 1850030205</v>
          </cell>
          <cell r="I1703" t="str">
            <v>407286</v>
          </cell>
          <cell r="J1703" t="str">
            <v>PRUDENTIAL OVERALL SUPPLY</v>
          </cell>
          <cell r="K1703">
            <v>10.5</v>
          </cell>
          <cell r="L1703">
            <v>38146</v>
          </cell>
        </row>
        <row r="1704">
          <cell r="A1704" t="str">
            <v>7098639</v>
          </cell>
          <cell r="B1704" t="str">
            <v>700200</v>
          </cell>
          <cell r="C1704" t="str">
            <v>Cleaning</v>
          </cell>
          <cell r="D1704" t="str">
            <v>226913</v>
          </cell>
          <cell r="E1704" t="str">
            <v>006</v>
          </cell>
          <cell r="F1704">
            <v>0</v>
          </cell>
          <cell r="G1704" t="str">
            <v>4500002301</v>
          </cell>
          <cell r="H1704" t="str">
            <v>ORD 1850030205</v>
          </cell>
          <cell r="I1704" t="str">
            <v>407286</v>
          </cell>
          <cell r="J1704" t="str">
            <v>PRUDENTIAL OVERALL SUPPLY</v>
          </cell>
          <cell r="K1704">
            <v>10.5</v>
          </cell>
          <cell r="L1704">
            <v>38160</v>
          </cell>
        </row>
        <row r="1705">
          <cell r="A1705" t="str">
            <v>7098639</v>
          </cell>
          <cell r="B1705" t="str">
            <v>700200</v>
          </cell>
          <cell r="C1705" t="str">
            <v>Cleaning</v>
          </cell>
          <cell r="D1705" t="str">
            <v>160443</v>
          </cell>
          <cell r="E1705" t="str">
            <v>006</v>
          </cell>
          <cell r="F1705">
            <v>0</v>
          </cell>
          <cell r="G1705" t="str">
            <v>4500002301</v>
          </cell>
          <cell r="H1705" t="str">
            <v>ORD 1850030203</v>
          </cell>
          <cell r="I1705" t="str">
            <v>407286</v>
          </cell>
          <cell r="J1705" t="str">
            <v>PRUDENTIAL OVERALL SUPPLY</v>
          </cell>
          <cell r="K1705">
            <v>11.5</v>
          </cell>
          <cell r="L1705">
            <v>38147</v>
          </cell>
        </row>
        <row r="1706">
          <cell r="A1706" t="str">
            <v>7098639</v>
          </cell>
          <cell r="B1706" t="str">
            <v>700200</v>
          </cell>
          <cell r="C1706" t="str">
            <v>Cleaning</v>
          </cell>
          <cell r="D1706" t="str">
            <v>160443</v>
          </cell>
          <cell r="E1706" t="str">
            <v>006</v>
          </cell>
          <cell r="F1706">
            <v>0</v>
          </cell>
          <cell r="G1706" t="str">
            <v>4500002301</v>
          </cell>
          <cell r="H1706" t="str">
            <v>ORD 1850030203</v>
          </cell>
          <cell r="I1706" t="str">
            <v>407286</v>
          </cell>
          <cell r="J1706" t="str">
            <v>PRUDENTIAL OVERALL SUPPLY</v>
          </cell>
          <cell r="K1706">
            <v>12</v>
          </cell>
          <cell r="L1706">
            <v>38147</v>
          </cell>
        </row>
        <row r="1707">
          <cell r="A1707" t="str">
            <v>7098639</v>
          </cell>
          <cell r="B1707" t="str">
            <v>700200</v>
          </cell>
          <cell r="C1707" t="str">
            <v>Cleaning</v>
          </cell>
          <cell r="D1707" t="str">
            <v>226918</v>
          </cell>
          <cell r="E1707" t="str">
            <v>006</v>
          </cell>
          <cell r="F1707">
            <v>0</v>
          </cell>
          <cell r="G1707" t="str">
            <v>4500002301</v>
          </cell>
          <cell r="H1707" t="str">
            <v>ORD 1850030203</v>
          </cell>
          <cell r="I1707" t="str">
            <v>407286</v>
          </cell>
          <cell r="J1707" t="str">
            <v>PRUDENTIAL OVERALL SUPPLY</v>
          </cell>
          <cell r="K1707">
            <v>12.39</v>
          </cell>
          <cell r="L1707">
            <v>38160</v>
          </cell>
        </row>
        <row r="1708">
          <cell r="A1708" t="str">
            <v>7098639</v>
          </cell>
          <cell r="B1708" t="str">
            <v>700200</v>
          </cell>
          <cell r="C1708" t="str">
            <v>Cleaning</v>
          </cell>
          <cell r="D1708" t="str">
            <v>160311</v>
          </cell>
          <cell r="E1708" t="str">
            <v>006</v>
          </cell>
          <cell r="F1708">
            <v>0</v>
          </cell>
          <cell r="G1708" t="str">
            <v>4500002301</v>
          </cell>
          <cell r="H1708" t="str">
            <v>ORD 1850030205</v>
          </cell>
          <cell r="I1708" t="str">
            <v>407286</v>
          </cell>
          <cell r="J1708" t="str">
            <v>PRUDENTIAL OVERALL SUPPLY</v>
          </cell>
          <cell r="K1708">
            <v>13.9</v>
          </cell>
          <cell r="L1708">
            <v>38145</v>
          </cell>
        </row>
        <row r="1709">
          <cell r="A1709" t="str">
            <v>7098639</v>
          </cell>
          <cell r="B1709" t="str">
            <v>700200</v>
          </cell>
          <cell r="C1709" t="str">
            <v>Cleaning</v>
          </cell>
          <cell r="D1709" t="str">
            <v>160445</v>
          </cell>
          <cell r="E1709" t="str">
            <v>006</v>
          </cell>
          <cell r="F1709">
            <v>0</v>
          </cell>
          <cell r="G1709" t="str">
            <v>4500002301</v>
          </cell>
          <cell r="H1709" t="str">
            <v>ORD 1850030205</v>
          </cell>
          <cell r="I1709" t="str">
            <v>407286</v>
          </cell>
          <cell r="J1709" t="str">
            <v>PRUDENTIAL OVERALL SUPPLY</v>
          </cell>
          <cell r="K1709">
            <v>13.9</v>
          </cell>
          <cell r="L1709">
            <v>38145</v>
          </cell>
        </row>
        <row r="1710">
          <cell r="A1710" t="str">
            <v>7098639</v>
          </cell>
          <cell r="B1710" t="str">
            <v>700200</v>
          </cell>
          <cell r="C1710" t="str">
            <v>Cleaning</v>
          </cell>
          <cell r="D1710" t="str">
            <v>160444</v>
          </cell>
          <cell r="E1710" t="str">
            <v>006</v>
          </cell>
          <cell r="F1710">
            <v>0</v>
          </cell>
          <cell r="G1710" t="str">
            <v>4500002301</v>
          </cell>
          <cell r="H1710" t="str">
            <v>ORD 1850030205</v>
          </cell>
          <cell r="I1710" t="str">
            <v>407286</v>
          </cell>
          <cell r="J1710" t="str">
            <v>PRUDENTIAL OVERALL SUPPLY</v>
          </cell>
          <cell r="K1710">
            <v>13.9</v>
          </cell>
          <cell r="L1710">
            <v>38145</v>
          </cell>
        </row>
        <row r="1711">
          <cell r="A1711" t="str">
            <v>7098639</v>
          </cell>
          <cell r="B1711" t="str">
            <v>700200</v>
          </cell>
          <cell r="C1711" t="str">
            <v>Cleaning</v>
          </cell>
          <cell r="D1711" t="str">
            <v>160341</v>
          </cell>
          <cell r="E1711" t="str">
            <v>006</v>
          </cell>
          <cell r="F1711">
            <v>0</v>
          </cell>
          <cell r="G1711" t="str">
            <v>4500002301</v>
          </cell>
          <cell r="H1711" t="str">
            <v>ORD 1850030203</v>
          </cell>
          <cell r="I1711" t="str">
            <v>407286</v>
          </cell>
          <cell r="J1711" t="str">
            <v>PRUDENTIAL OVERALL SUPPLY</v>
          </cell>
          <cell r="K1711">
            <v>13.9</v>
          </cell>
          <cell r="L1711">
            <v>38145</v>
          </cell>
        </row>
        <row r="1712">
          <cell r="A1712" t="str">
            <v>7098639</v>
          </cell>
          <cell r="B1712" t="str">
            <v>700200</v>
          </cell>
          <cell r="C1712" t="str">
            <v>Cleaning</v>
          </cell>
          <cell r="D1712" t="str">
            <v>202327</v>
          </cell>
          <cell r="E1712" t="str">
            <v>006</v>
          </cell>
          <cell r="F1712">
            <v>0</v>
          </cell>
          <cell r="G1712" t="str">
            <v>4500002301</v>
          </cell>
          <cell r="H1712" t="str">
            <v>ORD 1850030205</v>
          </cell>
          <cell r="I1712" t="str">
            <v>407286</v>
          </cell>
          <cell r="J1712" t="str">
            <v>PRUDENTIAL OVERALL SUPPLY</v>
          </cell>
          <cell r="K1712">
            <v>13.9</v>
          </cell>
          <cell r="L1712">
            <v>38147</v>
          </cell>
        </row>
        <row r="1713">
          <cell r="A1713" t="str">
            <v>7098639</v>
          </cell>
          <cell r="B1713" t="str">
            <v>700200</v>
          </cell>
          <cell r="C1713" t="str">
            <v>Cleaning</v>
          </cell>
          <cell r="D1713" t="str">
            <v>160314</v>
          </cell>
          <cell r="E1713" t="str">
            <v>006</v>
          </cell>
          <cell r="F1713">
            <v>0</v>
          </cell>
          <cell r="G1713" t="str">
            <v>4500002301</v>
          </cell>
          <cell r="H1713" t="str">
            <v>ORD 1850030203</v>
          </cell>
          <cell r="I1713" t="str">
            <v>407286</v>
          </cell>
          <cell r="J1713" t="str">
            <v>PRUDENTIAL OVERALL SUPPLY</v>
          </cell>
          <cell r="K1713">
            <v>13.9</v>
          </cell>
          <cell r="L1713">
            <v>38145</v>
          </cell>
        </row>
        <row r="1714">
          <cell r="A1714" t="str">
            <v>7098639</v>
          </cell>
          <cell r="B1714" t="str">
            <v>700200</v>
          </cell>
          <cell r="C1714" t="str">
            <v>Cleaning</v>
          </cell>
          <cell r="D1714" t="str">
            <v>160441</v>
          </cell>
          <cell r="E1714" t="str">
            <v>006</v>
          </cell>
          <cell r="F1714">
            <v>0</v>
          </cell>
          <cell r="G1714" t="str">
            <v>4500002301</v>
          </cell>
          <cell r="H1714" t="str">
            <v>ORD 1850030203</v>
          </cell>
          <cell r="I1714" t="str">
            <v>407286</v>
          </cell>
          <cell r="J1714" t="str">
            <v>PRUDENTIAL OVERALL SUPPLY</v>
          </cell>
          <cell r="K1714">
            <v>13.9</v>
          </cell>
          <cell r="L1714">
            <v>38145</v>
          </cell>
        </row>
        <row r="1715">
          <cell r="A1715" t="str">
            <v>7098639</v>
          </cell>
          <cell r="B1715" t="str">
            <v>700200</v>
          </cell>
          <cell r="C1715" t="str">
            <v>Cleaning</v>
          </cell>
          <cell r="D1715" t="str">
            <v>202222</v>
          </cell>
          <cell r="E1715" t="str">
            <v>006</v>
          </cell>
          <cell r="F1715">
            <v>0</v>
          </cell>
          <cell r="G1715" t="str">
            <v>4500002301</v>
          </cell>
          <cell r="H1715" t="str">
            <v>ORD 1850030205</v>
          </cell>
          <cell r="I1715" t="str">
            <v>407286</v>
          </cell>
          <cell r="J1715" t="str">
            <v>PRUDENTIAL OVERALL SUPPLY</v>
          </cell>
          <cell r="K1715">
            <v>13.9</v>
          </cell>
          <cell r="L1715">
            <v>38146</v>
          </cell>
        </row>
        <row r="1716">
          <cell r="A1716" t="str">
            <v>7098639</v>
          </cell>
          <cell r="B1716" t="str">
            <v>700200</v>
          </cell>
          <cell r="C1716" t="str">
            <v>Cleaning</v>
          </cell>
          <cell r="D1716" t="str">
            <v>204422</v>
          </cell>
          <cell r="E1716" t="str">
            <v>006</v>
          </cell>
          <cell r="F1716">
            <v>0</v>
          </cell>
          <cell r="G1716" t="str">
            <v>4500002301</v>
          </cell>
          <cell r="H1716" t="str">
            <v>ORD 1850030205</v>
          </cell>
          <cell r="I1716" t="str">
            <v>407286</v>
          </cell>
          <cell r="J1716" t="str">
            <v>PRUDENTIAL OVERALL SUPPLY</v>
          </cell>
          <cell r="K1716">
            <v>13.9</v>
          </cell>
          <cell r="L1716">
            <v>38148</v>
          </cell>
        </row>
        <row r="1717">
          <cell r="A1717" t="str">
            <v>7098639</v>
          </cell>
          <cell r="B1717" t="str">
            <v>700200</v>
          </cell>
          <cell r="C1717" t="str">
            <v>Cleaning</v>
          </cell>
          <cell r="D1717" t="str">
            <v>160463</v>
          </cell>
          <cell r="E1717" t="str">
            <v>006</v>
          </cell>
          <cell r="F1717">
            <v>0</v>
          </cell>
          <cell r="G1717" t="str">
            <v>4500002301</v>
          </cell>
          <cell r="H1717" t="str">
            <v>ORD 1850030203</v>
          </cell>
          <cell r="I1717" t="str">
            <v>407286</v>
          </cell>
          <cell r="J1717" t="str">
            <v>PRUDENTIAL OVERALL SUPPLY</v>
          </cell>
          <cell r="K1717">
            <v>13.9</v>
          </cell>
          <cell r="L1717">
            <v>38147</v>
          </cell>
        </row>
        <row r="1718">
          <cell r="A1718" t="str">
            <v>7098639</v>
          </cell>
          <cell r="B1718" t="str">
            <v>700200</v>
          </cell>
          <cell r="C1718" t="str">
            <v>Cleaning</v>
          </cell>
          <cell r="D1718" t="str">
            <v>202417</v>
          </cell>
          <cell r="E1718" t="str">
            <v>006</v>
          </cell>
          <cell r="F1718">
            <v>0</v>
          </cell>
          <cell r="G1718" t="str">
            <v>4500002301</v>
          </cell>
          <cell r="H1718" t="str">
            <v>ORD 1850030203</v>
          </cell>
          <cell r="I1718" t="str">
            <v>407286</v>
          </cell>
          <cell r="J1718" t="str">
            <v>PRUDENTIAL OVERALL SUPPLY</v>
          </cell>
          <cell r="K1718">
            <v>13.9</v>
          </cell>
          <cell r="L1718">
            <v>38146</v>
          </cell>
        </row>
        <row r="1719">
          <cell r="A1719" t="str">
            <v>7098639</v>
          </cell>
          <cell r="B1719" t="str">
            <v>700200</v>
          </cell>
          <cell r="C1719" t="str">
            <v>Cleaning</v>
          </cell>
          <cell r="D1719" t="str">
            <v>204304</v>
          </cell>
          <cell r="E1719" t="str">
            <v>006</v>
          </cell>
          <cell r="F1719">
            <v>0</v>
          </cell>
          <cell r="G1719" t="str">
            <v>4500002301</v>
          </cell>
          <cell r="H1719" t="str">
            <v>ORD 1850030203</v>
          </cell>
          <cell r="I1719" t="str">
            <v>407286</v>
          </cell>
          <cell r="J1719" t="str">
            <v>PRUDENTIAL OVERALL SUPPLY</v>
          </cell>
          <cell r="K1719">
            <v>13.9</v>
          </cell>
          <cell r="L1719">
            <v>38146</v>
          </cell>
        </row>
        <row r="1720">
          <cell r="A1720" t="str">
            <v>7098639</v>
          </cell>
          <cell r="B1720" t="str">
            <v>700200</v>
          </cell>
          <cell r="C1720" t="str">
            <v>Cleaning</v>
          </cell>
          <cell r="D1720" t="str">
            <v>202415</v>
          </cell>
          <cell r="E1720" t="str">
            <v>006</v>
          </cell>
          <cell r="F1720">
            <v>0</v>
          </cell>
          <cell r="G1720" t="str">
            <v>4500002301</v>
          </cell>
          <cell r="H1720" t="str">
            <v>ORD 1850030205</v>
          </cell>
          <cell r="I1720" t="str">
            <v>407286</v>
          </cell>
          <cell r="J1720" t="str">
            <v>PRUDENTIAL OVERALL SUPPLY</v>
          </cell>
          <cell r="K1720">
            <v>13.9</v>
          </cell>
          <cell r="L1720">
            <v>38146</v>
          </cell>
        </row>
        <row r="1721">
          <cell r="A1721" t="str">
            <v>7098639</v>
          </cell>
          <cell r="B1721" t="str">
            <v>700200</v>
          </cell>
          <cell r="C1721" t="str">
            <v>Cleaning</v>
          </cell>
          <cell r="D1721" t="str">
            <v>226918</v>
          </cell>
          <cell r="E1721" t="str">
            <v>006</v>
          </cell>
          <cell r="F1721">
            <v>0</v>
          </cell>
          <cell r="G1721" t="str">
            <v>4500002301</v>
          </cell>
          <cell r="H1721" t="str">
            <v>ORD 1850030205</v>
          </cell>
          <cell r="I1721" t="str">
            <v>407286</v>
          </cell>
          <cell r="J1721" t="str">
            <v>PRUDENTIAL OVERALL SUPPLY</v>
          </cell>
          <cell r="K1721">
            <v>13.9</v>
          </cell>
          <cell r="L1721">
            <v>38160</v>
          </cell>
        </row>
        <row r="1722">
          <cell r="A1722" t="str">
            <v>7098639</v>
          </cell>
          <cell r="B1722" t="str">
            <v>700200</v>
          </cell>
          <cell r="C1722" t="str">
            <v>Cleaning</v>
          </cell>
          <cell r="D1722" t="str">
            <v>227652</v>
          </cell>
          <cell r="E1722" t="str">
            <v>006</v>
          </cell>
          <cell r="F1722">
            <v>0</v>
          </cell>
          <cell r="G1722" t="str">
            <v>4500002301</v>
          </cell>
          <cell r="H1722" t="str">
            <v>ORD 1850030203</v>
          </cell>
          <cell r="I1722" t="str">
            <v>407286</v>
          </cell>
          <cell r="J1722" t="str">
            <v>PRUDENTIAL OVERALL SUPPLY</v>
          </cell>
          <cell r="K1722">
            <v>13.9</v>
          </cell>
          <cell r="L1722">
            <v>38160</v>
          </cell>
        </row>
        <row r="1723">
          <cell r="A1723" t="str">
            <v>7098639</v>
          </cell>
          <cell r="B1723" t="str">
            <v>700200</v>
          </cell>
          <cell r="C1723" t="str">
            <v>Cleaning</v>
          </cell>
          <cell r="D1723" t="str">
            <v>230049</v>
          </cell>
          <cell r="E1723" t="str">
            <v>006</v>
          </cell>
          <cell r="F1723">
            <v>0</v>
          </cell>
          <cell r="G1723" t="str">
            <v>4500002301</v>
          </cell>
          <cell r="H1723" t="str">
            <v>ORD 1850030203</v>
          </cell>
          <cell r="I1723" t="str">
            <v>407286</v>
          </cell>
          <cell r="J1723" t="str">
            <v>PRUDENTIAL OVERALL SUPPLY</v>
          </cell>
          <cell r="K1723">
            <v>13.9</v>
          </cell>
          <cell r="L1723">
            <v>38161</v>
          </cell>
        </row>
        <row r="1724">
          <cell r="A1724" t="str">
            <v>7098639</v>
          </cell>
          <cell r="B1724" t="str">
            <v>700200</v>
          </cell>
          <cell r="C1724" t="str">
            <v>Cleaning</v>
          </cell>
          <cell r="D1724" t="str">
            <v>160341</v>
          </cell>
          <cell r="E1724" t="str">
            <v>006</v>
          </cell>
          <cell r="F1724">
            <v>0</v>
          </cell>
          <cell r="G1724" t="str">
            <v>4500002301</v>
          </cell>
          <cell r="H1724" t="str">
            <v>ORD 1850030203</v>
          </cell>
          <cell r="I1724" t="str">
            <v>407286</v>
          </cell>
          <cell r="J1724" t="str">
            <v>PRUDENTIAL OVERALL SUPPLY</v>
          </cell>
          <cell r="K1724">
            <v>18</v>
          </cell>
          <cell r="L1724">
            <v>38145</v>
          </cell>
        </row>
        <row r="1725">
          <cell r="A1725" t="str">
            <v>7098639</v>
          </cell>
          <cell r="B1725" t="str">
            <v>700200</v>
          </cell>
          <cell r="C1725" t="str">
            <v>Cleaning</v>
          </cell>
          <cell r="D1725" t="str">
            <v>160314</v>
          </cell>
          <cell r="E1725" t="str">
            <v>006</v>
          </cell>
          <cell r="F1725">
            <v>0</v>
          </cell>
          <cell r="G1725" t="str">
            <v>4500002301</v>
          </cell>
          <cell r="H1725" t="str">
            <v>ORD 1850030203</v>
          </cell>
          <cell r="I1725" t="str">
            <v>407286</v>
          </cell>
          <cell r="J1725" t="str">
            <v>PRUDENTIAL OVERALL SUPPLY</v>
          </cell>
          <cell r="K1725">
            <v>18</v>
          </cell>
          <cell r="L1725">
            <v>38145</v>
          </cell>
        </row>
        <row r="1726">
          <cell r="A1726" t="str">
            <v>7098639</v>
          </cell>
          <cell r="B1726" t="str">
            <v>700200</v>
          </cell>
          <cell r="C1726" t="str">
            <v>Cleaning</v>
          </cell>
          <cell r="D1726" t="str">
            <v>160441</v>
          </cell>
          <cell r="E1726" t="str">
            <v>006</v>
          </cell>
          <cell r="F1726">
            <v>0</v>
          </cell>
          <cell r="G1726" t="str">
            <v>4500002301</v>
          </cell>
          <cell r="H1726" t="str">
            <v>ORD 1850030203</v>
          </cell>
          <cell r="I1726" t="str">
            <v>407286</v>
          </cell>
          <cell r="J1726" t="str">
            <v>PRUDENTIAL OVERALL SUPPLY</v>
          </cell>
          <cell r="K1726">
            <v>18</v>
          </cell>
          <cell r="L1726">
            <v>38145</v>
          </cell>
        </row>
        <row r="1727">
          <cell r="A1727" t="str">
            <v>7098639</v>
          </cell>
          <cell r="B1727" t="str">
            <v>700200</v>
          </cell>
          <cell r="C1727" t="str">
            <v>Cleaning</v>
          </cell>
          <cell r="D1727" t="str">
            <v>160463</v>
          </cell>
          <cell r="E1727" t="str">
            <v>006</v>
          </cell>
          <cell r="F1727">
            <v>0</v>
          </cell>
          <cell r="G1727" t="str">
            <v>4500002301</v>
          </cell>
          <cell r="H1727" t="str">
            <v>ORD 1850030203</v>
          </cell>
          <cell r="I1727" t="str">
            <v>407286</v>
          </cell>
          <cell r="J1727" t="str">
            <v>PRUDENTIAL OVERALL SUPPLY</v>
          </cell>
          <cell r="K1727">
            <v>18</v>
          </cell>
          <cell r="L1727">
            <v>38147</v>
          </cell>
        </row>
        <row r="1728">
          <cell r="A1728" t="str">
            <v>7098639</v>
          </cell>
          <cell r="B1728" t="str">
            <v>700200</v>
          </cell>
          <cell r="C1728" t="str">
            <v>Cleaning</v>
          </cell>
          <cell r="D1728" t="str">
            <v>202417</v>
          </cell>
          <cell r="E1728" t="str">
            <v>006</v>
          </cell>
          <cell r="F1728">
            <v>0</v>
          </cell>
          <cell r="G1728" t="str">
            <v>4500002301</v>
          </cell>
          <cell r="H1728" t="str">
            <v>ORD 1850030203</v>
          </cell>
          <cell r="I1728" t="str">
            <v>407286</v>
          </cell>
          <cell r="J1728" t="str">
            <v>PRUDENTIAL OVERALL SUPPLY</v>
          </cell>
          <cell r="K1728">
            <v>18</v>
          </cell>
          <cell r="L1728">
            <v>38146</v>
          </cell>
        </row>
        <row r="1729">
          <cell r="A1729" t="str">
            <v>7098639</v>
          </cell>
          <cell r="B1729" t="str">
            <v>700200</v>
          </cell>
          <cell r="C1729" t="str">
            <v>Cleaning</v>
          </cell>
          <cell r="D1729" t="str">
            <v>204304</v>
          </cell>
          <cell r="E1729" t="str">
            <v>006</v>
          </cell>
          <cell r="F1729">
            <v>0</v>
          </cell>
          <cell r="G1729" t="str">
            <v>4500002301</v>
          </cell>
          <cell r="H1729" t="str">
            <v>ORD 1850030203</v>
          </cell>
          <cell r="I1729" t="str">
            <v>407286</v>
          </cell>
          <cell r="J1729" t="str">
            <v>PRUDENTIAL OVERALL SUPPLY</v>
          </cell>
          <cell r="K1729">
            <v>18</v>
          </cell>
          <cell r="L1729">
            <v>38146</v>
          </cell>
        </row>
        <row r="1730">
          <cell r="A1730" t="str">
            <v>7098639</v>
          </cell>
          <cell r="B1730" t="str">
            <v>700200</v>
          </cell>
          <cell r="C1730" t="str">
            <v>Cleaning</v>
          </cell>
          <cell r="D1730" t="str">
            <v>226918</v>
          </cell>
          <cell r="E1730" t="str">
            <v>006</v>
          </cell>
          <cell r="F1730">
            <v>0</v>
          </cell>
          <cell r="G1730" t="str">
            <v>4500002301</v>
          </cell>
          <cell r="H1730" t="str">
            <v>ORD 1850030205</v>
          </cell>
          <cell r="I1730" t="str">
            <v>407286</v>
          </cell>
          <cell r="J1730" t="str">
            <v>PRUDENTIAL OVERALL SUPPLY</v>
          </cell>
          <cell r="K1730">
            <v>18</v>
          </cell>
          <cell r="L1730">
            <v>38160</v>
          </cell>
        </row>
        <row r="1731">
          <cell r="A1731" t="str">
            <v>7098639</v>
          </cell>
          <cell r="B1731" t="str">
            <v>700200</v>
          </cell>
          <cell r="C1731" t="str">
            <v>Cleaning</v>
          </cell>
          <cell r="D1731" t="str">
            <v>227652</v>
          </cell>
          <cell r="E1731" t="str">
            <v>006</v>
          </cell>
          <cell r="F1731">
            <v>0</v>
          </cell>
          <cell r="G1731" t="str">
            <v>4500002301</v>
          </cell>
          <cell r="H1731" t="str">
            <v>ORD 1850030203</v>
          </cell>
          <cell r="I1731" t="str">
            <v>407286</v>
          </cell>
          <cell r="J1731" t="str">
            <v>PRUDENTIAL OVERALL SUPPLY</v>
          </cell>
          <cell r="K1731">
            <v>18</v>
          </cell>
          <cell r="L1731">
            <v>38160</v>
          </cell>
        </row>
        <row r="1732">
          <cell r="A1732" t="str">
            <v>7098639</v>
          </cell>
          <cell r="B1732" t="str">
            <v>700200</v>
          </cell>
          <cell r="C1732" t="str">
            <v>Cleaning</v>
          </cell>
          <cell r="D1732" t="str">
            <v>230049</v>
          </cell>
          <cell r="E1732" t="str">
            <v>006</v>
          </cell>
          <cell r="F1732">
            <v>0</v>
          </cell>
          <cell r="G1732" t="str">
            <v>4500002301</v>
          </cell>
          <cell r="H1732" t="str">
            <v>ORD 1850030203</v>
          </cell>
          <cell r="I1732" t="str">
            <v>407286</v>
          </cell>
          <cell r="J1732" t="str">
            <v>PRUDENTIAL OVERALL SUPPLY</v>
          </cell>
          <cell r="K1732">
            <v>18</v>
          </cell>
          <cell r="L1732">
            <v>38161</v>
          </cell>
        </row>
        <row r="1733">
          <cell r="A1733" t="str">
            <v>7098639</v>
          </cell>
          <cell r="B1733" t="str">
            <v>700200</v>
          </cell>
          <cell r="C1733" t="str">
            <v>Cleaning</v>
          </cell>
          <cell r="D1733" t="str">
            <v>160341</v>
          </cell>
          <cell r="E1733" t="str">
            <v>006</v>
          </cell>
          <cell r="F1733">
            <v>0</v>
          </cell>
          <cell r="G1733" t="str">
            <v>4500002301</v>
          </cell>
          <cell r="H1733" t="str">
            <v>ORD 1850030203</v>
          </cell>
          <cell r="I1733" t="str">
            <v>407286</v>
          </cell>
          <cell r="J1733" t="str">
            <v>PRUDENTIAL OVERALL SUPPLY</v>
          </cell>
          <cell r="K1733">
            <v>19</v>
          </cell>
          <cell r="L1733">
            <v>38145</v>
          </cell>
        </row>
        <row r="1734">
          <cell r="A1734" t="str">
            <v>7098639</v>
          </cell>
          <cell r="B1734" t="str">
            <v>700200</v>
          </cell>
          <cell r="C1734" t="str">
            <v>Cleaning</v>
          </cell>
          <cell r="D1734" t="str">
            <v>160314</v>
          </cell>
          <cell r="E1734" t="str">
            <v>006</v>
          </cell>
          <cell r="F1734">
            <v>0</v>
          </cell>
          <cell r="G1734" t="str">
            <v>4500002301</v>
          </cell>
          <cell r="H1734" t="str">
            <v>ORD 1850030203</v>
          </cell>
          <cell r="I1734" t="str">
            <v>407286</v>
          </cell>
          <cell r="J1734" t="str">
            <v>PRUDENTIAL OVERALL SUPPLY</v>
          </cell>
          <cell r="K1734">
            <v>19</v>
          </cell>
          <cell r="L1734">
            <v>38145</v>
          </cell>
        </row>
        <row r="1735">
          <cell r="A1735" t="str">
            <v>7098639</v>
          </cell>
          <cell r="B1735" t="str">
            <v>700200</v>
          </cell>
          <cell r="C1735" t="str">
            <v>Cleaning</v>
          </cell>
          <cell r="D1735" t="str">
            <v>160441</v>
          </cell>
          <cell r="E1735" t="str">
            <v>006</v>
          </cell>
          <cell r="F1735">
            <v>0</v>
          </cell>
          <cell r="G1735" t="str">
            <v>4500002301</v>
          </cell>
          <cell r="H1735" t="str">
            <v>ORD 1850030203</v>
          </cell>
          <cell r="I1735" t="str">
            <v>407286</v>
          </cell>
          <cell r="J1735" t="str">
            <v>PRUDENTIAL OVERALL SUPPLY</v>
          </cell>
          <cell r="K1735">
            <v>19</v>
          </cell>
          <cell r="L1735">
            <v>38145</v>
          </cell>
        </row>
        <row r="1736">
          <cell r="A1736" t="str">
            <v>7098639</v>
          </cell>
          <cell r="B1736" t="str">
            <v>700200</v>
          </cell>
          <cell r="C1736" t="str">
            <v>Cleaning</v>
          </cell>
          <cell r="D1736" t="str">
            <v>160463</v>
          </cell>
          <cell r="E1736" t="str">
            <v>006</v>
          </cell>
          <cell r="F1736">
            <v>0</v>
          </cell>
          <cell r="G1736" t="str">
            <v>4500002301</v>
          </cell>
          <cell r="H1736" t="str">
            <v>ORD 1850030203</v>
          </cell>
          <cell r="I1736" t="str">
            <v>407286</v>
          </cell>
          <cell r="J1736" t="str">
            <v>PRUDENTIAL OVERALL SUPPLY</v>
          </cell>
          <cell r="K1736">
            <v>19</v>
          </cell>
          <cell r="L1736">
            <v>38147</v>
          </cell>
        </row>
        <row r="1737">
          <cell r="A1737" t="str">
            <v>7098639</v>
          </cell>
          <cell r="B1737" t="str">
            <v>700200</v>
          </cell>
          <cell r="C1737" t="str">
            <v>Cleaning</v>
          </cell>
          <cell r="D1737" t="str">
            <v>202417</v>
          </cell>
          <cell r="E1737" t="str">
            <v>006</v>
          </cell>
          <cell r="F1737">
            <v>0</v>
          </cell>
          <cell r="G1737" t="str">
            <v>4500002301</v>
          </cell>
          <cell r="H1737" t="str">
            <v>ORD 1850030203</v>
          </cell>
          <cell r="I1737" t="str">
            <v>407286</v>
          </cell>
          <cell r="J1737" t="str">
            <v>PRUDENTIAL OVERALL SUPPLY</v>
          </cell>
          <cell r="K1737">
            <v>19</v>
          </cell>
          <cell r="L1737">
            <v>38146</v>
          </cell>
        </row>
        <row r="1738">
          <cell r="A1738" t="str">
            <v>7098639</v>
          </cell>
          <cell r="B1738" t="str">
            <v>700200</v>
          </cell>
          <cell r="C1738" t="str">
            <v>Cleaning</v>
          </cell>
          <cell r="D1738" t="str">
            <v>204304</v>
          </cell>
          <cell r="E1738" t="str">
            <v>006</v>
          </cell>
          <cell r="F1738">
            <v>0</v>
          </cell>
          <cell r="G1738" t="str">
            <v>4500002301</v>
          </cell>
          <cell r="H1738" t="str">
            <v>ORD 1850030203</v>
          </cell>
          <cell r="I1738" t="str">
            <v>407286</v>
          </cell>
          <cell r="J1738" t="str">
            <v>PRUDENTIAL OVERALL SUPPLY</v>
          </cell>
          <cell r="K1738">
            <v>19</v>
          </cell>
          <cell r="L1738">
            <v>38146</v>
          </cell>
        </row>
        <row r="1739">
          <cell r="A1739" t="str">
            <v>7098639</v>
          </cell>
          <cell r="B1739" t="str">
            <v>700200</v>
          </cell>
          <cell r="C1739" t="str">
            <v>Cleaning</v>
          </cell>
          <cell r="D1739" t="str">
            <v>226918</v>
          </cell>
          <cell r="E1739" t="str">
            <v>006</v>
          </cell>
          <cell r="F1739">
            <v>0</v>
          </cell>
          <cell r="G1739" t="str">
            <v>4500002301</v>
          </cell>
          <cell r="H1739" t="str">
            <v>ORD 1850030205</v>
          </cell>
          <cell r="I1739" t="str">
            <v>407286</v>
          </cell>
          <cell r="J1739" t="str">
            <v>PRUDENTIAL OVERALL SUPPLY</v>
          </cell>
          <cell r="K1739">
            <v>19</v>
          </cell>
          <cell r="L1739">
            <v>38160</v>
          </cell>
        </row>
        <row r="1740">
          <cell r="A1740" t="str">
            <v>7098639</v>
          </cell>
          <cell r="B1740" t="str">
            <v>700200</v>
          </cell>
          <cell r="C1740" t="str">
            <v>Cleaning</v>
          </cell>
          <cell r="D1740" t="str">
            <v>227652</v>
          </cell>
          <cell r="E1740" t="str">
            <v>006</v>
          </cell>
          <cell r="F1740">
            <v>0</v>
          </cell>
          <cell r="G1740" t="str">
            <v>4500002301</v>
          </cell>
          <cell r="H1740" t="str">
            <v>ORD 1850030203</v>
          </cell>
          <cell r="I1740" t="str">
            <v>407286</v>
          </cell>
          <cell r="J1740" t="str">
            <v>PRUDENTIAL OVERALL SUPPLY</v>
          </cell>
          <cell r="K1740">
            <v>19</v>
          </cell>
          <cell r="L1740">
            <v>38160</v>
          </cell>
        </row>
        <row r="1741">
          <cell r="A1741" t="str">
            <v>7098639</v>
          </cell>
          <cell r="B1741" t="str">
            <v>700200</v>
          </cell>
          <cell r="C1741" t="str">
            <v>Cleaning</v>
          </cell>
          <cell r="D1741" t="str">
            <v>230049</v>
          </cell>
          <cell r="E1741" t="str">
            <v>006</v>
          </cell>
          <cell r="F1741">
            <v>0</v>
          </cell>
          <cell r="G1741" t="str">
            <v>4500002301</v>
          </cell>
          <cell r="H1741" t="str">
            <v>ORD 1850030203</v>
          </cell>
          <cell r="I1741" t="str">
            <v>407286</v>
          </cell>
          <cell r="J1741" t="str">
            <v>PRUDENTIAL OVERALL SUPPLY</v>
          </cell>
          <cell r="K1741">
            <v>19</v>
          </cell>
          <cell r="L1741">
            <v>38161</v>
          </cell>
        </row>
        <row r="1742">
          <cell r="A1742" t="str">
            <v>7098639</v>
          </cell>
          <cell r="B1742" t="str">
            <v>700200</v>
          </cell>
          <cell r="C1742" t="str">
            <v>Cleaning</v>
          </cell>
          <cell r="D1742" t="str">
            <v>160341</v>
          </cell>
          <cell r="E1742" t="str">
            <v>006</v>
          </cell>
          <cell r="F1742">
            <v>0</v>
          </cell>
          <cell r="G1742" t="str">
            <v>4500002301</v>
          </cell>
          <cell r="H1742" t="str">
            <v>ORD 1850030203</v>
          </cell>
          <cell r="I1742" t="str">
            <v>407286</v>
          </cell>
          <cell r="J1742" t="str">
            <v>PRUDENTIAL OVERALL SUPPLY</v>
          </cell>
          <cell r="K1742">
            <v>22.5</v>
          </cell>
          <cell r="L1742">
            <v>38145</v>
          </cell>
        </row>
        <row r="1743">
          <cell r="A1743" t="str">
            <v>7098639</v>
          </cell>
          <cell r="B1743" t="str">
            <v>700200</v>
          </cell>
          <cell r="C1743" t="str">
            <v>Cleaning</v>
          </cell>
          <cell r="D1743" t="str">
            <v>160314</v>
          </cell>
          <cell r="E1743" t="str">
            <v>006</v>
          </cell>
          <cell r="F1743">
            <v>0</v>
          </cell>
          <cell r="G1743" t="str">
            <v>4500002301</v>
          </cell>
          <cell r="H1743" t="str">
            <v>ORD 1850030203</v>
          </cell>
          <cell r="I1743" t="str">
            <v>407286</v>
          </cell>
          <cell r="J1743" t="str">
            <v>PRUDENTIAL OVERALL SUPPLY</v>
          </cell>
          <cell r="K1743">
            <v>22.5</v>
          </cell>
          <cell r="L1743">
            <v>38145</v>
          </cell>
        </row>
        <row r="1744">
          <cell r="A1744" t="str">
            <v>7098639</v>
          </cell>
          <cell r="B1744" t="str">
            <v>700200</v>
          </cell>
          <cell r="C1744" t="str">
            <v>Cleaning</v>
          </cell>
          <cell r="D1744" t="str">
            <v>160441</v>
          </cell>
          <cell r="E1744" t="str">
            <v>006</v>
          </cell>
          <cell r="F1744">
            <v>0</v>
          </cell>
          <cell r="G1744" t="str">
            <v>4500002301</v>
          </cell>
          <cell r="H1744" t="str">
            <v>ORD 1850030203</v>
          </cell>
          <cell r="I1744" t="str">
            <v>407286</v>
          </cell>
          <cell r="J1744" t="str">
            <v>PRUDENTIAL OVERALL SUPPLY</v>
          </cell>
          <cell r="K1744">
            <v>22.5</v>
          </cell>
          <cell r="L1744">
            <v>38145</v>
          </cell>
        </row>
        <row r="1745">
          <cell r="A1745" t="str">
            <v>7098639</v>
          </cell>
          <cell r="B1745" t="str">
            <v>700200</v>
          </cell>
          <cell r="C1745" t="str">
            <v>Cleaning</v>
          </cell>
          <cell r="D1745" t="str">
            <v>160463</v>
          </cell>
          <cell r="E1745" t="str">
            <v>006</v>
          </cell>
          <cell r="F1745">
            <v>0</v>
          </cell>
          <cell r="G1745" t="str">
            <v>4500002301</v>
          </cell>
          <cell r="H1745" t="str">
            <v>ORD 1850030203</v>
          </cell>
          <cell r="I1745" t="str">
            <v>407286</v>
          </cell>
          <cell r="J1745" t="str">
            <v>PRUDENTIAL OVERALL SUPPLY</v>
          </cell>
          <cell r="K1745">
            <v>22.5</v>
          </cell>
          <cell r="L1745">
            <v>38147</v>
          </cell>
        </row>
        <row r="1746">
          <cell r="A1746" t="str">
            <v>7098639</v>
          </cell>
          <cell r="B1746" t="str">
            <v>700200</v>
          </cell>
          <cell r="C1746" t="str">
            <v>Cleaning</v>
          </cell>
          <cell r="D1746" t="str">
            <v>202417</v>
          </cell>
          <cell r="E1746" t="str">
            <v>006</v>
          </cell>
          <cell r="F1746">
            <v>0</v>
          </cell>
          <cell r="G1746" t="str">
            <v>4500002301</v>
          </cell>
          <cell r="H1746" t="str">
            <v>ORD 1850030203</v>
          </cell>
          <cell r="I1746" t="str">
            <v>407286</v>
          </cell>
          <cell r="J1746" t="str">
            <v>PRUDENTIAL OVERALL SUPPLY</v>
          </cell>
          <cell r="K1746">
            <v>22.5</v>
          </cell>
          <cell r="L1746">
            <v>38146</v>
          </cell>
        </row>
        <row r="1747">
          <cell r="A1747" t="str">
            <v>7098639</v>
          </cell>
          <cell r="B1747" t="str">
            <v>700200</v>
          </cell>
          <cell r="C1747" t="str">
            <v>Cleaning</v>
          </cell>
          <cell r="D1747" t="str">
            <v>204304</v>
          </cell>
          <cell r="E1747" t="str">
            <v>006</v>
          </cell>
          <cell r="F1747">
            <v>0</v>
          </cell>
          <cell r="G1747" t="str">
            <v>4500002301</v>
          </cell>
          <cell r="H1747" t="str">
            <v>ORD 1850030203</v>
          </cell>
          <cell r="I1747" t="str">
            <v>407286</v>
          </cell>
          <cell r="J1747" t="str">
            <v>PRUDENTIAL OVERALL SUPPLY</v>
          </cell>
          <cell r="K1747">
            <v>22.5</v>
          </cell>
          <cell r="L1747">
            <v>38146</v>
          </cell>
        </row>
        <row r="1748">
          <cell r="A1748" t="str">
            <v>7098639</v>
          </cell>
          <cell r="B1748" t="str">
            <v>700200</v>
          </cell>
          <cell r="C1748" t="str">
            <v>Cleaning</v>
          </cell>
          <cell r="D1748" t="str">
            <v>226918</v>
          </cell>
          <cell r="E1748" t="str">
            <v>006</v>
          </cell>
          <cell r="F1748">
            <v>0</v>
          </cell>
          <cell r="G1748" t="str">
            <v>4500002301</v>
          </cell>
          <cell r="H1748" t="str">
            <v>ORD 1850030203</v>
          </cell>
          <cell r="I1748" t="str">
            <v>407286</v>
          </cell>
          <cell r="J1748" t="str">
            <v>PRUDENTIAL OVERALL SUPPLY</v>
          </cell>
          <cell r="K1748">
            <v>22.5</v>
          </cell>
          <cell r="L1748">
            <v>38160</v>
          </cell>
        </row>
        <row r="1749">
          <cell r="A1749" t="str">
            <v>7098639</v>
          </cell>
          <cell r="B1749" t="str">
            <v>700200</v>
          </cell>
          <cell r="C1749" t="str">
            <v>Cleaning</v>
          </cell>
          <cell r="D1749" t="str">
            <v>227652</v>
          </cell>
          <cell r="E1749" t="str">
            <v>006</v>
          </cell>
          <cell r="F1749">
            <v>0</v>
          </cell>
          <cell r="G1749" t="str">
            <v>4500002301</v>
          </cell>
          <cell r="H1749" t="str">
            <v>ORD 1850030203</v>
          </cell>
          <cell r="I1749" t="str">
            <v>407286</v>
          </cell>
          <cell r="J1749" t="str">
            <v>PRUDENTIAL OVERALL SUPPLY</v>
          </cell>
          <cell r="K1749">
            <v>22.5</v>
          </cell>
          <cell r="L1749">
            <v>38160</v>
          </cell>
        </row>
        <row r="1750">
          <cell r="A1750" t="str">
            <v>7098639</v>
          </cell>
          <cell r="B1750" t="str">
            <v>700200</v>
          </cell>
          <cell r="C1750" t="str">
            <v>Cleaning</v>
          </cell>
          <cell r="D1750" t="str">
            <v>230049</v>
          </cell>
          <cell r="E1750" t="str">
            <v>006</v>
          </cell>
          <cell r="F1750">
            <v>0</v>
          </cell>
          <cell r="G1750" t="str">
            <v>4500002301</v>
          </cell>
          <cell r="H1750" t="str">
            <v>ORD 1850030203</v>
          </cell>
          <cell r="I1750" t="str">
            <v>407286</v>
          </cell>
          <cell r="J1750" t="str">
            <v>PRUDENTIAL OVERALL SUPPLY</v>
          </cell>
          <cell r="K1750">
            <v>22.5</v>
          </cell>
          <cell r="L1750">
            <v>38161</v>
          </cell>
        </row>
        <row r="1751">
          <cell r="A1751" t="str">
            <v>7098639</v>
          </cell>
          <cell r="B1751" t="str">
            <v>700200</v>
          </cell>
          <cell r="C1751" t="str">
            <v>Cleaning</v>
          </cell>
          <cell r="D1751" t="str">
            <v>202222</v>
          </cell>
          <cell r="E1751" t="str">
            <v>006</v>
          </cell>
          <cell r="F1751">
            <v>0</v>
          </cell>
          <cell r="G1751" t="str">
            <v>4500002301</v>
          </cell>
          <cell r="H1751" t="str">
            <v>ORD 1850030205</v>
          </cell>
          <cell r="I1751" t="str">
            <v>407286</v>
          </cell>
          <cell r="J1751" t="str">
            <v>PRUDENTIAL OVERALL SUPPLY</v>
          </cell>
          <cell r="K1751">
            <v>26.23</v>
          </cell>
          <cell r="L1751">
            <v>38146</v>
          </cell>
        </row>
        <row r="1752">
          <cell r="A1752" t="str">
            <v>7098639</v>
          </cell>
          <cell r="B1752" t="str">
            <v>700200</v>
          </cell>
          <cell r="C1752" t="str">
            <v>Cleaning</v>
          </cell>
          <cell r="D1752" t="str">
            <v>160311</v>
          </cell>
          <cell r="E1752" t="str">
            <v>006</v>
          </cell>
          <cell r="F1752">
            <v>0</v>
          </cell>
          <cell r="G1752" t="str">
            <v>4500002301</v>
          </cell>
          <cell r="H1752" t="str">
            <v>ORD 1850030205</v>
          </cell>
          <cell r="I1752" t="str">
            <v>407286</v>
          </cell>
          <cell r="J1752" t="str">
            <v>PRUDENTIAL OVERALL SUPPLY</v>
          </cell>
          <cell r="K1752">
            <v>26.25</v>
          </cell>
          <cell r="L1752">
            <v>38145</v>
          </cell>
        </row>
        <row r="1753">
          <cell r="A1753" t="str">
            <v>7098639</v>
          </cell>
          <cell r="B1753" t="str">
            <v>700200</v>
          </cell>
          <cell r="C1753" t="str">
            <v>Cleaning</v>
          </cell>
          <cell r="D1753" t="str">
            <v>160445</v>
          </cell>
          <cell r="E1753" t="str">
            <v>006</v>
          </cell>
          <cell r="F1753">
            <v>0</v>
          </cell>
          <cell r="G1753" t="str">
            <v>4500002301</v>
          </cell>
          <cell r="H1753" t="str">
            <v>ORD 1850030205</v>
          </cell>
          <cell r="I1753" t="str">
            <v>407286</v>
          </cell>
          <cell r="J1753" t="str">
            <v>PRUDENTIAL OVERALL SUPPLY</v>
          </cell>
          <cell r="K1753">
            <v>26.25</v>
          </cell>
          <cell r="L1753">
            <v>38145</v>
          </cell>
        </row>
        <row r="1754">
          <cell r="A1754" t="str">
            <v>7098639</v>
          </cell>
          <cell r="B1754" t="str">
            <v>700200</v>
          </cell>
          <cell r="C1754" t="str">
            <v>Cleaning</v>
          </cell>
          <cell r="D1754" t="str">
            <v>160444</v>
          </cell>
          <cell r="E1754" t="str">
            <v>006</v>
          </cell>
          <cell r="F1754">
            <v>0</v>
          </cell>
          <cell r="G1754" t="str">
            <v>4500002301</v>
          </cell>
          <cell r="H1754" t="str">
            <v>ORD 1850030205</v>
          </cell>
          <cell r="I1754" t="str">
            <v>407286</v>
          </cell>
          <cell r="J1754" t="str">
            <v>PRUDENTIAL OVERALL SUPPLY</v>
          </cell>
          <cell r="K1754">
            <v>26.25</v>
          </cell>
          <cell r="L1754">
            <v>38145</v>
          </cell>
        </row>
        <row r="1755">
          <cell r="A1755" t="str">
            <v>7098639</v>
          </cell>
          <cell r="B1755" t="str">
            <v>700200</v>
          </cell>
          <cell r="C1755" t="str">
            <v>Cleaning</v>
          </cell>
          <cell r="D1755" t="str">
            <v>202327</v>
          </cell>
          <cell r="E1755" t="str">
            <v>006</v>
          </cell>
          <cell r="F1755">
            <v>0</v>
          </cell>
          <cell r="G1755" t="str">
            <v>4500002301</v>
          </cell>
          <cell r="H1755" t="str">
            <v>ORD 1850030205</v>
          </cell>
          <cell r="I1755" t="str">
            <v>407286</v>
          </cell>
          <cell r="J1755" t="str">
            <v>PRUDENTIAL OVERALL SUPPLY</v>
          </cell>
          <cell r="K1755">
            <v>26.25</v>
          </cell>
          <cell r="L1755">
            <v>38147</v>
          </cell>
        </row>
        <row r="1756">
          <cell r="A1756" t="str">
            <v>7098639</v>
          </cell>
          <cell r="B1756" t="str">
            <v>700200</v>
          </cell>
          <cell r="C1756" t="str">
            <v>Cleaning</v>
          </cell>
          <cell r="D1756" t="str">
            <v>204422</v>
          </cell>
          <cell r="E1756" t="str">
            <v>006</v>
          </cell>
          <cell r="F1756">
            <v>0</v>
          </cell>
          <cell r="G1756" t="str">
            <v>4500002301</v>
          </cell>
          <cell r="H1756" t="str">
            <v>ORD 1850030205</v>
          </cell>
          <cell r="I1756" t="str">
            <v>407286</v>
          </cell>
          <cell r="J1756" t="str">
            <v>PRUDENTIAL OVERALL SUPPLY</v>
          </cell>
          <cell r="K1756">
            <v>26.25</v>
          </cell>
          <cell r="L1756">
            <v>38148</v>
          </cell>
        </row>
        <row r="1757">
          <cell r="A1757" t="str">
            <v>7098639</v>
          </cell>
          <cell r="B1757" t="str">
            <v>700200</v>
          </cell>
          <cell r="C1757" t="str">
            <v>Cleaning</v>
          </cell>
          <cell r="D1757" t="str">
            <v>202415</v>
          </cell>
          <cell r="E1757" t="str">
            <v>006</v>
          </cell>
          <cell r="F1757">
            <v>0</v>
          </cell>
          <cell r="G1757" t="str">
            <v>4500002301</v>
          </cell>
          <cell r="H1757" t="str">
            <v>ORD 1850030205</v>
          </cell>
          <cell r="I1757" t="str">
            <v>407286</v>
          </cell>
          <cell r="J1757" t="str">
            <v>PRUDENTIAL OVERALL SUPPLY</v>
          </cell>
          <cell r="K1757">
            <v>26.25</v>
          </cell>
          <cell r="L1757">
            <v>38146</v>
          </cell>
        </row>
        <row r="1758">
          <cell r="A1758" t="str">
            <v>7098639</v>
          </cell>
          <cell r="B1758" t="str">
            <v>700200</v>
          </cell>
          <cell r="C1758" t="str">
            <v>Cleaning</v>
          </cell>
          <cell r="D1758" t="str">
            <v>226913</v>
          </cell>
          <cell r="E1758" t="str">
            <v>006</v>
          </cell>
          <cell r="F1758">
            <v>0</v>
          </cell>
          <cell r="G1758" t="str">
            <v>4500002301</v>
          </cell>
          <cell r="H1758" t="str">
            <v>ORD 1850030203</v>
          </cell>
          <cell r="I1758" t="str">
            <v>407286</v>
          </cell>
          <cell r="J1758" t="str">
            <v>PRUDENTIAL OVERALL SUPPLY</v>
          </cell>
          <cell r="K1758">
            <v>26.25</v>
          </cell>
          <cell r="L1758">
            <v>38160</v>
          </cell>
        </row>
        <row r="1759">
          <cell r="A1759" t="str">
            <v>7098639</v>
          </cell>
          <cell r="B1759" t="str">
            <v>700200</v>
          </cell>
          <cell r="C1759" t="str">
            <v>Cleaning</v>
          </cell>
          <cell r="D1759" t="str">
            <v>226913</v>
          </cell>
          <cell r="E1759" t="str">
            <v>006</v>
          </cell>
          <cell r="F1759">
            <v>0</v>
          </cell>
          <cell r="G1759" t="str">
            <v>4500002301</v>
          </cell>
          <cell r="H1759" t="str">
            <v>ORD 1850030205</v>
          </cell>
          <cell r="I1759" t="str">
            <v>407286</v>
          </cell>
          <cell r="J1759" t="str">
            <v>PRUDENTIAL OVERALL SUPPLY</v>
          </cell>
          <cell r="K1759">
            <v>26.25</v>
          </cell>
          <cell r="L1759">
            <v>38160</v>
          </cell>
        </row>
        <row r="1760">
          <cell r="A1760" t="str">
            <v>7098639</v>
          </cell>
          <cell r="B1760" t="str">
            <v>700200</v>
          </cell>
          <cell r="C1760" t="str">
            <v>Cleaning</v>
          </cell>
          <cell r="D1760" t="str">
            <v>226913</v>
          </cell>
          <cell r="E1760" t="str">
            <v>006</v>
          </cell>
          <cell r="F1760">
            <v>0</v>
          </cell>
          <cell r="G1760" t="str">
            <v>4500002301</v>
          </cell>
          <cell r="H1760" t="str">
            <v>ORD 1850030203</v>
          </cell>
          <cell r="I1760" t="str">
            <v>407286</v>
          </cell>
          <cell r="J1760" t="str">
            <v>PRUDENTIAL OVERALL SUPPLY</v>
          </cell>
          <cell r="K1760">
            <v>29.65</v>
          </cell>
          <cell r="L1760">
            <v>38160</v>
          </cell>
        </row>
        <row r="1761">
          <cell r="A1761" t="str">
            <v>7098639</v>
          </cell>
          <cell r="B1761" t="str">
            <v>700200</v>
          </cell>
          <cell r="C1761" t="str">
            <v>Cleaning</v>
          </cell>
          <cell r="D1761" t="str">
            <v>161015804</v>
          </cell>
          <cell r="E1761" t="str">
            <v>006</v>
          </cell>
          <cell r="F1761" t="str">
            <v>Merit Pay Shortage B1 Scripps Summit Rd</v>
          </cell>
          <cell r="G1761">
            <v>0</v>
          </cell>
          <cell r="H1761" t="str">
            <v>ORD 1850030203</v>
          </cell>
          <cell r="I1761" t="str">
            <v>305114</v>
          </cell>
          <cell r="J1761" t="str">
            <v>AMERICAN HOUSEKEEPING INC</v>
          </cell>
          <cell r="K1761">
            <v>1662.96</v>
          </cell>
          <cell r="L1761">
            <v>38146</v>
          </cell>
        </row>
        <row r="1762">
          <cell r="A1762" t="str">
            <v>7098639</v>
          </cell>
          <cell r="B1762" t="str">
            <v>700200</v>
          </cell>
          <cell r="C1762" t="str">
            <v>Cleaning</v>
          </cell>
          <cell r="D1762" t="str">
            <v>161015804</v>
          </cell>
          <cell r="E1762" t="str">
            <v>006</v>
          </cell>
          <cell r="F1762" t="str">
            <v>Merit Pay Shortage B2 Scripps Summit Rd</v>
          </cell>
          <cell r="G1762">
            <v>0</v>
          </cell>
          <cell r="H1762" t="str">
            <v>ORD 1850030205</v>
          </cell>
          <cell r="I1762" t="str">
            <v>305114</v>
          </cell>
          <cell r="J1762" t="str">
            <v>AMERICAN HOUSEKEEPING INC</v>
          </cell>
          <cell r="K1762">
            <v>1662.96</v>
          </cell>
          <cell r="L1762">
            <v>38146</v>
          </cell>
        </row>
        <row r="1763">
          <cell r="A1763" t="str">
            <v>7098639</v>
          </cell>
          <cell r="B1763" t="str">
            <v>700200</v>
          </cell>
          <cell r="C1763" t="str">
            <v>Cleaning</v>
          </cell>
          <cell r="D1763" t="str">
            <v>161015804</v>
          </cell>
          <cell r="E1763" t="str">
            <v>006</v>
          </cell>
          <cell r="F1763" t="str">
            <v>Merit Pay Shortage B3 Scripps Summit Rd</v>
          </cell>
          <cell r="G1763">
            <v>0</v>
          </cell>
          <cell r="H1763" t="str">
            <v>ORD 1850030206</v>
          </cell>
          <cell r="I1763" t="str">
            <v>305114</v>
          </cell>
          <cell r="J1763" t="str">
            <v>AMERICAN HOUSEKEEPING INC</v>
          </cell>
          <cell r="K1763">
            <v>1662.96</v>
          </cell>
          <cell r="L1763">
            <v>38146</v>
          </cell>
        </row>
        <row r="1764">
          <cell r="A1764" t="str">
            <v>7098639</v>
          </cell>
          <cell r="B1764" t="str">
            <v>700200</v>
          </cell>
          <cell r="C1764" t="str">
            <v>Cleaning</v>
          </cell>
          <cell r="D1764" t="str">
            <v>751001668</v>
          </cell>
          <cell r="E1764" t="str">
            <v>006</v>
          </cell>
          <cell r="F1764" t="str">
            <v>San Diego</v>
          </cell>
          <cell r="G1764">
            <v>0</v>
          </cell>
          <cell r="H1764" t="str">
            <v>ORD 1850030200</v>
          </cell>
          <cell r="I1764" t="str">
            <v>273900</v>
          </cell>
          <cell r="J1764" t="str">
            <v>Other Accr Expenses</v>
          </cell>
          <cell r="K1764">
            <v>2809.28</v>
          </cell>
          <cell r="L1764">
            <v>38138</v>
          </cell>
        </row>
        <row r="1765">
          <cell r="A1765" t="str">
            <v>7098639</v>
          </cell>
          <cell r="B1765" t="str">
            <v>700200</v>
          </cell>
          <cell r="C1765" t="str">
            <v>Cleaning</v>
          </cell>
          <cell r="D1765" t="str">
            <v>360001059</v>
          </cell>
          <cell r="E1765" t="str">
            <v>006</v>
          </cell>
          <cell r="F1765" t="str">
            <v>*INV#44423 CUST#260 6/1-30/04 AMER.HOUSKEEP.</v>
          </cell>
          <cell r="G1765">
            <v>0</v>
          </cell>
          <cell r="H1765" t="str">
            <v>ORD 1850030206</v>
          </cell>
          <cell r="I1765" t="str">
            <v>305114</v>
          </cell>
          <cell r="J1765" t="str">
            <v>AMERICAN HOUSEKEEPING INC</v>
          </cell>
          <cell r="K1765">
            <v>5622.37</v>
          </cell>
          <cell r="L1765">
            <v>38146</v>
          </cell>
        </row>
        <row r="1766">
          <cell r="A1766" t="str">
            <v>7098639</v>
          </cell>
          <cell r="B1766" t="str">
            <v>700200</v>
          </cell>
          <cell r="C1766" t="str">
            <v>Cleaning</v>
          </cell>
          <cell r="D1766" t="str">
            <v>360001059</v>
          </cell>
          <cell r="E1766" t="str">
            <v>006</v>
          </cell>
          <cell r="F1766" t="str">
            <v>*INV#44423 CUST#260 6/1-30/04 AMER.HOUSKEEP.</v>
          </cell>
          <cell r="G1766">
            <v>0</v>
          </cell>
          <cell r="H1766" t="str">
            <v>ORD 1850030205</v>
          </cell>
          <cell r="I1766" t="str">
            <v>305114</v>
          </cell>
          <cell r="J1766" t="str">
            <v>AMERICAN HOUSEKEEPING INC</v>
          </cell>
          <cell r="K1766">
            <v>12847.27</v>
          </cell>
          <cell r="L1766">
            <v>38146</v>
          </cell>
        </row>
        <row r="1767">
          <cell r="A1767" t="str">
            <v>7098639</v>
          </cell>
          <cell r="B1767" t="str">
            <v>700200</v>
          </cell>
          <cell r="C1767" t="str">
            <v>Cleaning</v>
          </cell>
          <cell r="D1767" t="str">
            <v>360001059</v>
          </cell>
          <cell r="E1767" t="str">
            <v>006</v>
          </cell>
          <cell r="F1767" t="str">
            <v>*INV#44423 CUST#260 6/1-30/04 AMER.HOUSKEEP.</v>
          </cell>
          <cell r="G1767">
            <v>0</v>
          </cell>
          <cell r="H1767" t="str">
            <v>ORD 1850030203</v>
          </cell>
          <cell r="I1767" t="str">
            <v>305114</v>
          </cell>
          <cell r="J1767" t="str">
            <v>AMERICAN HOUSEKEEPING INC</v>
          </cell>
          <cell r="K1767">
            <v>15190.83</v>
          </cell>
          <cell r="L1767">
            <v>38146</v>
          </cell>
        </row>
        <row r="1768">
          <cell r="A1768" t="str">
            <v>7098639</v>
          </cell>
          <cell r="B1768" t="str">
            <v>700200</v>
          </cell>
          <cell r="C1768" t="str">
            <v>Cleaning</v>
          </cell>
          <cell r="D1768" t="str">
            <v>751001748</v>
          </cell>
          <cell r="E1768" t="str">
            <v>006</v>
          </cell>
          <cell r="F1768" t="str">
            <v>P5 Correct A/P Auto Accural</v>
          </cell>
          <cell r="G1768">
            <v>0</v>
          </cell>
          <cell r="H1768" t="str">
            <v>ORD 1850030203</v>
          </cell>
          <cell r="I1768" t="str">
            <v>620210</v>
          </cell>
          <cell r="J1768" t="str">
            <v>Free-time Activitie</v>
          </cell>
          <cell r="K1768">
            <v>-1662.96</v>
          </cell>
          <cell r="L1768">
            <v>38138</v>
          </cell>
        </row>
        <row r="1769">
          <cell r="A1769" t="str">
            <v>7098639</v>
          </cell>
          <cell r="B1769" t="str">
            <v>700200</v>
          </cell>
          <cell r="C1769" t="str">
            <v>Cleaning</v>
          </cell>
          <cell r="D1769" t="str">
            <v>751001748</v>
          </cell>
          <cell r="E1769" t="str">
            <v>006</v>
          </cell>
          <cell r="F1769" t="str">
            <v>P5 Correct A/P Auto Accural</v>
          </cell>
          <cell r="G1769">
            <v>0</v>
          </cell>
          <cell r="H1769" t="str">
            <v>ORD 1850030205</v>
          </cell>
          <cell r="I1769" t="str">
            <v>620210</v>
          </cell>
          <cell r="J1769" t="str">
            <v>Free-time Activitie</v>
          </cell>
          <cell r="K1769">
            <v>-1662.96</v>
          </cell>
          <cell r="L1769">
            <v>38138</v>
          </cell>
        </row>
        <row r="1770">
          <cell r="A1770" t="str">
            <v>7098639</v>
          </cell>
          <cell r="B1770" t="str">
            <v>700200</v>
          </cell>
          <cell r="C1770" t="str">
            <v>Cleaning</v>
          </cell>
          <cell r="D1770" t="str">
            <v>751001748</v>
          </cell>
          <cell r="E1770" t="str">
            <v>006</v>
          </cell>
          <cell r="F1770" t="str">
            <v>P5 Correct A/P Auto Accural</v>
          </cell>
          <cell r="G1770">
            <v>0</v>
          </cell>
          <cell r="H1770" t="str">
            <v>ORD 1850030206</v>
          </cell>
          <cell r="I1770" t="str">
            <v>620210</v>
          </cell>
          <cell r="J1770" t="str">
            <v>Free-time Activitie</v>
          </cell>
          <cell r="K1770">
            <v>-1662.96</v>
          </cell>
          <cell r="L1770">
            <v>38138</v>
          </cell>
        </row>
        <row r="1771">
          <cell r="A1771" t="str">
            <v>7098639</v>
          </cell>
          <cell r="B1771" t="str">
            <v>700200</v>
          </cell>
          <cell r="C1771" t="str">
            <v>Cleaning</v>
          </cell>
          <cell r="D1771" t="str">
            <v>360001064</v>
          </cell>
          <cell r="E1771" t="str">
            <v>006</v>
          </cell>
          <cell r="F1771" t="str">
            <v>San Diego</v>
          </cell>
          <cell r="G1771">
            <v>0</v>
          </cell>
          <cell r="H1771" t="str">
            <v>ORD 1850030200</v>
          </cell>
          <cell r="I1771" t="str">
            <v>325209</v>
          </cell>
          <cell r="J1771" t="str">
            <v>CUSHMAN &amp; WAKEFIELD OF TEXAS, INC.</v>
          </cell>
          <cell r="K1771">
            <v>-2809.28</v>
          </cell>
          <cell r="L1771">
            <v>38147</v>
          </cell>
        </row>
        <row r="1772">
          <cell r="A1772" t="str">
            <v>7098639</v>
          </cell>
          <cell r="B1772" t="str">
            <v>700200</v>
          </cell>
          <cell r="C1772" t="str">
            <v>Cleaning</v>
          </cell>
          <cell r="D1772" t="str">
            <v>751001670</v>
          </cell>
          <cell r="E1772" t="str">
            <v>006</v>
          </cell>
          <cell r="F1772" t="str">
            <v>American Housekeeping Inc.</v>
          </cell>
          <cell r="G1772">
            <v>0</v>
          </cell>
          <cell r="H1772" t="str">
            <v>ORD 1850030200</v>
          </cell>
          <cell r="I1772" t="str">
            <v>273900</v>
          </cell>
          <cell r="J1772" t="str">
            <v>Other Accr Expenses</v>
          </cell>
          <cell r="K1772">
            <v>-41593.89</v>
          </cell>
          <cell r="L1772">
            <v>38138</v>
          </cell>
        </row>
        <row r="1773">
          <cell r="A1773" t="str">
            <v>7098639</v>
          </cell>
          <cell r="B1773" t="str">
            <v>700300</v>
          </cell>
          <cell r="C1773" t="str">
            <v>Environm and Refuse</v>
          </cell>
          <cell r="D1773" t="str">
            <v>195179</v>
          </cell>
          <cell r="E1773" t="str">
            <v>006</v>
          </cell>
          <cell r="F1773">
            <v>0</v>
          </cell>
          <cell r="G1773" t="str">
            <v>4500000297</v>
          </cell>
          <cell r="H1773">
            <v>0</v>
          </cell>
          <cell r="I1773" t="str">
            <v>385708</v>
          </cell>
          <cell r="J1773" t="str">
            <v>BIO CLEAN ENVIROMENTAL SERVICES</v>
          </cell>
          <cell r="K1773">
            <v>424</v>
          </cell>
          <cell r="L1773">
            <v>38142</v>
          </cell>
        </row>
        <row r="1774">
          <cell r="A1774" t="str">
            <v>7098639</v>
          </cell>
          <cell r="B1774" t="str">
            <v>700300</v>
          </cell>
          <cell r="C1774" t="str">
            <v>Environm and Refuse</v>
          </cell>
          <cell r="D1774" t="str">
            <v>360001059</v>
          </cell>
          <cell r="E1774" t="str">
            <v>006</v>
          </cell>
          <cell r="F1774" t="str">
            <v>*INV#44423 CUST#260 6/1-30/04 AMER.HOUSKEEP.</v>
          </cell>
          <cell r="G1774">
            <v>0</v>
          </cell>
          <cell r="H1774" t="str">
            <v>ORD 1850030203</v>
          </cell>
          <cell r="I1774" t="str">
            <v>305114</v>
          </cell>
          <cell r="J1774" t="str">
            <v>AMERICAN HOUSEKEEPING INC</v>
          </cell>
          <cell r="K1774">
            <v>2081.08</v>
          </cell>
          <cell r="L1774">
            <v>38146</v>
          </cell>
        </row>
        <row r="1775">
          <cell r="A1775" t="str">
            <v>7098639</v>
          </cell>
          <cell r="B1775" t="str">
            <v>700600</v>
          </cell>
          <cell r="C1775" t="str">
            <v>Real Estate Rates</v>
          </cell>
          <cell r="D1775" t="str">
            <v>758003900</v>
          </cell>
          <cell r="E1775" t="str">
            <v>006</v>
          </cell>
          <cell r="F1775" t="str">
            <v>RCR#4058 SAN DIEGO PERS PROP TAX</v>
          </cell>
          <cell r="G1775">
            <v>0</v>
          </cell>
          <cell r="H1775" t="str">
            <v>ORD 1850030205</v>
          </cell>
          <cell r="I1775" t="str">
            <v>280210</v>
          </cell>
          <cell r="J1775" t="str">
            <v>Accrued Property Tax</v>
          </cell>
          <cell r="K1775">
            <v>2812.71</v>
          </cell>
          <cell r="L1775">
            <v>38158</v>
          </cell>
        </row>
        <row r="1776">
          <cell r="A1776" t="str">
            <v>7098639</v>
          </cell>
          <cell r="B1776" t="str">
            <v>700600</v>
          </cell>
          <cell r="C1776" t="str">
            <v>Real Estate Rates</v>
          </cell>
          <cell r="D1776" t="str">
            <v>758003900</v>
          </cell>
          <cell r="E1776" t="str">
            <v>006</v>
          </cell>
          <cell r="F1776" t="str">
            <v>RCR#4058 SAN DIEGO PERS PROP TAX</v>
          </cell>
          <cell r="G1776">
            <v>0</v>
          </cell>
          <cell r="H1776" t="str">
            <v>ORD 1850030203</v>
          </cell>
          <cell r="I1776" t="str">
            <v>280210</v>
          </cell>
          <cell r="J1776" t="str">
            <v>Accrued Property Tax</v>
          </cell>
          <cell r="K1776">
            <v>2812.71</v>
          </cell>
          <cell r="L1776">
            <v>38158</v>
          </cell>
        </row>
        <row r="1777">
          <cell r="A1777" t="str">
            <v>7098639</v>
          </cell>
          <cell r="B1777" t="str">
            <v>700700</v>
          </cell>
          <cell r="C1777" t="str">
            <v>Water Rates</v>
          </cell>
          <cell r="D1777" t="str">
            <v>496021371</v>
          </cell>
          <cell r="E1777" t="str">
            <v>006</v>
          </cell>
          <cell r="F1777" t="str">
            <v>*ACCT#U19-14611-01-5  CITY SAN DIEGO</v>
          </cell>
          <cell r="G1777">
            <v>0</v>
          </cell>
          <cell r="H1777" t="str">
            <v>ORD 1850030205</v>
          </cell>
          <cell r="I1777" t="str">
            <v>345114</v>
          </cell>
          <cell r="J1777" t="str">
            <v>CITY OF SAN DIEGO THE</v>
          </cell>
          <cell r="K1777">
            <v>18.68</v>
          </cell>
          <cell r="L1777">
            <v>38140</v>
          </cell>
        </row>
        <row r="1778">
          <cell r="A1778" t="str">
            <v>7098639</v>
          </cell>
          <cell r="B1778" t="str">
            <v>700700</v>
          </cell>
          <cell r="C1778" t="str">
            <v>Water Rates</v>
          </cell>
          <cell r="D1778" t="str">
            <v>496021369</v>
          </cell>
          <cell r="E1778" t="str">
            <v>006</v>
          </cell>
          <cell r="F1778" t="str">
            <v>*ACCT#U19-15105-02-5  CITY SAN DIEGO</v>
          </cell>
          <cell r="G1778">
            <v>0</v>
          </cell>
          <cell r="H1778" t="str">
            <v>ORD 1850030205</v>
          </cell>
          <cell r="I1778" t="str">
            <v>345114</v>
          </cell>
          <cell r="J1778" t="str">
            <v>CITY OF SAN DIEGO THE</v>
          </cell>
          <cell r="K1778">
            <v>1735.56</v>
          </cell>
          <cell r="L1778">
            <v>38140</v>
          </cell>
        </row>
        <row r="1779">
          <cell r="A1779" t="str">
            <v>7098639</v>
          </cell>
          <cell r="B1779" t="str">
            <v>700700</v>
          </cell>
          <cell r="C1779" t="str">
            <v>Water Rates</v>
          </cell>
          <cell r="D1779" t="str">
            <v>496021370</v>
          </cell>
          <cell r="E1779" t="str">
            <v>006</v>
          </cell>
          <cell r="F1779" t="str">
            <v>*ACCT#U19-144416-01-9  CIYT SAN DIEGO</v>
          </cell>
          <cell r="G1779">
            <v>0</v>
          </cell>
          <cell r="H1779" t="str">
            <v>ORD 1850030203</v>
          </cell>
          <cell r="I1779" t="str">
            <v>345114</v>
          </cell>
          <cell r="J1779" t="str">
            <v>CITY OF SAN DIEGO THE</v>
          </cell>
          <cell r="K1779">
            <v>3637.16</v>
          </cell>
          <cell r="L1779">
            <v>38140</v>
          </cell>
        </row>
        <row r="1780">
          <cell r="A1780" t="str">
            <v>7098639</v>
          </cell>
          <cell r="B1780" t="str">
            <v>700700</v>
          </cell>
          <cell r="C1780" t="str">
            <v>Water Rates</v>
          </cell>
          <cell r="D1780" t="str">
            <v>751001670</v>
          </cell>
          <cell r="E1780" t="str">
            <v>006</v>
          </cell>
          <cell r="F1780" t="str">
            <v>City of San Diego - water for 12230 Scripps Summit</v>
          </cell>
          <cell r="G1780">
            <v>0</v>
          </cell>
          <cell r="H1780" t="str">
            <v>ORD 1850030205</v>
          </cell>
          <cell r="I1780" t="str">
            <v>273900</v>
          </cell>
          <cell r="J1780" t="str">
            <v>Other Accr Expenses</v>
          </cell>
          <cell r="K1780">
            <v>-19.260000000000002</v>
          </cell>
          <cell r="L1780">
            <v>38138</v>
          </cell>
        </row>
        <row r="1781">
          <cell r="A1781" t="str">
            <v>7098639</v>
          </cell>
          <cell r="B1781" t="str">
            <v>700700</v>
          </cell>
          <cell r="C1781" t="str">
            <v>Water Rates</v>
          </cell>
          <cell r="D1781" t="str">
            <v>751001670</v>
          </cell>
          <cell r="E1781" t="str">
            <v>006</v>
          </cell>
          <cell r="F1781" t="str">
            <v>City of San Diego - water for 12220 Scripps Summit</v>
          </cell>
          <cell r="G1781">
            <v>0</v>
          </cell>
          <cell r="H1781" t="str">
            <v>ORD 1850030205</v>
          </cell>
          <cell r="I1781" t="str">
            <v>273900</v>
          </cell>
          <cell r="J1781" t="str">
            <v>Other Accr Expenses</v>
          </cell>
          <cell r="K1781">
            <v>-2858.54</v>
          </cell>
          <cell r="L1781">
            <v>38138</v>
          </cell>
        </row>
        <row r="1782">
          <cell r="A1782" t="str">
            <v>7098639</v>
          </cell>
          <cell r="B1782" t="str">
            <v>700700</v>
          </cell>
          <cell r="C1782" t="str">
            <v>Water Rates</v>
          </cell>
          <cell r="D1782" t="str">
            <v>751001670</v>
          </cell>
          <cell r="E1782" t="str">
            <v>006</v>
          </cell>
          <cell r="F1782" t="str">
            <v>City of San Diego - water for 12220 Scripps Summit</v>
          </cell>
          <cell r="G1782">
            <v>0</v>
          </cell>
          <cell r="H1782" t="str">
            <v>ORD 1850030203</v>
          </cell>
          <cell r="I1782" t="str">
            <v>273900</v>
          </cell>
          <cell r="J1782" t="str">
            <v>Other Accr Expenses</v>
          </cell>
          <cell r="K1782">
            <v>-4450.6000000000004</v>
          </cell>
          <cell r="L1782">
            <v>38138</v>
          </cell>
        </row>
        <row r="1783">
          <cell r="A1783" t="str">
            <v>7098639</v>
          </cell>
          <cell r="B1783" t="str">
            <v>700800</v>
          </cell>
          <cell r="C1783" t="str">
            <v>Electricity and Gas</v>
          </cell>
          <cell r="D1783" t="str">
            <v>496021555</v>
          </cell>
          <cell r="E1783" t="str">
            <v>006</v>
          </cell>
          <cell r="F1783" t="str">
            <v>*ACCT#0483 373 226 4  SDGE  5/04</v>
          </cell>
          <cell r="G1783">
            <v>0</v>
          </cell>
          <cell r="H1783">
            <v>0</v>
          </cell>
          <cell r="I1783" t="str">
            <v>351693</v>
          </cell>
          <cell r="J1783" t="str">
            <v>SAN DIEGO GAS &amp; ELECTRIC</v>
          </cell>
          <cell r="K1783">
            <v>1145.44</v>
          </cell>
          <cell r="L1783">
            <v>38141</v>
          </cell>
        </row>
        <row r="1784">
          <cell r="A1784" t="str">
            <v>7098639</v>
          </cell>
          <cell r="B1784" t="str">
            <v>700800</v>
          </cell>
          <cell r="C1784" t="str">
            <v>Electricity and Gas</v>
          </cell>
          <cell r="D1784" t="str">
            <v>496021549</v>
          </cell>
          <cell r="E1784" t="str">
            <v>006</v>
          </cell>
          <cell r="F1784" t="str">
            <v>*ACCT#3147 389 574 7  SDGE  5/04</v>
          </cell>
          <cell r="G1784">
            <v>0</v>
          </cell>
          <cell r="H1784">
            <v>0</v>
          </cell>
          <cell r="I1784" t="str">
            <v>351693</v>
          </cell>
          <cell r="J1784" t="str">
            <v>SAN DIEGO GAS &amp; ELECTRIC</v>
          </cell>
          <cell r="K1784">
            <v>2054.56</v>
          </cell>
          <cell r="L1784">
            <v>38141</v>
          </cell>
        </row>
        <row r="1785">
          <cell r="A1785" t="str">
            <v>7098639</v>
          </cell>
          <cell r="B1785" t="str">
            <v>700800</v>
          </cell>
          <cell r="C1785" t="str">
            <v>Electricity and Gas</v>
          </cell>
          <cell r="D1785" t="str">
            <v>496021551</v>
          </cell>
          <cell r="E1785" t="str">
            <v>006</v>
          </cell>
          <cell r="F1785" t="str">
            <v>*ACCT#1593 036 073 4  SDGE  5/04</v>
          </cell>
          <cell r="G1785">
            <v>0</v>
          </cell>
          <cell r="H1785" t="str">
            <v>ORD 1850030203</v>
          </cell>
          <cell r="I1785" t="str">
            <v>351693</v>
          </cell>
          <cell r="J1785" t="str">
            <v>SAN DIEGO GAS &amp; ELECTRIC</v>
          </cell>
          <cell r="K1785">
            <v>2628.16</v>
          </cell>
          <cell r="L1785">
            <v>38141</v>
          </cell>
        </row>
        <row r="1786">
          <cell r="A1786" t="str">
            <v>7098639</v>
          </cell>
          <cell r="B1786" t="str">
            <v>700800</v>
          </cell>
          <cell r="C1786" t="str">
            <v>Electricity and Gas</v>
          </cell>
          <cell r="D1786" t="str">
            <v>496022099</v>
          </cell>
          <cell r="E1786" t="str">
            <v>006</v>
          </cell>
          <cell r="F1786" t="str">
            <v>*ACCT#3647 783 910 4  SDGE  6/04</v>
          </cell>
          <cell r="G1786">
            <v>0</v>
          </cell>
          <cell r="H1786" t="str">
            <v>ORD 1850030206</v>
          </cell>
          <cell r="I1786" t="str">
            <v>351693</v>
          </cell>
          <cell r="J1786" t="str">
            <v>SAN DIEGO GAS &amp; ELECTRIC</v>
          </cell>
          <cell r="K1786">
            <v>3179.87</v>
          </cell>
          <cell r="L1786">
            <v>38147</v>
          </cell>
        </row>
        <row r="1787">
          <cell r="A1787" t="str">
            <v>7098639</v>
          </cell>
          <cell r="B1787" t="str">
            <v>700800</v>
          </cell>
          <cell r="C1787" t="str">
            <v>Electricity and Gas</v>
          </cell>
          <cell r="D1787" t="str">
            <v>496021556</v>
          </cell>
          <cell r="E1787" t="str">
            <v>006</v>
          </cell>
          <cell r="F1787" t="str">
            <v>*ACCT#0095 721 332 1  SDGE  5/04</v>
          </cell>
          <cell r="G1787">
            <v>0</v>
          </cell>
          <cell r="H1787" t="str">
            <v>ORD 1850030206</v>
          </cell>
          <cell r="I1787" t="str">
            <v>351693</v>
          </cell>
          <cell r="J1787" t="str">
            <v>SAN DIEGO GAS &amp; ELECTRIC</v>
          </cell>
          <cell r="K1787">
            <v>5909.23</v>
          </cell>
          <cell r="L1787">
            <v>38141</v>
          </cell>
        </row>
        <row r="1788">
          <cell r="A1788" t="str">
            <v>7098639</v>
          </cell>
          <cell r="B1788" t="str">
            <v>700800</v>
          </cell>
          <cell r="C1788" t="str">
            <v>Electricity and Gas</v>
          </cell>
          <cell r="D1788" t="str">
            <v>496021554</v>
          </cell>
          <cell r="E1788" t="str">
            <v>006</v>
          </cell>
          <cell r="F1788" t="str">
            <v>*ACCT#0483 373 306 4  SDGE  5/04</v>
          </cell>
          <cell r="G1788">
            <v>0</v>
          </cell>
          <cell r="H1788" t="str">
            <v>ORD 1850030205</v>
          </cell>
          <cell r="I1788" t="str">
            <v>351693</v>
          </cell>
          <cell r="J1788" t="str">
            <v>SAN DIEGO GAS &amp; ELECTRIC</v>
          </cell>
          <cell r="K1788">
            <v>33833.93</v>
          </cell>
          <cell r="L1788">
            <v>38141</v>
          </cell>
        </row>
        <row r="1789">
          <cell r="A1789" t="str">
            <v>7098639</v>
          </cell>
          <cell r="B1789" t="str">
            <v>700800</v>
          </cell>
          <cell r="C1789" t="str">
            <v>Electricity and Gas</v>
          </cell>
          <cell r="D1789" t="str">
            <v>496022102</v>
          </cell>
          <cell r="E1789" t="str">
            <v>006</v>
          </cell>
          <cell r="F1789" t="str">
            <v>*ACCT#8727 362 967 8  SDGE  6/04</v>
          </cell>
          <cell r="G1789">
            <v>0</v>
          </cell>
          <cell r="H1789" t="str">
            <v>ORD 1850030203</v>
          </cell>
          <cell r="I1789" t="str">
            <v>351693</v>
          </cell>
          <cell r="J1789" t="str">
            <v>SAN DIEGO GAS &amp; ELECTRIC</v>
          </cell>
          <cell r="K1789">
            <v>71704.740000000005</v>
          </cell>
          <cell r="L1789">
            <v>38147</v>
          </cell>
        </row>
        <row r="1790">
          <cell r="A1790" t="str">
            <v>7098639</v>
          </cell>
          <cell r="B1790" t="str">
            <v>700800</v>
          </cell>
          <cell r="C1790" t="str">
            <v>Electricity and Gas</v>
          </cell>
          <cell r="D1790" t="str">
            <v>751001670</v>
          </cell>
          <cell r="E1790" t="str">
            <v>006</v>
          </cell>
          <cell r="F1790" t="str">
            <v>San Diego Gas &amp; Electric for 12278 Scripps Summit</v>
          </cell>
          <cell r="G1790">
            <v>0</v>
          </cell>
          <cell r="H1790" t="str">
            <v>ORD 1850030205</v>
          </cell>
          <cell r="I1790" t="str">
            <v>273900</v>
          </cell>
          <cell r="J1790" t="str">
            <v>Other Accr Expenses</v>
          </cell>
          <cell r="K1790">
            <v>-1416.71</v>
          </cell>
          <cell r="L1790">
            <v>38138</v>
          </cell>
        </row>
        <row r="1791">
          <cell r="A1791" t="str">
            <v>7098639</v>
          </cell>
          <cell r="B1791" t="str">
            <v>700800</v>
          </cell>
          <cell r="C1791" t="str">
            <v>Electricity and Gas</v>
          </cell>
          <cell r="D1791" t="str">
            <v>751001670</v>
          </cell>
          <cell r="E1791" t="str">
            <v>006</v>
          </cell>
          <cell r="F1791" t="str">
            <v>San Diego Gas &amp; Electric for 12220 Scripps Summit</v>
          </cell>
          <cell r="G1791">
            <v>0</v>
          </cell>
          <cell r="H1791" t="str">
            <v>ORD 1850030205</v>
          </cell>
          <cell r="I1791" t="str">
            <v>273900</v>
          </cell>
          <cell r="J1791" t="str">
            <v>Other Accr Expenses</v>
          </cell>
          <cell r="K1791">
            <v>-2586.44</v>
          </cell>
          <cell r="L1791">
            <v>38138</v>
          </cell>
        </row>
        <row r="1792">
          <cell r="A1792" t="str">
            <v>7098639</v>
          </cell>
          <cell r="B1792" t="str">
            <v>700800</v>
          </cell>
          <cell r="C1792" t="str">
            <v>Electricity and Gas</v>
          </cell>
          <cell r="D1792" t="str">
            <v>751001670</v>
          </cell>
          <cell r="E1792" t="str">
            <v>006</v>
          </cell>
          <cell r="F1792" t="str">
            <v>San Diego Gas &amp; Electric for 12220 Scripps Summit</v>
          </cell>
          <cell r="G1792">
            <v>0</v>
          </cell>
          <cell r="H1792" t="str">
            <v>ORD 1850030205</v>
          </cell>
          <cell r="I1792" t="str">
            <v>273900</v>
          </cell>
          <cell r="J1792" t="str">
            <v>Other Accr Expenses</v>
          </cell>
          <cell r="K1792">
            <v>-29967.15</v>
          </cell>
          <cell r="L1792">
            <v>38138</v>
          </cell>
        </row>
        <row r="1793">
          <cell r="A1793" t="str">
            <v>7098639</v>
          </cell>
          <cell r="B1793" t="str">
            <v>700800</v>
          </cell>
          <cell r="C1793" t="str">
            <v>Electricity and Gas</v>
          </cell>
          <cell r="D1793" t="str">
            <v>751001670</v>
          </cell>
          <cell r="E1793" t="str">
            <v>006</v>
          </cell>
          <cell r="F1793" t="str">
            <v>San Diego Gas &amp; Electric for 12278 Scripps Summit</v>
          </cell>
          <cell r="G1793">
            <v>0</v>
          </cell>
          <cell r="H1793" t="str">
            <v>ORD 1850030203</v>
          </cell>
          <cell r="I1793" t="str">
            <v>273900</v>
          </cell>
          <cell r="J1793" t="str">
            <v>Other Accr Expenses</v>
          </cell>
          <cell r="K1793">
            <v>-5557.29</v>
          </cell>
          <cell r="L1793">
            <v>38138</v>
          </cell>
        </row>
        <row r="1794">
          <cell r="A1794" t="str">
            <v>7098639</v>
          </cell>
          <cell r="B1794" t="str">
            <v>700800</v>
          </cell>
          <cell r="C1794" t="str">
            <v>Electricity and Gas</v>
          </cell>
          <cell r="D1794" t="str">
            <v>751001670</v>
          </cell>
          <cell r="E1794" t="str">
            <v>006</v>
          </cell>
          <cell r="F1794" t="str">
            <v>San Diego Gas &amp; Electric for Scripps Summit</v>
          </cell>
          <cell r="G1794">
            <v>0</v>
          </cell>
          <cell r="H1794" t="str">
            <v>ORD 1850030203</v>
          </cell>
          <cell r="I1794" t="str">
            <v>273900</v>
          </cell>
          <cell r="J1794" t="str">
            <v>Other Accr Expenses</v>
          </cell>
          <cell r="K1794">
            <v>-61125.39</v>
          </cell>
          <cell r="L1794">
            <v>38138</v>
          </cell>
        </row>
        <row r="1795">
          <cell r="A1795" t="str">
            <v>7098639</v>
          </cell>
          <cell r="B1795" t="str">
            <v>702200</v>
          </cell>
          <cell r="C1795" t="str">
            <v>Comp Cars Oth Costs</v>
          </cell>
          <cell r="D1795" t="str">
            <v>758004055</v>
          </cell>
          <cell r="E1795" t="str">
            <v>006</v>
          </cell>
          <cell r="F1795" t="str">
            <v>Patton, Jason 5/25/2004 Smog cert for Facilities V</v>
          </cell>
          <cell r="G1795">
            <v>0</v>
          </cell>
          <cell r="H1795">
            <v>0</v>
          </cell>
          <cell r="I1795" t="str">
            <v>199300</v>
          </cell>
          <cell r="J1795" t="str">
            <v>Petty Cash</v>
          </cell>
          <cell r="K1795">
            <v>44.2</v>
          </cell>
          <cell r="L1795">
            <v>38160</v>
          </cell>
        </row>
        <row r="1796">
          <cell r="A1796" t="str">
            <v>7098639</v>
          </cell>
          <cell r="B1796" t="str">
            <v>710000</v>
          </cell>
          <cell r="C1796" t="str">
            <v>Rents Premises Ext</v>
          </cell>
          <cell r="D1796" t="str">
            <v>111241651</v>
          </cell>
          <cell r="E1796" t="str">
            <v>006</v>
          </cell>
          <cell r="F1796">
            <v>0</v>
          </cell>
          <cell r="G1796">
            <v>0</v>
          </cell>
          <cell r="H1796">
            <v>0</v>
          </cell>
          <cell r="I1796" t="str">
            <v>171900</v>
          </cell>
          <cell r="J1796" t="str">
            <v>Oth Prep Exp Acc Inc</v>
          </cell>
          <cell r="K1796">
            <v>0.01</v>
          </cell>
          <cell r="L1796">
            <v>38154</v>
          </cell>
        </row>
        <row r="1797">
          <cell r="A1797" t="str">
            <v>7098639</v>
          </cell>
          <cell r="B1797" t="str">
            <v>710000</v>
          </cell>
          <cell r="C1797" t="str">
            <v>Rents Premises Ext</v>
          </cell>
          <cell r="D1797" t="str">
            <v>187796</v>
          </cell>
          <cell r="E1797" t="str">
            <v>006</v>
          </cell>
          <cell r="F1797">
            <v>0</v>
          </cell>
          <cell r="G1797" t="str">
            <v>4500001598</v>
          </cell>
          <cell r="H1797">
            <v>0</v>
          </cell>
          <cell r="I1797" t="str">
            <v>320686</v>
          </cell>
          <cell r="J1797" t="str">
            <v>C&amp;M TRANSFER OF SAN DIEGO, INC.</v>
          </cell>
          <cell r="K1797">
            <v>494.4</v>
          </cell>
          <cell r="L1797">
            <v>38139</v>
          </cell>
        </row>
        <row r="1798">
          <cell r="A1798" t="str">
            <v>7098639</v>
          </cell>
          <cell r="B1798" t="str">
            <v>710000</v>
          </cell>
          <cell r="C1798" t="str">
            <v>Rents Premises Ext</v>
          </cell>
          <cell r="D1798" t="str">
            <v>758003848</v>
          </cell>
          <cell r="E1798" t="str">
            <v>006</v>
          </cell>
          <cell r="F1798" t="str">
            <v>RCR#3163-SD EML CAM</v>
          </cell>
          <cell r="G1798">
            <v>0</v>
          </cell>
          <cell r="H1798" t="str">
            <v>ORD 1850030206</v>
          </cell>
          <cell r="I1798" t="str">
            <v>170400</v>
          </cell>
          <cell r="J1798" t="str">
            <v>Prepaid Rents</v>
          </cell>
          <cell r="K1798">
            <v>5304.22</v>
          </cell>
          <cell r="L1798">
            <v>38158</v>
          </cell>
        </row>
        <row r="1799">
          <cell r="A1799" t="str">
            <v>7098639</v>
          </cell>
          <cell r="B1799" t="str">
            <v>710000</v>
          </cell>
          <cell r="C1799" t="str">
            <v>Rents Premises Ext</v>
          </cell>
          <cell r="D1799" t="str">
            <v>758003867</v>
          </cell>
          <cell r="E1799" t="str">
            <v>006</v>
          </cell>
          <cell r="F1799" t="str">
            <v>RCR#4007-MILLER BROTHERS INVESTMENTS-INS P1-P12</v>
          </cell>
          <cell r="G1799">
            <v>0</v>
          </cell>
          <cell r="H1799" t="str">
            <v>ORD 1850030203</v>
          </cell>
          <cell r="I1799" t="str">
            <v>170500</v>
          </cell>
          <cell r="J1799" t="str">
            <v>Prepaid Insurances</v>
          </cell>
          <cell r="K1799">
            <v>6130.32</v>
          </cell>
          <cell r="L1799">
            <v>38158</v>
          </cell>
        </row>
        <row r="1800">
          <cell r="A1800" t="str">
            <v>7098639</v>
          </cell>
          <cell r="B1800" t="str">
            <v>710000</v>
          </cell>
          <cell r="C1800" t="str">
            <v>Rents Premises Ext</v>
          </cell>
          <cell r="D1800" t="str">
            <v>758003888</v>
          </cell>
          <cell r="E1800" t="str">
            <v>006</v>
          </cell>
          <cell r="F1800" t="str">
            <v>RCR#4042 TUPA BLDG 1 INSUR AMORT-SCRIPPS SUMMIT</v>
          </cell>
          <cell r="G1800">
            <v>0</v>
          </cell>
          <cell r="H1800" t="str">
            <v>ORD 1850030203</v>
          </cell>
          <cell r="I1800" t="str">
            <v>170500</v>
          </cell>
          <cell r="J1800" t="str">
            <v>Prepaid Insurances</v>
          </cell>
          <cell r="K1800">
            <v>8479.65</v>
          </cell>
          <cell r="L1800">
            <v>38158</v>
          </cell>
        </row>
        <row r="1801">
          <cell r="A1801" t="str">
            <v>7098639</v>
          </cell>
          <cell r="B1801" t="str">
            <v>710000</v>
          </cell>
          <cell r="C1801" t="str">
            <v>Rents Premises Ext</v>
          </cell>
          <cell r="D1801" t="str">
            <v>758003852</v>
          </cell>
          <cell r="E1801" t="str">
            <v>006</v>
          </cell>
          <cell r="F1801" t="str">
            <v>RCR#3172-SD LOT C RENT</v>
          </cell>
          <cell r="G1801">
            <v>0</v>
          </cell>
          <cell r="H1801" t="str">
            <v>ORD 1850030203</v>
          </cell>
          <cell r="I1801" t="str">
            <v>170400</v>
          </cell>
          <cell r="J1801" t="str">
            <v>Prepaid Rents</v>
          </cell>
          <cell r="K1801">
            <v>10978.37</v>
          </cell>
          <cell r="L1801">
            <v>38158</v>
          </cell>
        </row>
        <row r="1802">
          <cell r="A1802" t="str">
            <v>7098639</v>
          </cell>
          <cell r="B1802" t="str">
            <v>710000</v>
          </cell>
          <cell r="C1802" t="str">
            <v>Rents Premises Ext</v>
          </cell>
          <cell r="D1802" t="str">
            <v>758003768</v>
          </cell>
          <cell r="E1802" t="str">
            <v>006</v>
          </cell>
          <cell r="F1802" t="str">
            <v>RCR# 4078 CAM - San Diego - Lankford</v>
          </cell>
          <cell r="G1802">
            <v>0</v>
          </cell>
          <cell r="H1802" t="str">
            <v>ORD 1850030206</v>
          </cell>
          <cell r="I1802" t="str">
            <v>170400</v>
          </cell>
          <cell r="J1802" t="str">
            <v>Prepaid Rents</v>
          </cell>
          <cell r="K1802">
            <v>11076.63</v>
          </cell>
          <cell r="L1802">
            <v>38158</v>
          </cell>
        </row>
        <row r="1803">
          <cell r="A1803" t="str">
            <v>7098639</v>
          </cell>
          <cell r="B1803" t="str">
            <v>710000</v>
          </cell>
          <cell r="C1803" t="str">
            <v>Rents Premises Ext</v>
          </cell>
          <cell r="D1803" t="str">
            <v>758003848</v>
          </cell>
          <cell r="E1803" t="str">
            <v>006</v>
          </cell>
          <cell r="F1803" t="str">
            <v>RCR#3163-SD EML S-L RENT EXPENSE</v>
          </cell>
          <cell r="G1803">
            <v>0</v>
          </cell>
          <cell r="H1803" t="str">
            <v>ORD 1850030206</v>
          </cell>
          <cell r="I1803" t="str">
            <v>170400</v>
          </cell>
          <cell r="J1803" t="str">
            <v>Prepaid Rents</v>
          </cell>
          <cell r="K1803">
            <v>14866.8</v>
          </cell>
          <cell r="L1803">
            <v>38158</v>
          </cell>
        </row>
        <row r="1804">
          <cell r="A1804" t="str">
            <v>7098639</v>
          </cell>
          <cell r="B1804" t="str">
            <v>710000</v>
          </cell>
          <cell r="C1804" t="str">
            <v>Rents Premises Ext</v>
          </cell>
          <cell r="D1804" t="str">
            <v>758003856</v>
          </cell>
          <cell r="E1804" t="str">
            <v>006</v>
          </cell>
          <cell r="F1804" t="str">
            <v>RCR#3177-SAN DIEGO RE TAXES- 07/2003- 06/2004</v>
          </cell>
          <cell r="G1804">
            <v>0</v>
          </cell>
          <cell r="H1804" t="str">
            <v>ORD 1850030203</v>
          </cell>
          <cell r="I1804" t="str">
            <v>171900</v>
          </cell>
          <cell r="J1804" t="str">
            <v>Oth Prep Exp Acc Inc</v>
          </cell>
          <cell r="K1804">
            <v>20767.810000000001</v>
          </cell>
          <cell r="L1804">
            <v>38158</v>
          </cell>
        </row>
        <row r="1805">
          <cell r="A1805" t="str">
            <v>7098639</v>
          </cell>
          <cell r="B1805" t="str">
            <v>710000</v>
          </cell>
          <cell r="C1805" t="str">
            <v>Rents Premises Ext</v>
          </cell>
          <cell r="D1805" t="str">
            <v>758003855</v>
          </cell>
          <cell r="E1805" t="str">
            <v>006</v>
          </cell>
          <cell r="F1805" t="str">
            <v>RCR#3176-SAN DIEGO RE TAXES-AITTA 07/2003- 06/2004</v>
          </cell>
          <cell r="G1805">
            <v>0</v>
          </cell>
          <cell r="H1805" t="str">
            <v>ORD 1850030205</v>
          </cell>
          <cell r="I1805" t="str">
            <v>171900</v>
          </cell>
          <cell r="J1805" t="str">
            <v>Oth Prep Exp Acc Inc</v>
          </cell>
          <cell r="K1805">
            <v>29508.74</v>
          </cell>
          <cell r="L1805">
            <v>38158</v>
          </cell>
        </row>
        <row r="1806">
          <cell r="A1806" t="str">
            <v>7098639</v>
          </cell>
          <cell r="B1806" t="str">
            <v>710000</v>
          </cell>
          <cell r="C1806" t="str">
            <v>Rents Premises Ext</v>
          </cell>
          <cell r="D1806" t="str">
            <v>758003768</v>
          </cell>
          <cell r="E1806" t="str">
            <v>006</v>
          </cell>
          <cell r="F1806" t="str">
            <v>RCR# 4078 S/L Rent - San Diego - Lankford</v>
          </cell>
          <cell r="G1806">
            <v>0</v>
          </cell>
          <cell r="H1806" t="str">
            <v>ORD 1850030206</v>
          </cell>
          <cell r="I1806" t="str">
            <v>170400</v>
          </cell>
          <cell r="J1806" t="str">
            <v>Prepaid Rents</v>
          </cell>
          <cell r="K1806">
            <v>34236.92</v>
          </cell>
          <cell r="L1806">
            <v>38158</v>
          </cell>
        </row>
        <row r="1807">
          <cell r="A1807" t="str">
            <v>7098639</v>
          </cell>
          <cell r="B1807" t="str">
            <v>710000</v>
          </cell>
          <cell r="C1807" t="str">
            <v>Rents Premises Ext</v>
          </cell>
          <cell r="D1807" t="str">
            <v>758003988</v>
          </cell>
          <cell r="E1807" t="str">
            <v>006</v>
          </cell>
          <cell r="F1807" t="str">
            <v>FYE 06/04 Real Property Tax</v>
          </cell>
          <cell r="G1807">
            <v>0</v>
          </cell>
          <cell r="H1807" t="str">
            <v>ORD 1850030203</v>
          </cell>
          <cell r="I1807" t="str">
            <v>171900</v>
          </cell>
          <cell r="J1807" t="str">
            <v>Oth Prep Exp Acc Inc</v>
          </cell>
          <cell r="K1807">
            <v>62303.44</v>
          </cell>
          <cell r="L1807">
            <v>38156</v>
          </cell>
        </row>
        <row r="1808">
          <cell r="A1808" t="str">
            <v>7098639</v>
          </cell>
          <cell r="B1808" t="str">
            <v>710000</v>
          </cell>
          <cell r="C1808" t="str">
            <v>Rents Premises Ext</v>
          </cell>
          <cell r="D1808" t="str">
            <v>758003812</v>
          </cell>
          <cell r="E1808" t="str">
            <v>006</v>
          </cell>
          <cell r="F1808" t="str">
            <v>RCR#0166-SL RENT SAN DIEGO-AITTA</v>
          </cell>
          <cell r="G1808">
            <v>0</v>
          </cell>
          <cell r="H1808" t="str">
            <v>ORD 1850030205</v>
          </cell>
          <cell r="I1808" t="str">
            <v>170400</v>
          </cell>
          <cell r="J1808" t="str">
            <v>Prepaid Rents</v>
          </cell>
          <cell r="K1808">
            <v>271411.87</v>
          </cell>
          <cell r="L1808">
            <v>38158</v>
          </cell>
        </row>
        <row r="1809">
          <cell r="A1809" t="str">
            <v>7098639</v>
          </cell>
          <cell r="B1809" t="str">
            <v>710000</v>
          </cell>
          <cell r="C1809" t="str">
            <v>Rents Premises Ext</v>
          </cell>
          <cell r="D1809" t="str">
            <v>758003813</v>
          </cell>
          <cell r="E1809" t="str">
            <v>006</v>
          </cell>
          <cell r="F1809" t="str">
            <v>RCR#0167-SL RENT SAN DIEGO-TUPA</v>
          </cell>
          <cell r="G1809">
            <v>0</v>
          </cell>
          <cell r="H1809" t="str">
            <v>ORD 1850030203</v>
          </cell>
          <cell r="I1809" t="str">
            <v>170400</v>
          </cell>
          <cell r="J1809" t="str">
            <v>Prepaid Rents</v>
          </cell>
          <cell r="K1809">
            <v>355462.97</v>
          </cell>
          <cell r="L1809">
            <v>38158</v>
          </cell>
        </row>
        <row r="1810">
          <cell r="A1810" t="str">
            <v>7098639</v>
          </cell>
          <cell r="B1810" t="str">
            <v>710000</v>
          </cell>
          <cell r="C1810" t="str">
            <v>Rents Premises Ext</v>
          </cell>
          <cell r="D1810" t="str">
            <v>751001670</v>
          </cell>
          <cell r="E1810" t="str">
            <v>006</v>
          </cell>
          <cell r="F1810" t="str">
            <v>NK SD LLC - Property Insurance</v>
          </cell>
          <cell r="G1810">
            <v>0</v>
          </cell>
          <cell r="H1810" t="str">
            <v>ORD 1850030205</v>
          </cell>
          <cell r="I1810" t="str">
            <v>273900</v>
          </cell>
          <cell r="J1810" t="str">
            <v>Other Accr Expenses</v>
          </cell>
          <cell r="K1810">
            <v>-15601.66</v>
          </cell>
          <cell r="L1810">
            <v>38138</v>
          </cell>
        </row>
        <row r="1811">
          <cell r="A1811" t="str">
            <v>7098639</v>
          </cell>
          <cell r="B1811" t="str">
            <v>710000</v>
          </cell>
          <cell r="C1811" t="str">
            <v>Rents Premises Ext</v>
          </cell>
          <cell r="D1811" t="str">
            <v>751001670</v>
          </cell>
          <cell r="E1811" t="str">
            <v>006</v>
          </cell>
          <cell r="F1811" t="str">
            <v>Miller Family - Earthquake Insurance</v>
          </cell>
          <cell r="G1811">
            <v>0</v>
          </cell>
          <cell r="H1811" t="str">
            <v>ORD 1850030203</v>
          </cell>
          <cell r="I1811" t="str">
            <v>273900</v>
          </cell>
          <cell r="J1811" t="str">
            <v>Other Accr Expenses</v>
          </cell>
          <cell r="K1811">
            <v>-27554.04</v>
          </cell>
          <cell r="L1811">
            <v>38138</v>
          </cell>
        </row>
        <row r="1812">
          <cell r="A1812" t="str">
            <v>7098639</v>
          </cell>
          <cell r="B1812" t="str">
            <v>710000</v>
          </cell>
          <cell r="C1812" t="str">
            <v>Rents Premises Ext</v>
          </cell>
          <cell r="D1812" t="str">
            <v>751001670</v>
          </cell>
          <cell r="E1812" t="str">
            <v>006</v>
          </cell>
          <cell r="F1812" t="str">
            <v>CIBA Insurance Policy</v>
          </cell>
          <cell r="G1812">
            <v>0</v>
          </cell>
          <cell r="H1812" t="str">
            <v>ORD 1850030203</v>
          </cell>
          <cell r="I1812" t="str">
            <v>273900</v>
          </cell>
          <cell r="J1812" t="str">
            <v>Other Accr Expenses</v>
          </cell>
          <cell r="K1812">
            <v>-7586.67</v>
          </cell>
          <cell r="L1812">
            <v>38138</v>
          </cell>
        </row>
        <row r="1813">
          <cell r="A1813" t="str">
            <v>7098639</v>
          </cell>
          <cell r="B1813" t="str">
            <v>719100</v>
          </cell>
          <cell r="C1813" t="str">
            <v>Rents and Leases, Eq</v>
          </cell>
          <cell r="D1813" t="str">
            <v>199837</v>
          </cell>
          <cell r="E1813" t="str">
            <v>006</v>
          </cell>
          <cell r="F1813">
            <v>0</v>
          </cell>
          <cell r="G1813" t="str">
            <v>4361025</v>
          </cell>
          <cell r="H1813">
            <v>0</v>
          </cell>
          <cell r="I1813" t="str">
            <v>332719</v>
          </cell>
          <cell r="J1813" t="str">
            <v>IOS CAPITAL</v>
          </cell>
          <cell r="K1813">
            <v>1276.8399999999999</v>
          </cell>
          <cell r="L1813">
            <v>38146</v>
          </cell>
        </row>
        <row r="1814">
          <cell r="A1814" t="str">
            <v>7098639</v>
          </cell>
          <cell r="B1814" t="str">
            <v>719100</v>
          </cell>
          <cell r="C1814" t="str">
            <v>Rents and Leases, Eq</v>
          </cell>
          <cell r="D1814" t="str">
            <v>751001670</v>
          </cell>
          <cell r="E1814" t="str">
            <v>006</v>
          </cell>
          <cell r="F1814" t="str">
            <v>Xerox Copier Leases</v>
          </cell>
          <cell r="G1814">
            <v>0</v>
          </cell>
          <cell r="H1814" t="str">
            <v>ORD 1850030200</v>
          </cell>
          <cell r="I1814" t="str">
            <v>273900</v>
          </cell>
          <cell r="J1814" t="str">
            <v>Other Accr Expenses</v>
          </cell>
          <cell r="K1814">
            <v>-13006.62</v>
          </cell>
          <cell r="L1814">
            <v>38138</v>
          </cell>
        </row>
        <row r="1815">
          <cell r="A1815" t="str">
            <v>7098639</v>
          </cell>
          <cell r="B1815" t="str">
            <v>752720</v>
          </cell>
          <cell r="C1815" t="str">
            <v>BCS Cost Transf Exp</v>
          </cell>
          <cell r="D1815" t="str">
            <v>758004051</v>
          </cell>
          <cell r="E1815" t="str">
            <v>006</v>
          </cell>
          <cell r="F1815" t="str">
            <v>Service Charging, P06/2004</v>
          </cell>
          <cell r="G1815">
            <v>0</v>
          </cell>
          <cell r="H1815">
            <v>0</v>
          </cell>
          <cell r="I1815" t="str">
            <v>751720</v>
          </cell>
          <cell r="J1815" t="str">
            <v>BCS Cost Trans Inc</v>
          </cell>
          <cell r="K1815">
            <v>2347.81</v>
          </cell>
          <cell r="L1815">
            <v>38162</v>
          </cell>
        </row>
        <row r="1816">
          <cell r="A1816" t="str">
            <v>7098639</v>
          </cell>
          <cell r="B1816" t="str">
            <v>752730</v>
          </cell>
          <cell r="C1816" t="str">
            <v>Voice Cost Tran Exp</v>
          </cell>
          <cell r="D1816" t="str">
            <v>750001566</v>
          </cell>
          <cell r="E1816" t="str">
            <v>006</v>
          </cell>
          <cell r="F1816" t="str">
            <v>MAY04 MCI LONG DISTANCE ACCRUAL</v>
          </cell>
          <cell r="G1816">
            <v>0</v>
          </cell>
          <cell r="H1816">
            <v>0</v>
          </cell>
          <cell r="I1816" t="str">
            <v>751730</v>
          </cell>
          <cell r="J1816" t="str">
            <v>Voice Cost Tra Inc</v>
          </cell>
          <cell r="K1816">
            <v>26.95</v>
          </cell>
          <cell r="L1816">
            <v>38161</v>
          </cell>
        </row>
        <row r="1817">
          <cell r="A1817" t="str">
            <v>7098639</v>
          </cell>
          <cell r="B1817" t="str">
            <v>784000</v>
          </cell>
          <cell r="C1817" t="str">
            <v>Amort Oth Int Assets</v>
          </cell>
          <cell r="D1817" t="str">
            <v>11502480</v>
          </cell>
          <cell r="E1817" t="str">
            <v>006</v>
          </cell>
          <cell r="F1817" t="str">
            <v>AFB01200400601-0011502480</v>
          </cell>
          <cell r="G1817">
            <v>0</v>
          </cell>
          <cell r="H1817" t="str">
            <v>ORD 1850030206</v>
          </cell>
          <cell r="I1817" t="str">
            <v>107110</v>
          </cell>
          <cell r="J1817" t="str">
            <v>Oth Intang Acc Depr</v>
          </cell>
          <cell r="K1817">
            <v>6566.04</v>
          </cell>
          <cell r="L1817">
            <v>38163</v>
          </cell>
        </row>
        <row r="1818">
          <cell r="A1818" t="str">
            <v>7098639</v>
          </cell>
          <cell r="B1818" t="str">
            <v>784000</v>
          </cell>
          <cell r="C1818" t="str">
            <v>Amort Oth Int Assets</v>
          </cell>
          <cell r="D1818" t="str">
            <v>11502480</v>
          </cell>
          <cell r="E1818" t="str">
            <v>006</v>
          </cell>
          <cell r="F1818" t="str">
            <v>AFB01200400601-0011502480</v>
          </cell>
          <cell r="G1818">
            <v>0</v>
          </cell>
          <cell r="H1818" t="str">
            <v>ORD 1850030205</v>
          </cell>
          <cell r="I1818" t="str">
            <v>107110</v>
          </cell>
          <cell r="J1818" t="str">
            <v>Oth Intang Acc Depr</v>
          </cell>
          <cell r="K1818">
            <v>7564.55</v>
          </cell>
          <cell r="L1818">
            <v>38163</v>
          </cell>
        </row>
        <row r="1819">
          <cell r="A1819" t="str">
            <v>7098639</v>
          </cell>
          <cell r="B1819" t="str">
            <v>784000</v>
          </cell>
          <cell r="C1819" t="str">
            <v>Amort Oth Int Assets</v>
          </cell>
          <cell r="D1819" t="str">
            <v>11502480</v>
          </cell>
          <cell r="E1819" t="str">
            <v>006</v>
          </cell>
          <cell r="F1819" t="str">
            <v>AFB01200400601-0011502480</v>
          </cell>
          <cell r="G1819">
            <v>0</v>
          </cell>
          <cell r="H1819" t="str">
            <v>ORD 1850030203</v>
          </cell>
          <cell r="I1819" t="str">
            <v>107110</v>
          </cell>
          <cell r="J1819" t="str">
            <v>Oth Intang Acc Depr</v>
          </cell>
          <cell r="K1819">
            <v>34315.879999999997</v>
          </cell>
          <cell r="L1819">
            <v>38163</v>
          </cell>
        </row>
        <row r="1820">
          <cell r="A1820" t="str">
            <v>7098639</v>
          </cell>
          <cell r="B1820" t="str">
            <v>786900</v>
          </cell>
          <cell r="C1820" t="str">
            <v>Depr Oth Mach, Equip</v>
          </cell>
          <cell r="D1820" t="str">
            <v>11502485</v>
          </cell>
          <cell r="E1820" t="str">
            <v>006</v>
          </cell>
          <cell r="F1820" t="str">
            <v>AFB01200400601-0011502485</v>
          </cell>
          <cell r="G1820">
            <v>0</v>
          </cell>
          <cell r="H1820">
            <v>0</v>
          </cell>
          <cell r="I1820" t="str">
            <v>170710</v>
          </cell>
          <cell r="J1820" t="str">
            <v>Deferred Exps Moulds</v>
          </cell>
          <cell r="K1820">
            <v>2621.92</v>
          </cell>
          <cell r="L1820">
            <v>38163</v>
          </cell>
        </row>
        <row r="1821">
          <cell r="A1821" t="str">
            <v>7098639</v>
          </cell>
          <cell r="B1821" t="str">
            <v>786900</v>
          </cell>
          <cell r="C1821" t="str">
            <v>Depr Oth Mach, Equip</v>
          </cell>
          <cell r="D1821" t="str">
            <v>11502485</v>
          </cell>
          <cell r="E1821" t="str">
            <v>006</v>
          </cell>
          <cell r="F1821" t="str">
            <v>AFB01200400601-0011502485</v>
          </cell>
          <cell r="G1821">
            <v>0</v>
          </cell>
          <cell r="H1821" t="str">
            <v>ORD 1850030206</v>
          </cell>
          <cell r="I1821" t="str">
            <v>170710</v>
          </cell>
          <cell r="J1821" t="str">
            <v>Deferred Exps Moulds</v>
          </cell>
          <cell r="K1821">
            <v>14235.07</v>
          </cell>
          <cell r="L1821">
            <v>38163</v>
          </cell>
        </row>
        <row r="1822">
          <cell r="A1822" t="str">
            <v>7098639</v>
          </cell>
          <cell r="B1822" t="str">
            <v>786900</v>
          </cell>
          <cell r="C1822" t="str">
            <v>Depr Oth Mach, Equip</v>
          </cell>
          <cell r="D1822" t="str">
            <v>11502485</v>
          </cell>
          <cell r="E1822" t="str">
            <v>006</v>
          </cell>
          <cell r="F1822" t="str">
            <v>AFB01200400601-0011502485</v>
          </cell>
          <cell r="G1822">
            <v>0</v>
          </cell>
          <cell r="H1822" t="str">
            <v>ORD 1850030205</v>
          </cell>
          <cell r="I1822" t="str">
            <v>170710</v>
          </cell>
          <cell r="J1822" t="str">
            <v>Deferred Exps Moulds</v>
          </cell>
          <cell r="K1822">
            <v>47724.3</v>
          </cell>
          <cell r="L1822">
            <v>38163</v>
          </cell>
        </row>
        <row r="1823">
          <cell r="A1823" t="str">
            <v>7098639</v>
          </cell>
          <cell r="B1823" t="str">
            <v>786900</v>
          </cell>
          <cell r="C1823" t="str">
            <v>Depr Oth Mach, Equip</v>
          </cell>
          <cell r="D1823" t="str">
            <v>11502485</v>
          </cell>
          <cell r="E1823" t="str">
            <v>006</v>
          </cell>
          <cell r="F1823" t="str">
            <v>AFB01200400601-0011502485</v>
          </cell>
          <cell r="G1823">
            <v>0</v>
          </cell>
          <cell r="H1823" t="str">
            <v>ORD 1850030203</v>
          </cell>
          <cell r="I1823" t="str">
            <v>170710</v>
          </cell>
          <cell r="J1823" t="str">
            <v>Deferred Exps Moulds</v>
          </cell>
          <cell r="K1823">
            <v>67573.509999999995</v>
          </cell>
          <cell r="L1823">
            <v>38163</v>
          </cell>
        </row>
        <row r="1824">
          <cell r="A1824" t="str">
            <v>7098639 Total</v>
          </cell>
          <cell r="K1824">
            <v>754153.61999999976</v>
          </cell>
        </row>
        <row r="1825">
          <cell r="A1825" t="str">
            <v>7098641</v>
          </cell>
          <cell r="B1825" t="str">
            <v>691300</v>
          </cell>
          <cell r="C1825" t="str">
            <v>Consultants</v>
          </cell>
          <cell r="D1825" t="str">
            <v>758003760</v>
          </cell>
          <cell r="E1825" t="str">
            <v>006</v>
          </cell>
          <cell r="F1825" t="str">
            <v>RCR# 4069 E-Myth sublease commission</v>
          </cell>
          <cell r="G1825">
            <v>0</v>
          </cell>
          <cell r="H1825" t="str">
            <v>ORD 1850031201</v>
          </cell>
          <cell r="I1825" t="str">
            <v>171900</v>
          </cell>
          <cell r="J1825" t="str">
            <v>Oth Prep Exp Acc Inc</v>
          </cell>
          <cell r="K1825">
            <v>1296.6400000000001</v>
          </cell>
          <cell r="L1825">
            <v>38158</v>
          </cell>
        </row>
        <row r="1826">
          <cell r="A1826" t="str">
            <v>7098641</v>
          </cell>
          <cell r="B1826" t="str">
            <v>691300</v>
          </cell>
          <cell r="C1826" t="str">
            <v>Consultants</v>
          </cell>
          <cell r="D1826" t="str">
            <v>476000689</v>
          </cell>
          <cell r="E1826" t="str">
            <v>006</v>
          </cell>
          <cell r="F1826" t="str">
            <v>*CUSTOMER REFUND OVERPAYMENT INV 11739</v>
          </cell>
          <cell r="G1826">
            <v>0</v>
          </cell>
          <cell r="H1826" t="str">
            <v>ORD 1850031201</v>
          </cell>
          <cell r="I1826" t="str">
            <v>364824</v>
          </cell>
          <cell r="J1826" t="str">
            <v>GENSLER &amp; ASSOCIATES</v>
          </cell>
          <cell r="K1826">
            <v>-1400</v>
          </cell>
          <cell r="L1826">
            <v>38140</v>
          </cell>
        </row>
        <row r="1827">
          <cell r="A1827" t="str">
            <v>7098641</v>
          </cell>
          <cell r="B1827" t="str">
            <v>700000</v>
          </cell>
          <cell r="C1827" t="str">
            <v>Real Estate Repair</v>
          </cell>
          <cell r="D1827" t="str">
            <v>161015613</v>
          </cell>
          <cell r="E1827" t="str">
            <v>006</v>
          </cell>
          <cell r="F1827">
            <v>0</v>
          </cell>
          <cell r="G1827">
            <v>0</v>
          </cell>
          <cell r="H1827" t="str">
            <v>ORD 1850031201</v>
          </cell>
          <cell r="I1827" t="str">
            <v>328736</v>
          </cell>
          <cell r="J1827" t="str">
            <v>KONE INC</v>
          </cell>
          <cell r="K1827">
            <v>1915.8</v>
          </cell>
          <cell r="L1827">
            <v>38140</v>
          </cell>
        </row>
        <row r="1828">
          <cell r="A1828" t="str">
            <v>7098641</v>
          </cell>
          <cell r="B1828" t="str">
            <v>700000</v>
          </cell>
          <cell r="C1828" t="str">
            <v>Real Estate Repair</v>
          </cell>
          <cell r="D1828" t="str">
            <v>751001748</v>
          </cell>
          <cell r="E1828" t="str">
            <v>006</v>
          </cell>
          <cell r="F1828" t="str">
            <v>P5 Correct A/P Auto Accural</v>
          </cell>
          <cell r="G1828">
            <v>0</v>
          </cell>
          <cell r="H1828" t="str">
            <v>ORD 1850031201</v>
          </cell>
          <cell r="I1828" t="str">
            <v>620210</v>
          </cell>
          <cell r="J1828" t="str">
            <v>Free-time Activitie</v>
          </cell>
          <cell r="K1828">
            <v>-1915.8</v>
          </cell>
          <cell r="L1828">
            <v>38138</v>
          </cell>
        </row>
        <row r="1829">
          <cell r="A1829" t="str">
            <v>7098641</v>
          </cell>
          <cell r="B1829" t="str">
            <v>700050</v>
          </cell>
          <cell r="C1829" t="str">
            <v>Real Est Maint</v>
          </cell>
          <cell r="D1829" t="str">
            <v>360001058</v>
          </cell>
          <cell r="E1829" t="str">
            <v>006</v>
          </cell>
          <cell r="F1829" t="str">
            <v>INV#6/04PREFUNDTX CUSHMAN WAKEFIELD</v>
          </cell>
          <cell r="G1829">
            <v>0</v>
          </cell>
          <cell r="H1829" t="str">
            <v>ORD 1850031200</v>
          </cell>
          <cell r="I1829" t="str">
            <v>325209</v>
          </cell>
          <cell r="J1829" t="str">
            <v>CUSHMAN &amp; WAKEFIELD OF TEXAS, INC.</v>
          </cell>
          <cell r="K1829">
            <v>500</v>
          </cell>
          <cell r="L1829">
            <v>38146</v>
          </cell>
        </row>
        <row r="1830">
          <cell r="A1830" t="str">
            <v>7098641</v>
          </cell>
          <cell r="B1830" t="str">
            <v>700050</v>
          </cell>
          <cell r="C1830" t="str">
            <v>Real Est Maint</v>
          </cell>
          <cell r="D1830" t="str">
            <v>197390</v>
          </cell>
          <cell r="E1830" t="str">
            <v>006</v>
          </cell>
          <cell r="F1830">
            <v>0</v>
          </cell>
          <cell r="G1830" t="str">
            <v>4500008195</v>
          </cell>
          <cell r="H1830" t="str">
            <v>ORD 1850031201</v>
          </cell>
          <cell r="I1830" t="str">
            <v>381089</v>
          </cell>
          <cell r="J1830" t="str">
            <v>CAL-AIR INC</v>
          </cell>
          <cell r="K1830">
            <v>994.53</v>
          </cell>
          <cell r="L1830">
            <v>38146</v>
          </cell>
        </row>
        <row r="1831">
          <cell r="A1831" t="str">
            <v>7098641</v>
          </cell>
          <cell r="B1831" t="str">
            <v>700050</v>
          </cell>
          <cell r="C1831" t="str">
            <v>Real Est Maint</v>
          </cell>
          <cell r="D1831" t="str">
            <v>161016487</v>
          </cell>
          <cell r="E1831" t="str">
            <v>006</v>
          </cell>
          <cell r="F1831">
            <v>0</v>
          </cell>
          <cell r="G1831">
            <v>0</v>
          </cell>
          <cell r="H1831" t="str">
            <v>ORD 1850031201</v>
          </cell>
          <cell r="I1831" t="str">
            <v>381089</v>
          </cell>
          <cell r="J1831" t="str">
            <v>CAL-AIR INC</v>
          </cell>
          <cell r="K1831">
            <v>1287.3399999999999</v>
          </cell>
          <cell r="L1831">
            <v>38148</v>
          </cell>
        </row>
        <row r="1832">
          <cell r="A1832" t="str">
            <v>7098641</v>
          </cell>
          <cell r="B1832" t="str">
            <v>700050</v>
          </cell>
          <cell r="C1832" t="str">
            <v>Real Est Maint</v>
          </cell>
          <cell r="D1832" t="str">
            <v>751001748</v>
          </cell>
          <cell r="E1832" t="str">
            <v>006</v>
          </cell>
          <cell r="F1832" t="str">
            <v>P5 Correct A/P Auto Accural</v>
          </cell>
          <cell r="G1832">
            <v>0</v>
          </cell>
          <cell r="H1832" t="str">
            <v>ORD 1850031201</v>
          </cell>
          <cell r="I1832" t="str">
            <v>620210</v>
          </cell>
          <cell r="J1832" t="str">
            <v>Free-time Activitie</v>
          </cell>
          <cell r="K1832">
            <v>-229</v>
          </cell>
          <cell r="L1832">
            <v>38138</v>
          </cell>
        </row>
        <row r="1833">
          <cell r="A1833" t="str">
            <v>7098641</v>
          </cell>
          <cell r="B1833" t="str">
            <v>700050</v>
          </cell>
          <cell r="C1833" t="str">
            <v>Real Est Maint</v>
          </cell>
          <cell r="D1833" t="str">
            <v>751001748</v>
          </cell>
          <cell r="E1833" t="str">
            <v>006</v>
          </cell>
          <cell r="F1833" t="str">
            <v>P5 Correct A/P Auto Accural</v>
          </cell>
          <cell r="G1833">
            <v>0</v>
          </cell>
          <cell r="H1833" t="str">
            <v>ORD 1850031201</v>
          </cell>
          <cell r="I1833" t="str">
            <v>620210</v>
          </cell>
          <cell r="J1833" t="str">
            <v>Free-time Activitie</v>
          </cell>
          <cell r="K1833">
            <v>-3943.2</v>
          </cell>
          <cell r="L1833">
            <v>38138</v>
          </cell>
        </row>
        <row r="1834">
          <cell r="A1834" t="str">
            <v>7098641</v>
          </cell>
          <cell r="B1834" t="str">
            <v>700050</v>
          </cell>
          <cell r="C1834" t="str">
            <v>Real Est Maint</v>
          </cell>
          <cell r="D1834" t="str">
            <v>751001748</v>
          </cell>
          <cell r="E1834" t="str">
            <v>006</v>
          </cell>
          <cell r="F1834" t="str">
            <v>P5 Correct A/P Auto Accural</v>
          </cell>
          <cell r="G1834">
            <v>0</v>
          </cell>
          <cell r="H1834" t="str">
            <v>ORD 1850031201</v>
          </cell>
          <cell r="I1834" t="str">
            <v>620210</v>
          </cell>
          <cell r="J1834" t="str">
            <v>Free-time Activitie</v>
          </cell>
          <cell r="K1834">
            <v>-725.63</v>
          </cell>
          <cell r="L1834">
            <v>38138</v>
          </cell>
        </row>
        <row r="1835">
          <cell r="A1835" t="str">
            <v>7098641</v>
          </cell>
          <cell r="B1835" t="str">
            <v>700200</v>
          </cell>
          <cell r="C1835" t="str">
            <v>Cleaning</v>
          </cell>
          <cell r="D1835" t="str">
            <v>360001064</v>
          </cell>
          <cell r="E1835" t="str">
            <v>006</v>
          </cell>
          <cell r="F1835" t="str">
            <v>Santa Rosa</v>
          </cell>
          <cell r="G1835">
            <v>0</v>
          </cell>
          <cell r="H1835" t="str">
            <v>ORD 1850031200</v>
          </cell>
          <cell r="I1835" t="str">
            <v>700050</v>
          </cell>
          <cell r="J1835" t="str">
            <v>Real Est Maint</v>
          </cell>
          <cell r="K1835">
            <v>823.83</v>
          </cell>
          <cell r="L1835">
            <v>38147</v>
          </cell>
        </row>
        <row r="1836">
          <cell r="A1836" t="str">
            <v>7098641</v>
          </cell>
          <cell r="B1836" t="str">
            <v>700200</v>
          </cell>
          <cell r="C1836" t="str">
            <v>Cleaning</v>
          </cell>
          <cell r="D1836" t="str">
            <v>360001059</v>
          </cell>
          <cell r="E1836" t="str">
            <v>006</v>
          </cell>
          <cell r="F1836" t="str">
            <v>*INV#44423 CUST#260 6/1-30/04 AMER.HOUSKEEP.</v>
          </cell>
          <cell r="G1836">
            <v>0</v>
          </cell>
          <cell r="H1836" t="str">
            <v>ORD 1850031201</v>
          </cell>
          <cell r="I1836" t="str">
            <v>305114</v>
          </cell>
          <cell r="J1836" t="str">
            <v>AMERICAN HOUSEKEEPING INC</v>
          </cell>
          <cell r="K1836">
            <v>1373.55</v>
          </cell>
          <cell r="L1836">
            <v>38146</v>
          </cell>
        </row>
        <row r="1837">
          <cell r="A1837" t="str">
            <v>7098641</v>
          </cell>
          <cell r="B1837" t="str">
            <v>700200</v>
          </cell>
          <cell r="C1837" t="str">
            <v>Cleaning</v>
          </cell>
          <cell r="D1837" t="str">
            <v>751001668</v>
          </cell>
          <cell r="E1837" t="str">
            <v>006</v>
          </cell>
          <cell r="F1837" t="str">
            <v>Santa Rosa</v>
          </cell>
          <cell r="G1837">
            <v>0</v>
          </cell>
          <cell r="H1837" t="str">
            <v>ORD 1850031200</v>
          </cell>
          <cell r="I1837" t="str">
            <v>700050</v>
          </cell>
          <cell r="J1837" t="str">
            <v>Real Est Maint</v>
          </cell>
          <cell r="K1837">
            <v>-823.83</v>
          </cell>
          <cell r="L1837">
            <v>38138</v>
          </cell>
        </row>
        <row r="1838">
          <cell r="A1838" t="str">
            <v>7098641</v>
          </cell>
          <cell r="B1838" t="str">
            <v>700300</v>
          </cell>
          <cell r="C1838" t="str">
            <v>Environm and Refuse</v>
          </cell>
          <cell r="D1838" t="str">
            <v>161016446</v>
          </cell>
          <cell r="E1838" t="str">
            <v>006</v>
          </cell>
          <cell r="F1838">
            <v>0</v>
          </cell>
          <cell r="G1838">
            <v>0</v>
          </cell>
          <cell r="H1838" t="str">
            <v>ORD 1850031201</v>
          </cell>
          <cell r="I1838" t="str">
            <v>305114</v>
          </cell>
          <cell r="J1838" t="str">
            <v>AMERICAN HOUSEKEEPING INC</v>
          </cell>
          <cell r="K1838">
            <v>419.02</v>
          </cell>
          <cell r="L1838">
            <v>38148</v>
          </cell>
        </row>
        <row r="1839">
          <cell r="A1839" t="str">
            <v>7098641</v>
          </cell>
          <cell r="B1839" t="str">
            <v>700600</v>
          </cell>
          <cell r="C1839" t="str">
            <v>Real Estate Rates</v>
          </cell>
          <cell r="D1839" t="str">
            <v>758003900</v>
          </cell>
          <cell r="E1839" t="str">
            <v>006</v>
          </cell>
          <cell r="F1839" t="str">
            <v>RCR#4058 SANTA ROSA PERS PROP TAX</v>
          </cell>
          <cell r="G1839">
            <v>0</v>
          </cell>
          <cell r="H1839" t="str">
            <v>ORD 1850031201</v>
          </cell>
          <cell r="I1839" t="str">
            <v>280210</v>
          </cell>
          <cell r="J1839" t="str">
            <v>Accrued Property Tax</v>
          </cell>
          <cell r="K1839">
            <v>858.75</v>
          </cell>
          <cell r="L1839">
            <v>38158</v>
          </cell>
        </row>
        <row r="1840">
          <cell r="A1840" t="str">
            <v>7098641</v>
          </cell>
          <cell r="B1840" t="str">
            <v>700700</v>
          </cell>
          <cell r="C1840" t="str">
            <v>Water Rates</v>
          </cell>
          <cell r="D1840" t="str">
            <v>751001670</v>
          </cell>
          <cell r="E1840" t="str">
            <v>006</v>
          </cell>
          <cell r="F1840" t="str">
            <v>CEP Campus BLLC</v>
          </cell>
          <cell r="G1840">
            <v>0</v>
          </cell>
          <cell r="H1840" t="str">
            <v>ORD 1850031201</v>
          </cell>
          <cell r="I1840" t="str">
            <v>273900</v>
          </cell>
          <cell r="J1840" t="str">
            <v>Other Accr Expenses</v>
          </cell>
          <cell r="K1840">
            <v>-2257.8000000000002</v>
          </cell>
          <cell r="L1840">
            <v>38138</v>
          </cell>
        </row>
        <row r="1841">
          <cell r="A1841" t="str">
            <v>7098641</v>
          </cell>
          <cell r="B1841" t="str">
            <v>700800</v>
          </cell>
          <cell r="C1841" t="str">
            <v>Electricity and Gas</v>
          </cell>
          <cell r="D1841" t="str">
            <v>496022868</v>
          </cell>
          <cell r="E1841" t="str">
            <v>006</v>
          </cell>
          <cell r="F1841" t="str">
            <v>*GAS SERV. PG&amp;E SANTA ROSA  4/15/04-5/14/04</v>
          </cell>
          <cell r="G1841">
            <v>0</v>
          </cell>
          <cell r="H1841" t="str">
            <v>ORD 1850031201</v>
          </cell>
          <cell r="I1841" t="str">
            <v>401424</v>
          </cell>
          <cell r="J1841" t="str">
            <v>CEP CAMPUS B LLC</v>
          </cell>
          <cell r="K1841">
            <v>398.02</v>
          </cell>
          <cell r="L1841">
            <v>38154</v>
          </cell>
        </row>
        <row r="1842">
          <cell r="A1842" t="str">
            <v>7098641</v>
          </cell>
          <cell r="B1842" t="str">
            <v>700800</v>
          </cell>
          <cell r="C1842" t="str">
            <v>Electricity and Gas</v>
          </cell>
          <cell r="D1842" t="str">
            <v>496022867</v>
          </cell>
          <cell r="E1842" t="str">
            <v>006</v>
          </cell>
          <cell r="F1842" t="str">
            <v>*ELECT.SERVICE SANTA ROSA  4/15/04-5/10/04</v>
          </cell>
          <cell r="G1842">
            <v>0</v>
          </cell>
          <cell r="H1842" t="str">
            <v>ORD 1850031201</v>
          </cell>
          <cell r="I1842" t="str">
            <v>401424</v>
          </cell>
          <cell r="J1842" t="str">
            <v>CEP CAMPUS B LLC</v>
          </cell>
          <cell r="K1842">
            <v>8078.37</v>
          </cell>
          <cell r="L1842">
            <v>38154</v>
          </cell>
        </row>
        <row r="1843">
          <cell r="A1843" t="str">
            <v>7098641</v>
          </cell>
          <cell r="B1843" t="str">
            <v>700800</v>
          </cell>
          <cell r="C1843" t="str">
            <v>Electricity and Gas</v>
          </cell>
          <cell r="D1843" t="str">
            <v>751001670</v>
          </cell>
          <cell r="E1843" t="str">
            <v>006</v>
          </cell>
          <cell r="F1843" t="str">
            <v>CEP Campus BLLC</v>
          </cell>
          <cell r="G1843">
            <v>0</v>
          </cell>
          <cell r="H1843" t="str">
            <v>ORD 1850031201</v>
          </cell>
          <cell r="I1843" t="str">
            <v>273900</v>
          </cell>
          <cell r="J1843" t="str">
            <v>Other Accr Expenses</v>
          </cell>
          <cell r="K1843">
            <v>-4000</v>
          </cell>
          <cell r="L1843">
            <v>38138</v>
          </cell>
        </row>
        <row r="1844">
          <cell r="A1844" t="str">
            <v>7098641</v>
          </cell>
          <cell r="B1844" t="str">
            <v>710000</v>
          </cell>
          <cell r="C1844" t="str">
            <v>Rents Premises Ext</v>
          </cell>
          <cell r="D1844" t="str">
            <v>758003895</v>
          </cell>
          <cell r="E1844" t="str">
            <v>006</v>
          </cell>
          <cell r="F1844" t="str">
            <v>RCR#4053 SANTA ROSA TI &amp; CREDIT CAM</v>
          </cell>
          <cell r="G1844">
            <v>0</v>
          </cell>
          <cell r="H1844" t="str">
            <v>ORD 1850031201</v>
          </cell>
          <cell r="I1844" t="str">
            <v>170400</v>
          </cell>
          <cell r="J1844" t="str">
            <v>Prepaid Rents</v>
          </cell>
          <cell r="K1844">
            <v>14341.81</v>
          </cell>
          <cell r="L1844">
            <v>38158</v>
          </cell>
        </row>
        <row r="1845">
          <cell r="A1845" t="str">
            <v>7098641</v>
          </cell>
          <cell r="B1845" t="str">
            <v>710000</v>
          </cell>
          <cell r="C1845" t="str">
            <v>Rents Premises Ext</v>
          </cell>
          <cell r="D1845" t="str">
            <v>758003895</v>
          </cell>
          <cell r="E1845" t="str">
            <v>006</v>
          </cell>
          <cell r="F1845" t="str">
            <v>RCR#4053 SANTA ROSA SL RENT</v>
          </cell>
          <cell r="G1845">
            <v>0</v>
          </cell>
          <cell r="H1845" t="str">
            <v>ORD 1850031201</v>
          </cell>
          <cell r="I1845" t="str">
            <v>170400</v>
          </cell>
          <cell r="J1845" t="str">
            <v>Prepaid Rents</v>
          </cell>
          <cell r="K1845">
            <v>149123.69</v>
          </cell>
          <cell r="L1845">
            <v>38158</v>
          </cell>
        </row>
        <row r="1846">
          <cell r="A1846" t="str">
            <v>7098641</v>
          </cell>
          <cell r="B1846" t="str">
            <v>710000</v>
          </cell>
          <cell r="C1846" t="str">
            <v>Rents Premises Ext</v>
          </cell>
          <cell r="D1846" t="str">
            <v>758003895</v>
          </cell>
          <cell r="E1846" t="str">
            <v>006</v>
          </cell>
          <cell r="F1846" t="str">
            <v>RCR#4053 SANTA ROSA PROVISION</v>
          </cell>
          <cell r="G1846">
            <v>0</v>
          </cell>
          <cell r="H1846" t="str">
            <v>ORD 1850031201</v>
          </cell>
          <cell r="I1846" t="str">
            <v>272800</v>
          </cell>
          <cell r="J1846" t="str">
            <v>Accr Rents, Utilitie</v>
          </cell>
          <cell r="K1846">
            <v>-108704.55</v>
          </cell>
          <cell r="L1846">
            <v>38158</v>
          </cell>
        </row>
        <row r="1847">
          <cell r="A1847" t="str">
            <v>7098641</v>
          </cell>
          <cell r="B1847" t="str">
            <v>710000</v>
          </cell>
          <cell r="C1847" t="str">
            <v>Rents Premises Ext</v>
          </cell>
          <cell r="D1847" t="str">
            <v>758003895</v>
          </cell>
          <cell r="E1847" t="str">
            <v>006</v>
          </cell>
          <cell r="F1847" t="str">
            <v>RCR#4053 SANTA ROSA AMORT EMYTH SUBLEASE</v>
          </cell>
          <cell r="G1847">
            <v>0</v>
          </cell>
          <cell r="H1847" t="str">
            <v>ORD 1850031201</v>
          </cell>
          <cell r="I1847" t="str">
            <v>272800</v>
          </cell>
          <cell r="J1847" t="str">
            <v>Accr Rents, Utilitie</v>
          </cell>
          <cell r="K1847">
            <v>-19234.14</v>
          </cell>
          <cell r="L1847">
            <v>38158</v>
          </cell>
        </row>
        <row r="1848">
          <cell r="A1848" t="str">
            <v>7098641</v>
          </cell>
          <cell r="B1848" t="str">
            <v>719300</v>
          </cell>
          <cell r="C1848" t="str">
            <v>Rents and Leases, Ve</v>
          </cell>
          <cell r="D1848" t="str">
            <v>476000681</v>
          </cell>
          <cell r="E1848" t="str">
            <v>006</v>
          </cell>
          <cell r="F1848" t="str">
            <v>*CM#FBN0508771  AUTO LEASES</v>
          </cell>
          <cell r="G1848">
            <v>0</v>
          </cell>
          <cell r="H1848" t="str">
            <v>ORD 1850031200</v>
          </cell>
          <cell r="I1848" t="str">
            <v>719300</v>
          </cell>
          <cell r="J1848" t="str">
            <v>Rents and Leases, Ve</v>
          </cell>
          <cell r="K1848">
            <v>6</v>
          </cell>
          <cell r="L1848">
            <v>38140</v>
          </cell>
        </row>
        <row r="1849">
          <cell r="A1849" t="str">
            <v>7098641</v>
          </cell>
          <cell r="B1849" t="str">
            <v>719900</v>
          </cell>
          <cell r="C1849" t="str">
            <v>Rents and Leases Oth</v>
          </cell>
          <cell r="D1849" t="str">
            <v>173000194</v>
          </cell>
          <cell r="E1849" t="str">
            <v>006</v>
          </cell>
          <cell r="F1849" t="str">
            <v>LB911613 6/01 DEPOSIT CK#23025 E-MYTH</v>
          </cell>
          <cell r="G1849">
            <v>0</v>
          </cell>
          <cell r="H1849">
            <v>0</v>
          </cell>
          <cell r="I1849" t="str">
            <v>168000</v>
          </cell>
          <cell r="J1849" t="str">
            <v>Clearing Acc A/R Ext</v>
          </cell>
          <cell r="K1849">
            <v>-531.29999999999995</v>
          </cell>
          <cell r="L1849">
            <v>38145</v>
          </cell>
        </row>
        <row r="1850">
          <cell r="A1850" t="str">
            <v>7098641</v>
          </cell>
          <cell r="B1850" t="str">
            <v>752730</v>
          </cell>
          <cell r="C1850" t="str">
            <v>Voice Cost Tran Exp</v>
          </cell>
          <cell r="D1850" t="str">
            <v>750001549</v>
          </cell>
          <cell r="E1850" t="str">
            <v>006</v>
          </cell>
          <cell r="F1850" t="str">
            <v>P5 AT&amp;T Mobile Accrual #8039 &amp; 8040</v>
          </cell>
          <cell r="G1850">
            <v>0</v>
          </cell>
          <cell r="H1850">
            <v>0</v>
          </cell>
          <cell r="I1850" t="str">
            <v>751730</v>
          </cell>
          <cell r="J1850" t="str">
            <v>Voice Cost Tra Inc</v>
          </cell>
          <cell r="K1850">
            <v>61.19</v>
          </cell>
          <cell r="L1850">
            <v>38160</v>
          </cell>
        </row>
        <row r="1851">
          <cell r="A1851" t="str">
            <v>7098641</v>
          </cell>
          <cell r="B1851" t="str">
            <v>784000</v>
          </cell>
          <cell r="C1851" t="str">
            <v>Amort Oth Int Assets</v>
          </cell>
          <cell r="D1851" t="str">
            <v>11502480</v>
          </cell>
          <cell r="E1851" t="str">
            <v>006</v>
          </cell>
          <cell r="F1851" t="str">
            <v>AFB01200400601-0011502480</v>
          </cell>
          <cell r="G1851">
            <v>0</v>
          </cell>
          <cell r="H1851" t="str">
            <v>ORD 1850031201</v>
          </cell>
          <cell r="I1851" t="str">
            <v>107110</v>
          </cell>
          <cell r="J1851" t="str">
            <v>Oth Intang Acc Depr</v>
          </cell>
          <cell r="K1851">
            <v>48.8</v>
          </cell>
          <cell r="L1851">
            <v>38163</v>
          </cell>
        </row>
        <row r="1852">
          <cell r="A1852" t="str">
            <v>7098641</v>
          </cell>
          <cell r="B1852" t="str">
            <v>786900</v>
          </cell>
          <cell r="C1852" t="str">
            <v>Depr Oth Mach, Equip</v>
          </cell>
          <cell r="D1852" t="str">
            <v>11502485</v>
          </cell>
          <cell r="E1852" t="str">
            <v>006</v>
          </cell>
          <cell r="F1852" t="str">
            <v>AFB01200400601-0011502485</v>
          </cell>
          <cell r="G1852">
            <v>0</v>
          </cell>
          <cell r="H1852" t="str">
            <v>ORD 1850031201</v>
          </cell>
          <cell r="I1852" t="str">
            <v>170710</v>
          </cell>
          <cell r="J1852" t="str">
            <v>Deferred Exps Moulds</v>
          </cell>
          <cell r="K1852">
            <v>6350.43</v>
          </cell>
          <cell r="L1852">
            <v>38163</v>
          </cell>
        </row>
        <row r="1853">
          <cell r="A1853" t="str">
            <v>7098641</v>
          </cell>
          <cell r="B1853" t="str">
            <v>794300</v>
          </cell>
          <cell r="C1853" t="str">
            <v>Rent Inc rent RE ext</v>
          </cell>
          <cell r="D1853" t="str">
            <v>758004019</v>
          </cell>
          <cell r="E1853" t="str">
            <v>006</v>
          </cell>
          <cell r="F1853" t="str">
            <v>Adj E-Myth S/L income P1-P6, 04</v>
          </cell>
          <cell r="G1853">
            <v>0</v>
          </cell>
          <cell r="H1853" t="str">
            <v>ORD 1850031201</v>
          </cell>
          <cell r="I1853" t="str">
            <v>275000</v>
          </cell>
          <cell r="J1853" t="str">
            <v>Oth Prepaid Income</v>
          </cell>
          <cell r="K1853">
            <v>-164.25</v>
          </cell>
          <cell r="L1853">
            <v>38160</v>
          </cell>
        </row>
        <row r="1854">
          <cell r="A1854" t="str">
            <v>7098641</v>
          </cell>
          <cell r="B1854" t="str">
            <v>794300</v>
          </cell>
          <cell r="C1854" t="str">
            <v>Rent Inc rent RE ext</v>
          </cell>
          <cell r="D1854" t="str">
            <v>173000194</v>
          </cell>
          <cell r="E1854" t="str">
            <v>006</v>
          </cell>
          <cell r="F1854" t="str">
            <v>LB911613 6/01 DEPOSIT CK#23025 E-MYTH</v>
          </cell>
          <cell r="G1854">
            <v>0</v>
          </cell>
          <cell r="H1854">
            <v>0</v>
          </cell>
          <cell r="I1854" t="str">
            <v>168000</v>
          </cell>
          <cell r="J1854" t="str">
            <v>Clearing Acc A/R Ext</v>
          </cell>
          <cell r="K1854">
            <v>-26447.85</v>
          </cell>
          <cell r="L1854">
            <v>38145</v>
          </cell>
        </row>
        <row r="1855">
          <cell r="A1855" t="str">
            <v>7098641</v>
          </cell>
          <cell r="B1855" t="str">
            <v>794300</v>
          </cell>
          <cell r="C1855" t="str">
            <v>Rent Inc rent RE ext</v>
          </cell>
          <cell r="D1855" t="str">
            <v>758003895</v>
          </cell>
          <cell r="E1855" t="str">
            <v>006</v>
          </cell>
          <cell r="F1855" t="str">
            <v>RCR#4053 SANTA ROSA EMYTH RENT INCOME</v>
          </cell>
          <cell r="G1855">
            <v>0</v>
          </cell>
          <cell r="H1855" t="str">
            <v>ORD 1850031201</v>
          </cell>
          <cell r="I1855" t="str">
            <v>272800</v>
          </cell>
          <cell r="J1855" t="str">
            <v>Accr Rents, Utilitie</v>
          </cell>
          <cell r="K1855">
            <v>-26617.85</v>
          </cell>
          <cell r="L1855">
            <v>38158</v>
          </cell>
        </row>
        <row r="1856">
          <cell r="A1856" t="str">
            <v>7098641 Total</v>
          </cell>
          <cell r="K1856">
            <v>-9117.43</v>
          </cell>
        </row>
        <row r="1857">
          <cell r="A1857" t="str">
            <v>7098642</v>
          </cell>
          <cell r="B1857" t="str">
            <v>620290</v>
          </cell>
          <cell r="C1857" t="str">
            <v>Other Benefits</v>
          </cell>
          <cell r="D1857" t="str">
            <v>758004036</v>
          </cell>
          <cell r="E1857" t="str">
            <v>006</v>
          </cell>
          <cell r="F1857" t="str">
            <v>B of A activity</v>
          </cell>
          <cell r="G1857">
            <v>0</v>
          </cell>
          <cell r="H1857">
            <v>0</v>
          </cell>
          <cell r="I1857" t="str">
            <v>199300</v>
          </cell>
          <cell r="J1857" t="str">
            <v>Petty Cash</v>
          </cell>
          <cell r="K1857">
            <v>1191.92</v>
          </cell>
          <cell r="L1857">
            <v>38161</v>
          </cell>
        </row>
        <row r="1858">
          <cell r="A1858" t="str">
            <v>7098642</v>
          </cell>
          <cell r="B1858" t="str">
            <v>641900</v>
          </cell>
          <cell r="C1858" t="str">
            <v>Other Travel Exp Dom</v>
          </cell>
          <cell r="D1858" t="str">
            <v>758004036</v>
          </cell>
          <cell r="E1858" t="str">
            <v>006</v>
          </cell>
          <cell r="F1858" t="str">
            <v>B of A activity</v>
          </cell>
          <cell r="G1858">
            <v>0</v>
          </cell>
          <cell r="H1858">
            <v>0</v>
          </cell>
          <cell r="I1858" t="str">
            <v>199300</v>
          </cell>
          <cell r="J1858" t="str">
            <v>Petty Cash</v>
          </cell>
          <cell r="K1858">
            <v>90</v>
          </cell>
          <cell r="L1858">
            <v>38161</v>
          </cell>
        </row>
        <row r="1859">
          <cell r="A1859" t="str">
            <v>7098642</v>
          </cell>
          <cell r="B1859" t="str">
            <v>680000</v>
          </cell>
          <cell r="C1859" t="str">
            <v>Office Suppl &amp; Equip</v>
          </cell>
          <cell r="D1859" t="str">
            <v>5000334839</v>
          </cell>
          <cell r="E1859" t="str">
            <v>006</v>
          </cell>
          <cell r="F1859" t="str">
            <v>HUMANSCALE FREEDOM CHAIR, GRAY</v>
          </cell>
          <cell r="G1859" t="str">
            <v>4858168</v>
          </cell>
          <cell r="H1859">
            <v>0</v>
          </cell>
          <cell r="I1859" t="str">
            <v>230316</v>
          </cell>
          <cell r="J1859" t="str">
            <v>GR/IR Non coded 3</v>
          </cell>
          <cell r="K1859">
            <v>557.49</v>
          </cell>
          <cell r="L1859">
            <v>38161</v>
          </cell>
        </row>
        <row r="1860">
          <cell r="A1860" t="str">
            <v>7098642</v>
          </cell>
          <cell r="B1860" t="str">
            <v>681100</v>
          </cell>
          <cell r="C1860" t="str">
            <v>Off phon-C Costs</v>
          </cell>
          <cell r="D1860" t="str">
            <v>360001123</v>
          </cell>
          <cell r="E1860" t="str">
            <v>006</v>
          </cell>
          <cell r="F1860" t="str">
            <v>*ACCT#7043370508 SBC 6/04</v>
          </cell>
          <cell r="G1860">
            <v>0</v>
          </cell>
          <cell r="H1860">
            <v>0</v>
          </cell>
          <cell r="I1860" t="str">
            <v>312561</v>
          </cell>
          <cell r="J1860" t="str">
            <v>SBC</v>
          </cell>
          <cell r="K1860">
            <v>51.92</v>
          </cell>
          <cell r="L1860">
            <v>38160</v>
          </cell>
        </row>
        <row r="1861">
          <cell r="A1861" t="str">
            <v>7098642</v>
          </cell>
          <cell r="B1861" t="str">
            <v>691300</v>
          </cell>
          <cell r="C1861" t="str">
            <v>Consultants</v>
          </cell>
          <cell r="D1861" t="str">
            <v>5000293520</v>
          </cell>
          <cell r="E1861" t="str">
            <v>006</v>
          </cell>
          <cell r="F1861" t="str">
            <v>MISC EXPENSE</v>
          </cell>
          <cell r="G1861" t="str">
            <v>4786292</v>
          </cell>
          <cell r="H1861">
            <v>0</v>
          </cell>
          <cell r="I1861" t="str">
            <v>230316</v>
          </cell>
          <cell r="J1861" t="str">
            <v>GR/IR Non coded 3</v>
          </cell>
          <cell r="K1861">
            <v>85.46</v>
          </cell>
          <cell r="L1861">
            <v>38142</v>
          </cell>
        </row>
        <row r="1862">
          <cell r="A1862" t="str">
            <v>7098642</v>
          </cell>
          <cell r="B1862" t="str">
            <v>691300</v>
          </cell>
          <cell r="C1862" t="str">
            <v>Consultants</v>
          </cell>
          <cell r="D1862" t="str">
            <v>5000313192</v>
          </cell>
          <cell r="E1862" t="str">
            <v>006</v>
          </cell>
          <cell r="F1862" t="str">
            <v>PHASE 3-BID REVIEW &amp; CONST. SUPERVISOR</v>
          </cell>
          <cell r="G1862" t="str">
            <v>4786292</v>
          </cell>
          <cell r="H1862">
            <v>0</v>
          </cell>
          <cell r="I1862" t="str">
            <v>230316</v>
          </cell>
          <cell r="J1862" t="str">
            <v>GR/IR Non coded 3</v>
          </cell>
          <cell r="K1862">
            <v>2450</v>
          </cell>
          <cell r="L1862">
            <v>38152</v>
          </cell>
        </row>
        <row r="1863">
          <cell r="A1863" t="str">
            <v>7098642</v>
          </cell>
          <cell r="B1863" t="str">
            <v>691300</v>
          </cell>
          <cell r="C1863" t="str">
            <v>Consultants</v>
          </cell>
          <cell r="D1863" t="str">
            <v>230102</v>
          </cell>
          <cell r="E1863" t="str">
            <v>006</v>
          </cell>
          <cell r="F1863">
            <v>0</v>
          </cell>
          <cell r="G1863" t="str">
            <v>4786292</v>
          </cell>
          <cell r="H1863">
            <v>0</v>
          </cell>
          <cell r="I1863" t="str">
            <v>361237</v>
          </cell>
          <cell r="J1863" t="str">
            <v>ARCHITECTURE STUDIO INC THE</v>
          </cell>
          <cell r="K1863">
            <v>2707.25</v>
          </cell>
          <cell r="L1863">
            <v>38161</v>
          </cell>
        </row>
        <row r="1864">
          <cell r="A1864" t="str">
            <v>7098642</v>
          </cell>
          <cell r="B1864" t="str">
            <v>691300</v>
          </cell>
          <cell r="C1864" t="str">
            <v>Consultants</v>
          </cell>
          <cell r="D1864" t="str">
            <v>5000291791</v>
          </cell>
          <cell r="E1864" t="str">
            <v>006</v>
          </cell>
          <cell r="F1864" t="str">
            <v>PHASE 2-CONSTRUCTION DRAWINGS,PLANCHECKS</v>
          </cell>
          <cell r="G1864" t="str">
            <v>4786292</v>
          </cell>
          <cell r="H1864">
            <v>0</v>
          </cell>
          <cell r="I1864" t="str">
            <v>230316</v>
          </cell>
          <cell r="J1864" t="str">
            <v>GR/IR Non coded 3</v>
          </cell>
          <cell r="K1864">
            <v>5700</v>
          </cell>
          <cell r="L1864">
            <v>38141</v>
          </cell>
        </row>
        <row r="1865">
          <cell r="A1865" t="str">
            <v>7098642</v>
          </cell>
          <cell r="B1865" t="str">
            <v>691300</v>
          </cell>
          <cell r="C1865" t="str">
            <v>Consultants</v>
          </cell>
          <cell r="D1865" t="str">
            <v>5000324620</v>
          </cell>
          <cell r="E1865" t="str">
            <v>006</v>
          </cell>
          <cell r="F1865" t="str">
            <v>PHASE 3-BID REVIEW &amp; CONST. SUPERVISOR</v>
          </cell>
          <cell r="G1865" t="str">
            <v>4786292</v>
          </cell>
          <cell r="H1865">
            <v>0</v>
          </cell>
          <cell r="I1865" t="str">
            <v>230316</v>
          </cell>
          <cell r="J1865" t="str">
            <v>GR/IR Non coded 3</v>
          </cell>
          <cell r="K1865">
            <v>-2450</v>
          </cell>
          <cell r="L1865">
            <v>38156</v>
          </cell>
        </row>
        <row r="1866">
          <cell r="A1866" t="str">
            <v>7098642</v>
          </cell>
          <cell r="B1866" t="str">
            <v>692000</v>
          </cell>
          <cell r="C1866" t="str">
            <v>Recruiting Expenses</v>
          </cell>
          <cell r="D1866" t="str">
            <v>161015898</v>
          </cell>
          <cell r="E1866" t="str">
            <v>006</v>
          </cell>
          <cell r="F1866">
            <v>0</v>
          </cell>
          <cell r="G1866">
            <v>0</v>
          </cell>
          <cell r="H1866">
            <v>0</v>
          </cell>
          <cell r="I1866" t="str">
            <v>374001</v>
          </cell>
          <cell r="J1866" t="str">
            <v>HIRERIGHT INC</v>
          </cell>
          <cell r="K1866">
            <v>3330.5</v>
          </cell>
          <cell r="L1866">
            <v>38146</v>
          </cell>
        </row>
        <row r="1867">
          <cell r="A1867" t="str">
            <v>7098642</v>
          </cell>
          <cell r="B1867" t="str">
            <v>700050</v>
          </cell>
          <cell r="C1867" t="str">
            <v>Real Est Maint</v>
          </cell>
          <cell r="D1867" t="str">
            <v>758004036</v>
          </cell>
          <cell r="E1867" t="str">
            <v>006</v>
          </cell>
          <cell r="F1867" t="str">
            <v>B of A activity</v>
          </cell>
          <cell r="G1867">
            <v>0</v>
          </cell>
          <cell r="H1867">
            <v>0</v>
          </cell>
          <cell r="I1867" t="str">
            <v>199300</v>
          </cell>
          <cell r="J1867" t="str">
            <v>Petty Cash</v>
          </cell>
          <cell r="K1867">
            <v>111.85</v>
          </cell>
          <cell r="L1867">
            <v>38161</v>
          </cell>
        </row>
        <row r="1868">
          <cell r="A1868" t="str">
            <v>7098642</v>
          </cell>
          <cell r="B1868" t="str">
            <v>700600</v>
          </cell>
          <cell r="C1868" t="str">
            <v>Real Estate Rates</v>
          </cell>
          <cell r="D1868" t="str">
            <v>758003900</v>
          </cell>
          <cell r="E1868" t="str">
            <v>006</v>
          </cell>
          <cell r="F1868" t="str">
            <v>RCR#4058 CALABASAS PERS PROP TAX</v>
          </cell>
          <cell r="G1868">
            <v>0</v>
          </cell>
          <cell r="H1868" t="str">
            <v>ORD 1850030100</v>
          </cell>
          <cell r="I1868" t="str">
            <v>280210</v>
          </cell>
          <cell r="J1868" t="str">
            <v>Accrued Property Tax</v>
          </cell>
          <cell r="K1868">
            <v>313.58</v>
          </cell>
          <cell r="L1868">
            <v>38158</v>
          </cell>
        </row>
        <row r="1869">
          <cell r="A1869" t="str">
            <v>7098642</v>
          </cell>
          <cell r="B1869" t="str">
            <v>700800</v>
          </cell>
          <cell r="C1869" t="str">
            <v>Electricity and Gas</v>
          </cell>
          <cell r="D1869" t="str">
            <v>496021347</v>
          </cell>
          <cell r="E1869" t="str">
            <v>006</v>
          </cell>
          <cell r="F1869" t="str">
            <v>*ACCT#2-22-609-6808  EDISON  5/04</v>
          </cell>
          <cell r="G1869">
            <v>0</v>
          </cell>
          <cell r="H1869" t="str">
            <v>ORD 1850030102</v>
          </cell>
          <cell r="I1869" t="str">
            <v>367509</v>
          </cell>
          <cell r="J1869" t="str">
            <v>SOUTHERN CALIFORNIA EDISON COMPANY</v>
          </cell>
          <cell r="K1869">
            <v>15.26</v>
          </cell>
          <cell r="L1869">
            <v>38140</v>
          </cell>
        </row>
        <row r="1870">
          <cell r="A1870" t="str">
            <v>7098642</v>
          </cell>
          <cell r="B1870" t="str">
            <v>700800</v>
          </cell>
          <cell r="C1870" t="str">
            <v>Electricity and Gas</v>
          </cell>
          <cell r="D1870" t="str">
            <v>758004037</v>
          </cell>
          <cell r="E1870" t="str">
            <v>006</v>
          </cell>
          <cell r="F1870" t="str">
            <v>Acct#2-22-609-6808 Edison Elec. 04/04</v>
          </cell>
          <cell r="G1870">
            <v>0</v>
          </cell>
          <cell r="H1870" t="str">
            <v>ORD 1850030102</v>
          </cell>
          <cell r="I1870" t="str">
            <v>681200</v>
          </cell>
          <cell r="J1870" t="str">
            <v>Mob Phn-C Costs</v>
          </cell>
          <cell r="K1870">
            <v>15.26</v>
          </cell>
          <cell r="L1870">
            <v>38161</v>
          </cell>
        </row>
        <row r="1871">
          <cell r="A1871" t="str">
            <v>7098642</v>
          </cell>
          <cell r="B1871" t="str">
            <v>700800</v>
          </cell>
          <cell r="C1871" t="str">
            <v>Electricity and Gas</v>
          </cell>
          <cell r="D1871" t="str">
            <v>496021368</v>
          </cell>
          <cell r="E1871" t="str">
            <v>006</v>
          </cell>
          <cell r="F1871" t="str">
            <v>*ACCT#023 811 4783 0  SOUTHERN CAL.GAS</v>
          </cell>
          <cell r="G1871">
            <v>0</v>
          </cell>
          <cell r="H1871" t="str">
            <v>ORD 1850030102</v>
          </cell>
          <cell r="I1871" t="str">
            <v>387370</v>
          </cell>
          <cell r="J1871" t="str">
            <v>SOUTHERN CALIFORNIA GAS COMPANY</v>
          </cell>
          <cell r="K1871">
            <v>37.94</v>
          </cell>
          <cell r="L1871">
            <v>38140</v>
          </cell>
        </row>
        <row r="1872">
          <cell r="A1872" t="str">
            <v>7098642</v>
          </cell>
          <cell r="B1872" t="str">
            <v>700800</v>
          </cell>
          <cell r="C1872" t="str">
            <v>Electricity and Gas</v>
          </cell>
          <cell r="D1872" t="str">
            <v>496021342</v>
          </cell>
          <cell r="E1872" t="str">
            <v>006</v>
          </cell>
          <cell r="F1872" t="str">
            <v>*ACCT#2-22-602-3695  EDISON ELEC.  5/04</v>
          </cell>
          <cell r="G1872">
            <v>0</v>
          </cell>
          <cell r="H1872" t="str">
            <v>ORD 1850030102</v>
          </cell>
          <cell r="I1872" t="str">
            <v>367509</v>
          </cell>
          <cell r="J1872" t="str">
            <v>SOUTHERN CALIFORNIA EDISON COMPANY</v>
          </cell>
          <cell r="K1872">
            <v>177.17</v>
          </cell>
          <cell r="L1872">
            <v>38140</v>
          </cell>
        </row>
        <row r="1873">
          <cell r="A1873" t="str">
            <v>7098642</v>
          </cell>
          <cell r="B1873" t="str">
            <v>700800</v>
          </cell>
          <cell r="C1873" t="str">
            <v>Electricity and Gas</v>
          </cell>
          <cell r="D1873" t="str">
            <v>496023976</v>
          </cell>
          <cell r="E1873" t="str">
            <v>006</v>
          </cell>
          <cell r="F1873" t="str">
            <v>*ACCT#2-22-602-3695   EDISON ELEC. 6/04</v>
          </cell>
          <cell r="G1873">
            <v>0</v>
          </cell>
          <cell r="H1873" t="str">
            <v>ORD 1850030102</v>
          </cell>
          <cell r="I1873" t="str">
            <v>367509</v>
          </cell>
          <cell r="J1873" t="str">
            <v>SOUTHERN CALIFORNIA EDISON COMPANY</v>
          </cell>
          <cell r="K1873">
            <v>271.37</v>
          </cell>
          <cell r="L1873">
            <v>38161</v>
          </cell>
        </row>
        <row r="1874">
          <cell r="A1874" t="str">
            <v>7098642</v>
          </cell>
          <cell r="B1874" t="str">
            <v>700800</v>
          </cell>
          <cell r="C1874" t="str">
            <v>Electricity and Gas</v>
          </cell>
          <cell r="D1874" t="str">
            <v>496021348</v>
          </cell>
          <cell r="E1874" t="str">
            <v>006</v>
          </cell>
          <cell r="F1874" t="str">
            <v>*ACCT#2-21-207-7432  EDISON ELEC.  5/04</v>
          </cell>
          <cell r="G1874">
            <v>0</v>
          </cell>
          <cell r="H1874" t="str">
            <v>ORD 1850030100</v>
          </cell>
          <cell r="I1874" t="str">
            <v>367509</v>
          </cell>
          <cell r="J1874" t="str">
            <v>SOUTHERN CALIFORNIA EDISON COMPANY</v>
          </cell>
          <cell r="K1874">
            <v>1193.54</v>
          </cell>
          <cell r="L1874">
            <v>38140</v>
          </cell>
        </row>
        <row r="1875">
          <cell r="A1875" t="str">
            <v>7098642</v>
          </cell>
          <cell r="B1875" t="str">
            <v>710000</v>
          </cell>
          <cell r="C1875" t="str">
            <v>Rents Premises Ext</v>
          </cell>
          <cell r="D1875" t="str">
            <v>758003999</v>
          </cell>
          <cell r="E1875" t="str">
            <v>006</v>
          </cell>
          <cell r="F1875" t="str">
            <v>RCR#4090 INVINITY SUBLEASE LOSS AMORTIZATION</v>
          </cell>
          <cell r="G1875">
            <v>0</v>
          </cell>
          <cell r="H1875" t="str">
            <v>ORD 1850030103</v>
          </cell>
          <cell r="I1875" t="str">
            <v>275000</v>
          </cell>
          <cell r="J1875" t="str">
            <v>Oth Prepaid Income</v>
          </cell>
          <cell r="K1875">
            <v>131.75</v>
          </cell>
          <cell r="L1875">
            <v>38158</v>
          </cell>
        </row>
        <row r="1876">
          <cell r="A1876" t="str">
            <v>7098642</v>
          </cell>
          <cell r="B1876" t="str">
            <v>710000</v>
          </cell>
          <cell r="C1876" t="str">
            <v>Rents Premises Ext</v>
          </cell>
          <cell r="D1876" t="str">
            <v>758003850</v>
          </cell>
          <cell r="E1876" t="str">
            <v>006</v>
          </cell>
          <cell r="F1876" t="str">
            <v>RCR#3170-P10 CALABASAS SUITES 100 &amp; 250 CAM</v>
          </cell>
          <cell r="G1876">
            <v>0</v>
          </cell>
          <cell r="H1876" t="str">
            <v>ORD 1850030104</v>
          </cell>
          <cell r="I1876" t="str">
            <v>170400</v>
          </cell>
          <cell r="J1876" t="str">
            <v>Prepaid Rents</v>
          </cell>
          <cell r="K1876">
            <v>482.5</v>
          </cell>
          <cell r="L1876">
            <v>38158</v>
          </cell>
        </row>
        <row r="1877">
          <cell r="A1877" t="str">
            <v>7098642</v>
          </cell>
          <cell r="B1877" t="str">
            <v>710000</v>
          </cell>
          <cell r="C1877" t="str">
            <v>Rents Premises Ext</v>
          </cell>
          <cell r="D1877" t="str">
            <v>758004036</v>
          </cell>
          <cell r="E1877" t="str">
            <v>006</v>
          </cell>
          <cell r="F1877" t="str">
            <v>B of A activity</v>
          </cell>
          <cell r="G1877">
            <v>0</v>
          </cell>
          <cell r="H1877">
            <v>0</v>
          </cell>
          <cell r="I1877" t="str">
            <v>199300</v>
          </cell>
          <cell r="J1877" t="str">
            <v>Petty Cash</v>
          </cell>
          <cell r="K1877">
            <v>835</v>
          </cell>
          <cell r="L1877">
            <v>38161</v>
          </cell>
        </row>
        <row r="1878">
          <cell r="A1878" t="str">
            <v>7098642</v>
          </cell>
          <cell r="B1878" t="str">
            <v>710000</v>
          </cell>
          <cell r="C1878" t="str">
            <v>Rents Premises Ext</v>
          </cell>
          <cell r="D1878" t="str">
            <v>758003850</v>
          </cell>
          <cell r="E1878" t="str">
            <v>006</v>
          </cell>
          <cell r="F1878" t="str">
            <v>RCR#3170-P10 CALABASAS SUITES 100 &amp; 250 CAM</v>
          </cell>
          <cell r="G1878">
            <v>0</v>
          </cell>
          <cell r="H1878" t="str">
            <v>ORD 1850030103</v>
          </cell>
          <cell r="I1878" t="str">
            <v>170400</v>
          </cell>
          <cell r="J1878" t="str">
            <v>Prepaid Rents</v>
          </cell>
          <cell r="K1878">
            <v>1447.5</v>
          </cell>
          <cell r="L1878">
            <v>38158</v>
          </cell>
        </row>
        <row r="1879">
          <cell r="A1879" t="str">
            <v>7098642</v>
          </cell>
          <cell r="B1879" t="str">
            <v>710000</v>
          </cell>
          <cell r="C1879" t="str">
            <v>Rents Premises Ext</v>
          </cell>
          <cell r="D1879" t="str">
            <v>758003778</v>
          </cell>
          <cell r="E1879" t="str">
            <v>006</v>
          </cell>
          <cell r="F1879" t="str">
            <v>RCR#4088 EXPENSE RENT CALABASAS 3D LAB</v>
          </cell>
          <cell r="G1879">
            <v>0</v>
          </cell>
          <cell r="H1879" t="str">
            <v>ORD 1850030102</v>
          </cell>
          <cell r="I1879" t="str">
            <v>170400</v>
          </cell>
          <cell r="J1879" t="str">
            <v>Prepaid Rents</v>
          </cell>
          <cell r="K1879">
            <v>2506</v>
          </cell>
          <cell r="L1879">
            <v>38158</v>
          </cell>
        </row>
        <row r="1880">
          <cell r="A1880" t="str">
            <v>7098642</v>
          </cell>
          <cell r="B1880" t="str">
            <v>710000</v>
          </cell>
          <cell r="C1880" t="str">
            <v>Rents Premises Ext</v>
          </cell>
          <cell r="D1880" t="str">
            <v>758003850</v>
          </cell>
          <cell r="E1880" t="str">
            <v>006</v>
          </cell>
          <cell r="F1880" t="str">
            <v>RCR#31670 CALABASAS SQUARE II</v>
          </cell>
          <cell r="G1880">
            <v>0</v>
          </cell>
          <cell r="H1880" t="str">
            <v>ORD 1850030104</v>
          </cell>
          <cell r="I1880" t="str">
            <v>170400</v>
          </cell>
          <cell r="J1880" t="str">
            <v>Prepaid Rents</v>
          </cell>
          <cell r="K1880">
            <v>5411.75</v>
          </cell>
          <cell r="L1880">
            <v>38158</v>
          </cell>
        </row>
        <row r="1881">
          <cell r="A1881" t="str">
            <v>7098642</v>
          </cell>
          <cell r="B1881" t="str">
            <v>710000</v>
          </cell>
          <cell r="C1881" t="str">
            <v>Rents Premises Ext</v>
          </cell>
          <cell r="D1881" t="str">
            <v>758003850</v>
          </cell>
          <cell r="E1881" t="str">
            <v>006</v>
          </cell>
          <cell r="F1881" t="str">
            <v>RCR#3170-CALABASAS SQUARE II</v>
          </cell>
          <cell r="G1881">
            <v>0</v>
          </cell>
          <cell r="H1881" t="str">
            <v>ORD 1850030103</v>
          </cell>
          <cell r="I1881" t="str">
            <v>170400</v>
          </cell>
          <cell r="J1881" t="str">
            <v>Prepaid Rents</v>
          </cell>
          <cell r="K1881">
            <v>16235.25</v>
          </cell>
          <cell r="L1881">
            <v>38158</v>
          </cell>
        </row>
        <row r="1882">
          <cell r="A1882" t="str">
            <v>7098642</v>
          </cell>
          <cell r="B1882" t="str">
            <v>710000</v>
          </cell>
          <cell r="C1882" t="str">
            <v>Rents Premises Ext</v>
          </cell>
          <cell r="D1882" t="str">
            <v>758003820</v>
          </cell>
          <cell r="E1882" t="str">
            <v>006</v>
          </cell>
          <cell r="F1882" t="str">
            <v>RCR#3015-CALABASAS SQUARE I</v>
          </cell>
          <cell r="G1882">
            <v>0</v>
          </cell>
          <cell r="H1882" t="str">
            <v>ORD 1850030101</v>
          </cell>
          <cell r="I1882" t="str">
            <v>170400</v>
          </cell>
          <cell r="J1882" t="str">
            <v>Prepaid Rents</v>
          </cell>
          <cell r="K1882">
            <v>29587</v>
          </cell>
          <cell r="L1882">
            <v>38158</v>
          </cell>
        </row>
        <row r="1883">
          <cell r="A1883" t="str">
            <v>7098642</v>
          </cell>
          <cell r="B1883" t="str">
            <v>710000</v>
          </cell>
          <cell r="C1883" t="str">
            <v>Rents Premises Ext</v>
          </cell>
          <cell r="D1883" t="str">
            <v>758003780</v>
          </cell>
          <cell r="E1883" t="str">
            <v>006</v>
          </cell>
          <cell r="F1883" t="str">
            <v>RCR#4090 INVINITY SUBLEASE LOSS AMORTIZATION</v>
          </cell>
          <cell r="G1883">
            <v>0</v>
          </cell>
          <cell r="H1883" t="str">
            <v>ORD 1850030103</v>
          </cell>
          <cell r="I1883" t="str">
            <v>275000</v>
          </cell>
          <cell r="J1883" t="str">
            <v>Oth Prepaid Income</v>
          </cell>
          <cell r="K1883">
            <v>-131.75</v>
          </cell>
          <cell r="L1883">
            <v>38158</v>
          </cell>
        </row>
        <row r="1884">
          <cell r="A1884" t="str">
            <v>7098642</v>
          </cell>
          <cell r="B1884" t="str">
            <v>710000</v>
          </cell>
          <cell r="C1884" t="str">
            <v>Rents Premises Ext</v>
          </cell>
          <cell r="D1884" t="str">
            <v>758004009</v>
          </cell>
          <cell r="E1884" t="str">
            <v>006</v>
          </cell>
          <cell r="F1884" t="str">
            <v>Invinity Sublease loss amortization</v>
          </cell>
          <cell r="G1884">
            <v>0</v>
          </cell>
          <cell r="H1884" t="str">
            <v>ORD 1850030103</v>
          </cell>
          <cell r="I1884" t="str">
            <v>794300</v>
          </cell>
          <cell r="J1884" t="str">
            <v>Rent Inc rent RE ext</v>
          </cell>
          <cell r="K1884">
            <v>-1522.35</v>
          </cell>
          <cell r="L1884">
            <v>38160</v>
          </cell>
        </row>
        <row r="1885">
          <cell r="A1885" t="str">
            <v>7098642</v>
          </cell>
          <cell r="B1885" t="str">
            <v>710000</v>
          </cell>
          <cell r="C1885" t="str">
            <v>Rents Premises Ext</v>
          </cell>
          <cell r="D1885" t="str">
            <v>751001670</v>
          </cell>
          <cell r="E1885" t="str">
            <v>006</v>
          </cell>
          <cell r="F1885" t="str">
            <v>Operating Expenses</v>
          </cell>
          <cell r="G1885">
            <v>0</v>
          </cell>
          <cell r="H1885" t="str">
            <v>ORD 1850030101</v>
          </cell>
          <cell r="I1885" t="str">
            <v>273900</v>
          </cell>
          <cell r="J1885" t="str">
            <v>Other Accr Expenses</v>
          </cell>
          <cell r="K1885">
            <v>-26916.61</v>
          </cell>
          <cell r="L1885">
            <v>38138</v>
          </cell>
        </row>
        <row r="1886">
          <cell r="A1886" t="str">
            <v>7098642</v>
          </cell>
          <cell r="B1886" t="str">
            <v>719300</v>
          </cell>
          <cell r="C1886" t="str">
            <v>Rents and Leases, Ve</v>
          </cell>
          <cell r="D1886" t="str">
            <v>496022060</v>
          </cell>
          <cell r="E1886" t="str">
            <v>006</v>
          </cell>
          <cell r="F1886" t="str">
            <v>*ACCT#0463-00-445955-8  AUTO FUEL</v>
          </cell>
          <cell r="G1886">
            <v>0</v>
          </cell>
          <cell r="H1886" t="str">
            <v>ORD 1850030100</v>
          </cell>
          <cell r="I1886" t="str">
            <v>394090</v>
          </cell>
          <cell r="J1886" t="str">
            <v>WRIGHT EXPRESS FINANCIAL SERVICES</v>
          </cell>
          <cell r="K1886">
            <v>129.66</v>
          </cell>
          <cell r="L1886">
            <v>38147</v>
          </cell>
        </row>
        <row r="1887">
          <cell r="A1887" t="str">
            <v>7098642</v>
          </cell>
          <cell r="B1887" t="str">
            <v>719300</v>
          </cell>
          <cell r="C1887" t="str">
            <v>Rents and Leases, Ve</v>
          </cell>
          <cell r="D1887" t="str">
            <v>496024043</v>
          </cell>
          <cell r="E1887" t="str">
            <v>006</v>
          </cell>
          <cell r="F1887" t="str">
            <v>*ACCT#0463-00445955-8  FUEL</v>
          </cell>
          <cell r="G1887">
            <v>0</v>
          </cell>
          <cell r="H1887" t="str">
            <v>ORD 1850030100</v>
          </cell>
          <cell r="I1887" t="str">
            <v>394090</v>
          </cell>
          <cell r="J1887" t="str">
            <v>WRIGHT EXPRESS FINANCIAL SERVICES</v>
          </cell>
          <cell r="K1887">
            <v>239.46</v>
          </cell>
          <cell r="L1887">
            <v>38161</v>
          </cell>
        </row>
        <row r="1888">
          <cell r="A1888" t="str">
            <v>7098642</v>
          </cell>
          <cell r="B1888" t="str">
            <v>719300</v>
          </cell>
          <cell r="C1888" t="str">
            <v>Rents and Leases, Ve</v>
          </cell>
          <cell r="D1888" t="str">
            <v>476000681</v>
          </cell>
          <cell r="E1888" t="str">
            <v>006</v>
          </cell>
          <cell r="F1888" t="str">
            <v>*CM#FBN0508771  AUTO LEASES</v>
          </cell>
          <cell r="G1888">
            <v>0</v>
          </cell>
          <cell r="H1888" t="str">
            <v>ORD 1850030100</v>
          </cell>
          <cell r="I1888" t="str">
            <v>719300</v>
          </cell>
          <cell r="J1888" t="str">
            <v>Rents and Leases, Ve</v>
          </cell>
          <cell r="K1888">
            <v>719.98</v>
          </cell>
          <cell r="L1888">
            <v>38140</v>
          </cell>
        </row>
        <row r="1889">
          <cell r="A1889" t="str">
            <v>7098642</v>
          </cell>
          <cell r="B1889" t="str">
            <v>786900</v>
          </cell>
          <cell r="C1889" t="str">
            <v>Depr Oth Mach, Equip</v>
          </cell>
          <cell r="D1889" t="str">
            <v>11502485</v>
          </cell>
          <cell r="E1889" t="str">
            <v>006</v>
          </cell>
          <cell r="F1889" t="str">
            <v>AFB01200400601-0011502485</v>
          </cell>
          <cell r="G1889">
            <v>0</v>
          </cell>
          <cell r="H1889" t="str">
            <v>ORD 1850030101</v>
          </cell>
          <cell r="I1889" t="str">
            <v>170710</v>
          </cell>
          <cell r="J1889" t="str">
            <v>Deferred Exps Moulds</v>
          </cell>
          <cell r="K1889">
            <v>151.07</v>
          </cell>
          <cell r="L1889">
            <v>38163</v>
          </cell>
        </row>
        <row r="1890">
          <cell r="A1890" t="str">
            <v>7098642</v>
          </cell>
          <cell r="B1890" t="str">
            <v>786900</v>
          </cell>
          <cell r="C1890" t="str">
            <v>Depr Oth Mach, Equip</v>
          </cell>
          <cell r="D1890" t="str">
            <v>11502485</v>
          </cell>
          <cell r="E1890" t="str">
            <v>006</v>
          </cell>
          <cell r="F1890" t="str">
            <v>AFB01200400601-0011502485</v>
          </cell>
          <cell r="G1890">
            <v>0</v>
          </cell>
          <cell r="H1890" t="str">
            <v>ORD 1850030104</v>
          </cell>
          <cell r="I1890" t="str">
            <v>170710</v>
          </cell>
          <cell r="J1890" t="str">
            <v>Deferred Exps Moulds</v>
          </cell>
          <cell r="K1890">
            <v>535.89</v>
          </cell>
          <cell r="L1890">
            <v>38163</v>
          </cell>
        </row>
        <row r="1891">
          <cell r="A1891" t="str">
            <v>7098642</v>
          </cell>
          <cell r="B1891" t="str">
            <v>786900</v>
          </cell>
          <cell r="C1891" t="str">
            <v>Depr Oth Mach, Equip</v>
          </cell>
          <cell r="D1891" t="str">
            <v>11502485</v>
          </cell>
          <cell r="E1891" t="str">
            <v>006</v>
          </cell>
          <cell r="F1891" t="str">
            <v>AFB01200400601-0011502485</v>
          </cell>
          <cell r="G1891">
            <v>0</v>
          </cell>
          <cell r="H1891" t="str">
            <v>ORD 1850030103</v>
          </cell>
          <cell r="I1891" t="str">
            <v>170710</v>
          </cell>
          <cell r="J1891" t="str">
            <v>Deferred Exps Moulds</v>
          </cell>
          <cell r="K1891">
            <v>1695.86</v>
          </cell>
          <cell r="L1891">
            <v>38163</v>
          </cell>
        </row>
        <row r="1892">
          <cell r="A1892" t="str">
            <v>7098642</v>
          </cell>
          <cell r="B1892" t="str">
            <v>786900</v>
          </cell>
          <cell r="C1892" t="str">
            <v>Depr Oth Mach, Equip</v>
          </cell>
          <cell r="D1892" t="str">
            <v>11502485</v>
          </cell>
          <cell r="E1892" t="str">
            <v>006</v>
          </cell>
          <cell r="F1892" t="str">
            <v>AFB01200400601-0011502485</v>
          </cell>
          <cell r="G1892">
            <v>0</v>
          </cell>
          <cell r="H1892" t="str">
            <v>ORD 1850030102</v>
          </cell>
          <cell r="I1892" t="str">
            <v>170710</v>
          </cell>
          <cell r="J1892" t="str">
            <v>Deferred Exps Moulds</v>
          </cell>
          <cell r="K1892">
            <v>2904.97</v>
          </cell>
          <cell r="L1892">
            <v>38163</v>
          </cell>
        </row>
        <row r="1893">
          <cell r="A1893" t="str">
            <v>7098642</v>
          </cell>
          <cell r="B1893" t="str">
            <v>794300</v>
          </cell>
          <cell r="C1893" t="str">
            <v>Rent Inc rent RE ext</v>
          </cell>
          <cell r="D1893" t="str">
            <v>758003999</v>
          </cell>
          <cell r="E1893" t="str">
            <v>006</v>
          </cell>
          <cell r="F1893" t="str">
            <v>RCR#4090 INVINITY STRAIGHT-LINE RENT INCOME</v>
          </cell>
          <cell r="G1893">
            <v>0</v>
          </cell>
          <cell r="H1893" t="str">
            <v>ORD 1850030103</v>
          </cell>
          <cell r="I1893" t="str">
            <v>275000</v>
          </cell>
          <cell r="J1893" t="str">
            <v>Oth Prepaid Income</v>
          </cell>
          <cell r="K1893">
            <v>257.63</v>
          </cell>
          <cell r="L1893">
            <v>38158</v>
          </cell>
        </row>
        <row r="1894">
          <cell r="A1894" t="str">
            <v>7098642</v>
          </cell>
          <cell r="B1894" t="str">
            <v>794300</v>
          </cell>
          <cell r="C1894" t="str">
            <v>Rent Inc rent RE ext</v>
          </cell>
          <cell r="D1894" t="str">
            <v>758004009</v>
          </cell>
          <cell r="E1894" t="str">
            <v>006</v>
          </cell>
          <cell r="F1894" t="str">
            <v>Invinity Straight-line rent income</v>
          </cell>
          <cell r="G1894">
            <v>0</v>
          </cell>
          <cell r="H1894" t="str">
            <v>ORD 1850030103</v>
          </cell>
          <cell r="I1894" t="str">
            <v>275000</v>
          </cell>
          <cell r="J1894" t="str">
            <v>Oth Prepaid Income</v>
          </cell>
          <cell r="K1894">
            <v>2976.92</v>
          </cell>
          <cell r="L1894">
            <v>38160</v>
          </cell>
        </row>
        <row r="1895">
          <cell r="A1895" t="str">
            <v>7098642</v>
          </cell>
          <cell r="B1895" t="str">
            <v>794300</v>
          </cell>
          <cell r="C1895" t="str">
            <v>Rent Inc rent RE ext</v>
          </cell>
          <cell r="D1895" t="str">
            <v>758003780</v>
          </cell>
          <cell r="E1895" t="str">
            <v>006</v>
          </cell>
          <cell r="F1895" t="str">
            <v>RCR#4090 INVINITY STRAIGHT-LINE RENT INCOME</v>
          </cell>
          <cell r="G1895">
            <v>0</v>
          </cell>
          <cell r="H1895" t="str">
            <v>ORD 1850030103</v>
          </cell>
          <cell r="I1895" t="str">
            <v>275000</v>
          </cell>
          <cell r="J1895" t="str">
            <v>Oth Prepaid Income</v>
          </cell>
          <cell r="K1895">
            <v>-257.63</v>
          </cell>
          <cell r="L1895">
            <v>38158</v>
          </cell>
        </row>
        <row r="1896">
          <cell r="A1896" t="str">
            <v>7098642</v>
          </cell>
          <cell r="B1896" t="str">
            <v>794300</v>
          </cell>
          <cell r="C1896" t="str">
            <v>Rent Inc rent RE ext</v>
          </cell>
          <cell r="D1896" t="str">
            <v>758004004</v>
          </cell>
          <cell r="E1896" t="str">
            <v>006</v>
          </cell>
          <cell r="F1896" t="str">
            <v>P4 S/L adjustment - Invinity</v>
          </cell>
          <cell r="G1896">
            <v>0</v>
          </cell>
          <cell r="H1896" t="str">
            <v>ORD 1850030103</v>
          </cell>
          <cell r="I1896" t="str">
            <v>275000</v>
          </cell>
          <cell r="J1896" t="str">
            <v>Oth Prepaid Income</v>
          </cell>
          <cell r="K1896">
            <v>-2976.92</v>
          </cell>
          <cell r="L1896">
            <v>38159</v>
          </cell>
        </row>
        <row r="1897">
          <cell r="A1897" t="str">
            <v>7098642</v>
          </cell>
          <cell r="B1897" t="str">
            <v>794300</v>
          </cell>
          <cell r="C1897" t="str">
            <v>Rent Inc rent RE ext</v>
          </cell>
          <cell r="D1897" t="str">
            <v>758004004</v>
          </cell>
          <cell r="E1897" t="str">
            <v>006</v>
          </cell>
          <cell r="F1897" t="str">
            <v>P5 S/L adjustment - Invinity</v>
          </cell>
          <cell r="G1897">
            <v>0</v>
          </cell>
          <cell r="H1897" t="str">
            <v>ORD 1850030103</v>
          </cell>
          <cell r="I1897" t="str">
            <v>275000</v>
          </cell>
          <cell r="J1897" t="str">
            <v>Oth Prepaid Income</v>
          </cell>
          <cell r="K1897">
            <v>-2976.92</v>
          </cell>
          <cell r="L1897">
            <v>38159</v>
          </cell>
        </row>
        <row r="1898">
          <cell r="A1898" t="str">
            <v>7098642</v>
          </cell>
          <cell r="B1898" t="str">
            <v>794300</v>
          </cell>
          <cell r="C1898" t="str">
            <v>Rent Inc rent RE ext</v>
          </cell>
          <cell r="D1898" t="str">
            <v>758004004</v>
          </cell>
          <cell r="E1898" t="str">
            <v>006</v>
          </cell>
          <cell r="F1898" t="str">
            <v>Invintiy - Rev P5 adj. Made in error</v>
          </cell>
          <cell r="G1898">
            <v>0</v>
          </cell>
          <cell r="H1898" t="str">
            <v>ORD 1850030103</v>
          </cell>
          <cell r="I1898" t="str">
            <v>275000</v>
          </cell>
          <cell r="J1898" t="str">
            <v>Oth Prepaid Income</v>
          </cell>
          <cell r="K1898">
            <v>-476.28</v>
          </cell>
          <cell r="L1898">
            <v>38159</v>
          </cell>
        </row>
        <row r="1899">
          <cell r="A1899" t="str">
            <v>7098642</v>
          </cell>
          <cell r="B1899" t="str">
            <v>794300</v>
          </cell>
          <cell r="C1899" t="str">
            <v>Rent Inc rent RE ext</v>
          </cell>
          <cell r="D1899" t="str">
            <v>758004004</v>
          </cell>
          <cell r="E1899" t="str">
            <v>006</v>
          </cell>
          <cell r="F1899" t="str">
            <v>Correct Invinity S/L rent income</v>
          </cell>
          <cell r="G1899">
            <v>0</v>
          </cell>
          <cell r="H1899" t="str">
            <v>ORD 1850030103</v>
          </cell>
          <cell r="I1899" t="str">
            <v>275000</v>
          </cell>
          <cell r="J1899" t="str">
            <v>Oth Prepaid Income</v>
          </cell>
          <cell r="K1899">
            <v>-714.44</v>
          </cell>
          <cell r="L1899">
            <v>38159</v>
          </cell>
        </row>
        <row r="1900">
          <cell r="A1900" t="str">
            <v>7098642 Total</v>
          </cell>
          <cell r="K1900">
            <v>46125.80000000001</v>
          </cell>
        </row>
        <row r="1901">
          <cell r="A1901" t="str">
            <v>7098643</v>
          </cell>
          <cell r="B1901" t="str">
            <v>620110</v>
          </cell>
          <cell r="C1901" t="str">
            <v>Canteen Expenses</v>
          </cell>
          <cell r="D1901" t="str">
            <v>160000705</v>
          </cell>
          <cell r="E1901" t="str">
            <v>006</v>
          </cell>
          <cell r="F1901">
            <v>0</v>
          </cell>
          <cell r="G1901">
            <v>0</v>
          </cell>
          <cell r="H1901">
            <v>0</v>
          </cell>
          <cell r="I1901" t="str">
            <v>394329</v>
          </cell>
          <cell r="J1901" t="str">
            <v>ARAMARK REFRESHMENTS SVCS</v>
          </cell>
          <cell r="K1901">
            <v>691.93</v>
          </cell>
          <cell r="L1901">
            <v>38140</v>
          </cell>
        </row>
        <row r="1902">
          <cell r="A1902" t="str">
            <v>7098643</v>
          </cell>
          <cell r="B1902" t="str">
            <v>620110</v>
          </cell>
          <cell r="C1902" t="str">
            <v>Canteen Expenses</v>
          </cell>
          <cell r="D1902" t="str">
            <v>160000704</v>
          </cell>
          <cell r="E1902" t="str">
            <v>006</v>
          </cell>
          <cell r="F1902" t="str">
            <v>*REVERSE SHOULD BE V#394329</v>
          </cell>
          <cell r="G1902">
            <v>0</v>
          </cell>
          <cell r="H1902">
            <v>0</v>
          </cell>
          <cell r="I1902" t="str">
            <v>320213</v>
          </cell>
          <cell r="J1902" t="str">
            <v>ARAMARK REFRESHMENT SERVICES</v>
          </cell>
          <cell r="K1902">
            <v>-691.93</v>
          </cell>
          <cell r="L1902">
            <v>38140</v>
          </cell>
        </row>
        <row r="1903">
          <cell r="A1903" t="str">
            <v>7098643</v>
          </cell>
          <cell r="B1903" t="str">
            <v>680000</v>
          </cell>
          <cell r="C1903" t="str">
            <v>Office Suppl &amp; Equip</v>
          </cell>
          <cell r="D1903" t="str">
            <v>161018202</v>
          </cell>
          <cell r="E1903" t="str">
            <v>006</v>
          </cell>
          <cell r="F1903" t="str">
            <v>Copier Costs - Bothell</v>
          </cell>
          <cell r="G1903">
            <v>0</v>
          </cell>
          <cell r="H1903" t="str">
            <v>ORD 1850090302</v>
          </cell>
          <cell r="I1903" t="str">
            <v>392930</v>
          </cell>
          <cell r="J1903" t="str">
            <v>QUALITY BUSINESS SYSTEMS</v>
          </cell>
          <cell r="K1903">
            <v>249.63</v>
          </cell>
          <cell r="L1903">
            <v>38161</v>
          </cell>
        </row>
        <row r="1904">
          <cell r="A1904" t="str">
            <v>7098643</v>
          </cell>
          <cell r="B1904" t="str">
            <v>700050</v>
          </cell>
          <cell r="C1904" t="str">
            <v>Real Est Maint</v>
          </cell>
          <cell r="D1904" t="str">
            <v>187096</v>
          </cell>
          <cell r="E1904" t="str">
            <v>006</v>
          </cell>
          <cell r="F1904">
            <v>0</v>
          </cell>
          <cell r="G1904" t="str">
            <v>4500009070</v>
          </cell>
          <cell r="H1904" t="str">
            <v>ORD 1850090302</v>
          </cell>
          <cell r="I1904" t="str">
            <v>432177</v>
          </cell>
          <cell r="J1904" t="str">
            <v>DAVID A YOUNG</v>
          </cell>
          <cell r="K1904">
            <v>1033.5999999999999</v>
          </cell>
          <cell r="L1904">
            <v>38139</v>
          </cell>
        </row>
        <row r="1905">
          <cell r="A1905" t="str">
            <v>7098643</v>
          </cell>
          <cell r="B1905" t="str">
            <v>700600</v>
          </cell>
          <cell r="C1905" t="str">
            <v>Real Estate Rates</v>
          </cell>
          <cell r="D1905" t="str">
            <v>758003900</v>
          </cell>
          <cell r="E1905" t="str">
            <v>006</v>
          </cell>
          <cell r="F1905" t="str">
            <v>RCR#4058 BOTHEL PERS PROP TAX ACCRUAL</v>
          </cell>
          <cell r="G1905">
            <v>0</v>
          </cell>
          <cell r="H1905" t="str">
            <v>ORD 1850090302</v>
          </cell>
          <cell r="I1905" t="str">
            <v>280210</v>
          </cell>
          <cell r="J1905" t="str">
            <v>Accrued Property Tax</v>
          </cell>
          <cell r="K1905">
            <v>286.42</v>
          </cell>
          <cell r="L1905">
            <v>38158</v>
          </cell>
        </row>
        <row r="1906">
          <cell r="A1906" t="str">
            <v>7098643</v>
          </cell>
          <cell r="B1906" t="str">
            <v>710000</v>
          </cell>
          <cell r="C1906" t="str">
            <v>Rents Premises Ext</v>
          </cell>
          <cell r="D1906" t="str">
            <v>758003824</v>
          </cell>
          <cell r="E1906" t="str">
            <v>006</v>
          </cell>
          <cell r="F1906" t="str">
            <v>RCR#3020-BOTHELL CAM</v>
          </cell>
          <cell r="G1906">
            <v>0</v>
          </cell>
          <cell r="H1906" t="str">
            <v>ORD 1850090302</v>
          </cell>
          <cell r="I1906" t="str">
            <v>170400</v>
          </cell>
          <cell r="J1906" t="str">
            <v>Prepaid Rents</v>
          </cell>
          <cell r="K1906">
            <v>20739.97</v>
          </cell>
          <cell r="L1906">
            <v>38158</v>
          </cell>
        </row>
        <row r="1907">
          <cell r="A1907" t="str">
            <v>7098643</v>
          </cell>
          <cell r="B1907" t="str">
            <v>710000</v>
          </cell>
          <cell r="C1907" t="str">
            <v>Rents Premises Ext</v>
          </cell>
          <cell r="D1907" t="str">
            <v>758003824</v>
          </cell>
          <cell r="E1907" t="str">
            <v>006</v>
          </cell>
          <cell r="F1907" t="str">
            <v>RCR#3020-BOTHELL SL RENT</v>
          </cell>
          <cell r="G1907">
            <v>0</v>
          </cell>
          <cell r="H1907" t="str">
            <v>ORD 1850090302</v>
          </cell>
          <cell r="I1907" t="str">
            <v>170400</v>
          </cell>
          <cell r="J1907" t="str">
            <v>Prepaid Rents</v>
          </cell>
          <cell r="K1907">
            <v>51559.59</v>
          </cell>
          <cell r="L1907">
            <v>38158</v>
          </cell>
        </row>
        <row r="1908">
          <cell r="A1908" t="str">
            <v>7098643</v>
          </cell>
          <cell r="B1908" t="str">
            <v>784000</v>
          </cell>
          <cell r="C1908" t="str">
            <v>Amort Oth Int Assets</v>
          </cell>
          <cell r="D1908" t="str">
            <v>11502480</v>
          </cell>
          <cell r="E1908" t="str">
            <v>006</v>
          </cell>
          <cell r="F1908" t="str">
            <v>AFB01200400601-0011502480</v>
          </cell>
          <cell r="G1908">
            <v>0</v>
          </cell>
          <cell r="H1908" t="str">
            <v>ORD 1850090302</v>
          </cell>
          <cell r="I1908" t="str">
            <v>107110</v>
          </cell>
          <cell r="J1908" t="str">
            <v>Oth Intang Acc Depr</v>
          </cell>
          <cell r="K1908">
            <v>1020.51</v>
          </cell>
          <cell r="L1908">
            <v>38163</v>
          </cell>
        </row>
        <row r="1909">
          <cell r="A1909" t="str">
            <v>7098643</v>
          </cell>
          <cell r="B1909" t="str">
            <v>784000</v>
          </cell>
          <cell r="C1909" t="str">
            <v>Amort Oth Int Assets</v>
          </cell>
          <cell r="D1909" t="str">
            <v>11502480</v>
          </cell>
          <cell r="E1909" t="str">
            <v>006</v>
          </cell>
          <cell r="F1909" t="str">
            <v>AFB01200400601-0011502480</v>
          </cell>
          <cell r="G1909">
            <v>0</v>
          </cell>
          <cell r="H1909">
            <v>0</v>
          </cell>
          <cell r="I1909" t="str">
            <v>107110</v>
          </cell>
          <cell r="J1909" t="str">
            <v>Oth Intang Acc Depr</v>
          </cell>
          <cell r="K1909">
            <v>2671.75</v>
          </cell>
          <cell r="L1909">
            <v>38163</v>
          </cell>
        </row>
        <row r="1910">
          <cell r="A1910" t="str">
            <v>7098643</v>
          </cell>
          <cell r="B1910" t="str">
            <v>786900</v>
          </cell>
          <cell r="C1910" t="str">
            <v>Depr Oth Mach, Equip</v>
          </cell>
          <cell r="D1910" t="str">
            <v>11502485</v>
          </cell>
          <cell r="E1910" t="str">
            <v>006</v>
          </cell>
          <cell r="F1910" t="str">
            <v>AFB01200400601-0011502485</v>
          </cell>
          <cell r="G1910">
            <v>0</v>
          </cell>
          <cell r="H1910">
            <v>0</v>
          </cell>
          <cell r="I1910" t="str">
            <v>170710</v>
          </cell>
          <cell r="J1910" t="str">
            <v>Deferred Exps Moulds</v>
          </cell>
          <cell r="K1910">
            <v>1254.6400000000001</v>
          </cell>
          <cell r="L1910">
            <v>38163</v>
          </cell>
        </row>
        <row r="1911">
          <cell r="A1911" t="str">
            <v>7098643</v>
          </cell>
          <cell r="B1911" t="str">
            <v>786900</v>
          </cell>
          <cell r="C1911" t="str">
            <v>Depr Oth Mach, Equip</v>
          </cell>
          <cell r="D1911" t="str">
            <v>11502485</v>
          </cell>
          <cell r="E1911" t="str">
            <v>006</v>
          </cell>
          <cell r="F1911" t="str">
            <v>AFB01200400601-0011502485</v>
          </cell>
          <cell r="G1911">
            <v>0</v>
          </cell>
          <cell r="H1911" t="str">
            <v>ORD 1850090302</v>
          </cell>
          <cell r="I1911" t="str">
            <v>170710</v>
          </cell>
          <cell r="J1911" t="str">
            <v>Deferred Exps Moulds</v>
          </cell>
          <cell r="K1911">
            <v>4111.17</v>
          </cell>
          <cell r="L1911">
            <v>38163</v>
          </cell>
        </row>
        <row r="1912">
          <cell r="A1912" t="str">
            <v>7098643 Total</v>
          </cell>
          <cell r="K1912">
            <v>82927.279999999984</v>
          </cell>
        </row>
        <row r="1913">
          <cell r="A1913" t="str">
            <v>7098644</v>
          </cell>
          <cell r="B1913" t="str">
            <v>700000</v>
          </cell>
          <cell r="C1913" t="str">
            <v>Real Estate Repair</v>
          </cell>
          <cell r="D1913" t="str">
            <v>496023014</v>
          </cell>
          <cell r="E1913" t="str">
            <v>006</v>
          </cell>
          <cell r="F1913" t="str">
            <v>*48664 MILMONT DR.  EXP.REIMBURSE.REPAIR</v>
          </cell>
          <cell r="G1913">
            <v>0</v>
          </cell>
          <cell r="H1913" t="str">
            <v>ORD 1850031700</v>
          </cell>
          <cell r="I1913" t="str">
            <v>397505</v>
          </cell>
          <cell r="J1913" t="str">
            <v>SUTTER HILL INVESTORS LLC</v>
          </cell>
          <cell r="K1913">
            <v>1350</v>
          </cell>
          <cell r="L1913">
            <v>38155</v>
          </cell>
        </row>
        <row r="1914">
          <cell r="A1914" t="str">
            <v>7098644</v>
          </cell>
          <cell r="B1914" t="str">
            <v>700800</v>
          </cell>
          <cell r="C1914" t="str">
            <v>Electricity and Gas</v>
          </cell>
          <cell r="D1914" t="str">
            <v>496021341</v>
          </cell>
          <cell r="E1914" t="str">
            <v>006</v>
          </cell>
          <cell r="F1914" t="str">
            <v>*ACCT#2672621344-5  PG&amp;E  5/04</v>
          </cell>
          <cell r="G1914">
            <v>0</v>
          </cell>
          <cell r="H1914" t="str">
            <v>ORD 1850031701</v>
          </cell>
          <cell r="I1914" t="str">
            <v>368187</v>
          </cell>
          <cell r="J1914" t="str">
            <v>PG&amp;E</v>
          </cell>
          <cell r="K1914">
            <v>825.55</v>
          </cell>
          <cell r="L1914">
            <v>38140</v>
          </cell>
        </row>
        <row r="1915">
          <cell r="A1915" t="str">
            <v>7098644 Total</v>
          </cell>
          <cell r="K1915">
            <v>2175.5500000000002</v>
          </cell>
        </row>
        <row r="1916">
          <cell r="A1916" t="str">
            <v>7098645</v>
          </cell>
          <cell r="B1916" t="str">
            <v>620110</v>
          </cell>
          <cell r="C1916" t="str">
            <v>Canteen Expenses</v>
          </cell>
          <cell r="D1916" t="str">
            <v>161015594</v>
          </cell>
          <cell r="E1916" t="str">
            <v>006</v>
          </cell>
          <cell r="F1916" t="str">
            <v>*ACCT# 0025208927</v>
          </cell>
          <cell r="G1916">
            <v>0</v>
          </cell>
          <cell r="H1916" t="str">
            <v>ORD 1850031403</v>
          </cell>
          <cell r="I1916" t="str">
            <v>334646</v>
          </cell>
          <cell r="J1916" t="str">
            <v>ARROWHEAD</v>
          </cell>
          <cell r="K1916">
            <v>720.86</v>
          </cell>
          <cell r="L1916">
            <v>38140</v>
          </cell>
        </row>
        <row r="1917">
          <cell r="A1917" t="str">
            <v>7098645</v>
          </cell>
          <cell r="B1917" t="str">
            <v>620110</v>
          </cell>
          <cell r="C1917" t="str">
            <v>Canteen Expenses</v>
          </cell>
          <cell r="D1917" t="str">
            <v>751001748</v>
          </cell>
          <cell r="E1917" t="str">
            <v>006</v>
          </cell>
          <cell r="F1917" t="str">
            <v>P5 Correct A/P Auto Accural</v>
          </cell>
          <cell r="G1917">
            <v>0</v>
          </cell>
          <cell r="H1917">
            <v>0</v>
          </cell>
          <cell r="I1917" t="str">
            <v>620110</v>
          </cell>
          <cell r="J1917" t="str">
            <v>Canteen Expenses</v>
          </cell>
          <cell r="K1917">
            <v>720.86</v>
          </cell>
          <cell r="L1917">
            <v>38138</v>
          </cell>
        </row>
        <row r="1918">
          <cell r="A1918" t="str">
            <v>7098645</v>
          </cell>
          <cell r="B1918" t="str">
            <v>620110</v>
          </cell>
          <cell r="C1918" t="str">
            <v>Canteen Expenses</v>
          </cell>
          <cell r="D1918" t="str">
            <v>751001748</v>
          </cell>
          <cell r="E1918" t="str">
            <v>006</v>
          </cell>
          <cell r="F1918" t="str">
            <v>P5 Correct A/P Auto Accural</v>
          </cell>
          <cell r="G1918">
            <v>0</v>
          </cell>
          <cell r="H1918" t="str">
            <v>ORD 1850031403</v>
          </cell>
          <cell r="I1918" t="str">
            <v>620210</v>
          </cell>
          <cell r="J1918" t="str">
            <v>Free-time Activitie</v>
          </cell>
          <cell r="K1918">
            <v>-720.86</v>
          </cell>
          <cell r="L1918">
            <v>38138</v>
          </cell>
        </row>
        <row r="1919">
          <cell r="A1919" t="str">
            <v>7098645</v>
          </cell>
          <cell r="B1919" t="str">
            <v>620110</v>
          </cell>
          <cell r="C1919" t="str">
            <v>Canteen Expenses</v>
          </cell>
          <cell r="D1919" t="str">
            <v>150000547</v>
          </cell>
          <cell r="E1919" t="str">
            <v>006</v>
          </cell>
          <cell r="F1919" t="str">
            <v>*ACCT# 0025208927</v>
          </cell>
          <cell r="G1919">
            <v>0</v>
          </cell>
          <cell r="H1919">
            <v>0</v>
          </cell>
          <cell r="I1919" t="str">
            <v>230410</v>
          </cell>
          <cell r="J1919" t="str">
            <v>Auto Tr Payab Ac Ext</v>
          </cell>
          <cell r="K1919">
            <v>-720.86</v>
          </cell>
          <cell r="L1919">
            <v>38153</v>
          </cell>
        </row>
        <row r="1920">
          <cell r="A1920" t="str">
            <v>7098645</v>
          </cell>
          <cell r="B1920" t="str">
            <v>680000</v>
          </cell>
          <cell r="C1920" t="str">
            <v>Office Suppl &amp; Equip</v>
          </cell>
          <cell r="D1920" t="str">
            <v>202090</v>
          </cell>
          <cell r="E1920" t="str">
            <v>006</v>
          </cell>
          <cell r="F1920">
            <v>0</v>
          </cell>
          <cell r="G1920" t="str">
            <v>4847686</v>
          </cell>
          <cell r="H1920" t="str">
            <v>ORD 1850031403</v>
          </cell>
          <cell r="I1920" t="str">
            <v>323407</v>
          </cell>
          <cell r="J1920" t="str">
            <v>SECURITY ENGINEERED MACHINERY</v>
          </cell>
          <cell r="K1920">
            <v>38.03</v>
          </cell>
          <cell r="L1920">
            <v>38147</v>
          </cell>
        </row>
        <row r="1921">
          <cell r="A1921" t="str">
            <v>7098645</v>
          </cell>
          <cell r="B1921" t="str">
            <v>680000</v>
          </cell>
          <cell r="C1921" t="str">
            <v>Office Suppl &amp; Equip</v>
          </cell>
          <cell r="D1921" t="str">
            <v>161017841</v>
          </cell>
          <cell r="E1921" t="str">
            <v>006</v>
          </cell>
          <cell r="F1921">
            <v>0</v>
          </cell>
          <cell r="G1921">
            <v>0</v>
          </cell>
          <cell r="H1921" t="str">
            <v>ORD 1850031403</v>
          </cell>
          <cell r="I1921" t="str">
            <v>434645</v>
          </cell>
          <cell r="J1921" t="str">
            <v>ZORO,LLC</v>
          </cell>
          <cell r="K1921">
            <v>81.19</v>
          </cell>
          <cell r="L1921">
            <v>38161</v>
          </cell>
        </row>
        <row r="1922">
          <cell r="A1922" t="str">
            <v>7098645</v>
          </cell>
          <cell r="B1922" t="str">
            <v>680000</v>
          </cell>
          <cell r="C1922" t="str">
            <v>Office Suppl &amp; Equip</v>
          </cell>
          <cell r="D1922" t="str">
            <v>161016685</v>
          </cell>
          <cell r="E1922" t="str">
            <v>006</v>
          </cell>
          <cell r="F1922" t="str">
            <v>*CUSTOMER# 01972 INV# 0156173569*</v>
          </cell>
          <cell r="G1922">
            <v>0</v>
          </cell>
          <cell r="H1922" t="str">
            <v>ORD 1850031403</v>
          </cell>
          <cell r="I1922" t="str">
            <v>371852</v>
          </cell>
          <cell r="J1922" t="str">
            <v>CINTAS FIRST AID &amp; SAFETY</v>
          </cell>
          <cell r="K1922">
            <v>111.63</v>
          </cell>
          <cell r="L1922">
            <v>38153</v>
          </cell>
        </row>
        <row r="1923">
          <cell r="A1923" t="str">
            <v>7098645</v>
          </cell>
          <cell r="B1923" t="str">
            <v>680000</v>
          </cell>
          <cell r="C1923" t="str">
            <v>Office Suppl &amp; Equip</v>
          </cell>
          <cell r="D1923" t="str">
            <v>5000291950</v>
          </cell>
          <cell r="E1923" t="str">
            <v>006</v>
          </cell>
          <cell r="F1923" t="str">
            <v>PLASTIC BAG# 130 FOR MODEL 226P -SF</v>
          </cell>
          <cell r="G1923" t="str">
            <v>4847686</v>
          </cell>
          <cell r="H1923" t="str">
            <v>ORD 1850031403</v>
          </cell>
          <cell r="I1923" t="str">
            <v>230316</v>
          </cell>
          <cell r="J1923" t="str">
            <v>GR/IR Non coded 3</v>
          </cell>
          <cell r="K1923">
            <v>149.74</v>
          </cell>
          <cell r="L1923">
            <v>38141</v>
          </cell>
        </row>
        <row r="1924">
          <cell r="A1924" t="str">
            <v>7098645</v>
          </cell>
          <cell r="B1924" t="str">
            <v>681000</v>
          </cell>
          <cell r="C1924" t="str">
            <v>Postal Courier Serv</v>
          </cell>
          <cell r="D1924" t="str">
            <v>496021387</v>
          </cell>
          <cell r="E1924" t="str">
            <v>006</v>
          </cell>
          <cell r="F1924" t="str">
            <v>*1-804-45716</v>
          </cell>
          <cell r="G1924">
            <v>0</v>
          </cell>
          <cell r="H1924">
            <v>0</v>
          </cell>
          <cell r="I1924" t="str">
            <v>303619</v>
          </cell>
          <cell r="J1924" t="str">
            <v>FEDERAL EXPRESS</v>
          </cell>
          <cell r="K1924">
            <v>6.32</v>
          </cell>
          <cell r="L1924">
            <v>38140</v>
          </cell>
        </row>
        <row r="1925">
          <cell r="A1925" t="str">
            <v>7098645</v>
          </cell>
          <cell r="B1925" t="str">
            <v>693000</v>
          </cell>
          <cell r="C1925" t="str">
            <v>Hired Labour</v>
          </cell>
          <cell r="D1925" t="str">
            <v>161016440</v>
          </cell>
          <cell r="E1925" t="str">
            <v>006</v>
          </cell>
          <cell r="F1925">
            <v>0</v>
          </cell>
          <cell r="G1925">
            <v>0</v>
          </cell>
          <cell r="H1925" t="str">
            <v>ORD 1850031403</v>
          </cell>
          <cell r="I1925" t="str">
            <v>354648</v>
          </cell>
          <cell r="J1925" t="str">
            <v>SASCO</v>
          </cell>
          <cell r="K1925">
            <v>552</v>
          </cell>
          <cell r="L1925">
            <v>38148</v>
          </cell>
        </row>
        <row r="1926">
          <cell r="A1926" t="str">
            <v>7098645</v>
          </cell>
          <cell r="B1926" t="str">
            <v>693000</v>
          </cell>
          <cell r="C1926" t="str">
            <v>Hired Labour</v>
          </cell>
          <cell r="D1926" t="str">
            <v>161017914</v>
          </cell>
          <cell r="E1926" t="str">
            <v>006</v>
          </cell>
          <cell r="F1926">
            <v>0</v>
          </cell>
          <cell r="G1926">
            <v>0</v>
          </cell>
          <cell r="H1926" t="str">
            <v>ORD 1850031403</v>
          </cell>
          <cell r="I1926" t="str">
            <v>431074</v>
          </cell>
          <cell r="J1926" t="str">
            <v>CONCEPT OFFICE RESOURCES, INC</v>
          </cell>
          <cell r="K1926">
            <v>764.53</v>
          </cell>
          <cell r="L1926">
            <v>38161</v>
          </cell>
        </row>
        <row r="1927">
          <cell r="A1927" t="str">
            <v>7098645</v>
          </cell>
          <cell r="B1927" t="str">
            <v>693000</v>
          </cell>
          <cell r="C1927" t="str">
            <v>Hired Labour</v>
          </cell>
          <cell r="D1927" t="str">
            <v>496021399</v>
          </cell>
          <cell r="E1927" t="str">
            <v>006</v>
          </cell>
          <cell r="F1927" t="str">
            <v>*CUST#2037  4/04 FACILITIES SUPPORT</v>
          </cell>
          <cell r="G1927">
            <v>0</v>
          </cell>
          <cell r="H1927" t="str">
            <v>ORD 1850031403</v>
          </cell>
          <cell r="I1927" t="str">
            <v>431863</v>
          </cell>
          <cell r="J1927" t="str">
            <v>SEGA OF AMERICA,INC.</v>
          </cell>
          <cell r="K1927">
            <v>1100</v>
          </cell>
          <cell r="L1927">
            <v>38140</v>
          </cell>
        </row>
        <row r="1928">
          <cell r="A1928" t="str">
            <v>7098645</v>
          </cell>
          <cell r="B1928" t="str">
            <v>693000</v>
          </cell>
          <cell r="C1928" t="str">
            <v>Hired Labour</v>
          </cell>
          <cell r="D1928" t="str">
            <v>496021398</v>
          </cell>
          <cell r="E1928" t="str">
            <v>006</v>
          </cell>
          <cell r="F1928" t="str">
            <v>*CUST#2037  5/04 FACILITIES SUPPORT</v>
          </cell>
          <cell r="G1928">
            <v>0</v>
          </cell>
          <cell r="H1928" t="str">
            <v>ORD 1850031403</v>
          </cell>
          <cell r="I1928" t="str">
            <v>431863</v>
          </cell>
          <cell r="J1928" t="str">
            <v>SEGA OF AMERICA,INC.</v>
          </cell>
          <cell r="K1928">
            <v>1100</v>
          </cell>
          <cell r="L1928">
            <v>38140</v>
          </cell>
        </row>
        <row r="1929">
          <cell r="A1929" t="str">
            <v>7098645</v>
          </cell>
          <cell r="B1929" t="str">
            <v>700050</v>
          </cell>
          <cell r="C1929" t="str">
            <v>Real Est Maint</v>
          </cell>
          <cell r="D1929" t="str">
            <v>204680</v>
          </cell>
          <cell r="E1929" t="str">
            <v>006</v>
          </cell>
          <cell r="F1929">
            <v>0</v>
          </cell>
          <cell r="G1929" t="str">
            <v>4865595</v>
          </cell>
          <cell r="H1929" t="str">
            <v>ORD 1850031403</v>
          </cell>
          <cell r="I1929" t="str">
            <v>364953</v>
          </cell>
          <cell r="J1929" t="str">
            <v>METRO LIGHTING - WESTERN</v>
          </cell>
          <cell r="K1929">
            <v>36.28</v>
          </cell>
          <cell r="L1929">
            <v>38148</v>
          </cell>
        </row>
        <row r="1930">
          <cell r="A1930" t="str">
            <v>7098645</v>
          </cell>
          <cell r="B1930" t="str">
            <v>700050</v>
          </cell>
          <cell r="C1930" t="str">
            <v>Real Est Maint</v>
          </cell>
          <cell r="D1930" t="str">
            <v>5000294612</v>
          </cell>
          <cell r="E1930" t="str">
            <v>006</v>
          </cell>
          <cell r="F1930" t="str">
            <v>75W 12V 75 PAR 36 SPOT LIGHT</v>
          </cell>
          <cell r="G1930" t="str">
            <v>4865595</v>
          </cell>
          <cell r="H1930" t="str">
            <v>ORD 1850031403</v>
          </cell>
          <cell r="I1930" t="str">
            <v>230316</v>
          </cell>
          <cell r="J1930" t="str">
            <v>GR/IR Non coded 3</v>
          </cell>
          <cell r="K1930">
            <v>205.2</v>
          </cell>
          <cell r="L1930">
            <v>38142</v>
          </cell>
        </row>
        <row r="1931">
          <cell r="A1931" t="str">
            <v>7098645</v>
          </cell>
          <cell r="B1931" t="str">
            <v>700050</v>
          </cell>
          <cell r="C1931" t="str">
            <v>Real Est Maint</v>
          </cell>
          <cell r="D1931" t="str">
            <v>751001748</v>
          </cell>
          <cell r="E1931" t="str">
            <v>006</v>
          </cell>
          <cell r="F1931" t="str">
            <v>P5 Correct A/P Auto Accural</v>
          </cell>
          <cell r="G1931">
            <v>0</v>
          </cell>
          <cell r="H1931" t="str">
            <v>ORD 1850031403</v>
          </cell>
          <cell r="I1931" t="str">
            <v>620210</v>
          </cell>
          <cell r="J1931" t="str">
            <v>Free-time Activitie</v>
          </cell>
          <cell r="K1931">
            <v>-4230.49</v>
          </cell>
          <cell r="L1931">
            <v>38138</v>
          </cell>
        </row>
        <row r="1932">
          <cell r="A1932" t="str">
            <v>7098645</v>
          </cell>
          <cell r="B1932" t="str">
            <v>700200</v>
          </cell>
          <cell r="C1932" t="str">
            <v>Cleaning</v>
          </cell>
          <cell r="D1932" t="str">
            <v>161017956</v>
          </cell>
          <cell r="E1932" t="str">
            <v>006</v>
          </cell>
          <cell r="F1932">
            <v>0</v>
          </cell>
          <cell r="G1932">
            <v>0</v>
          </cell>
          <cell r="H1932" t="str">
            <v>ORD 1850031403</v>
          </cell>
          <cell r="I1932" t="str">
            <v>436193</v>
          </cell>
          <cell r="J1932" t="str">
            <v>PREFERRED BUILDING SERVICES</v>
          </cell>
          <cell r="K1932">
            <v>120</v>
          </cell>
          <cell r="L1932">
            <v>38161</v>
          </cell>
        </row>
        <row r="1933">
          <cell r="A1933" t="str">
            <v>7098645</v>
          </cell>
          <cell r="B1933" t="str">
            <v>700800</v>
          </cell>
          <cell r="C1933" t="str">
            <v>Electricity and Gas</v>
          </cell>
          <cell r="D1933" t="str">
            <v>496021417</v>
          </cell>
          <cell r="E1933" t="str">
            <v>006</v>
          </cell>
          <cell r="F1933" t="str">
            <v>*ACCT#2037  ELEC.USAGE  4/2/04-5/2/04  SAN FRANCIS</v>
          </cell>
          <cell r="G1933">
            <v>0</v>
          </cell>
          <cell r="H1933" t="str">
            <v>ORD 1850031403</v>
          </cell>
          <cell r="I1933" t="str">
            <v>431863</v>
          </cell>
          <cell r="J1933" t="str">
            <v>SEGA OF AMERICA,INC.</v>
          </cell>
          <cell r="K1933">
            <v>6822.39</v>
          </cell>
          <cell r="L1933">
            <v>38140</v>
          </cell>
        </row>
        <row r="1934">
          <cell r="A1934" t="str">
            <v>7098645</v>
          </cell>
          <cell r="B1934" t="str">
            <v>710000</v>
          </cell>
          <cell r="C1934" t="str">
            <v>Rents Premises Ext</v>
          </cell>
          <cell r="D1934" t="str">
            <v>758003893</v>
          </cell>
          <cell r="E1934" t="str">
            <v>006</v>
          </cell>
          <cell r="F1934" t="str">
            <v>RCR#4050 SAN FRANCISCO SL RENT</v>
          </cell>
          <cell r="G1934">
            <v>0</v>
          </cell>
          <cell r="H1934" t="str">
            <v>ORD 1850031403</v>
          </cell>
          <cell r="I1934" t="str">
            <v>170400</v>
          </cell>
          <cell r="J1934" t="str">
            <v>Prepaid Rents</v>
          </cell>
          <cell r="K1934">
            <v>48708.4</v>
          </cell>
          <cell r="L1934">
            <v>38158</v>
          </cell>
        </row>
        <row r="1935">
          <cell r="A1935" t="str">
            <v>7098645</v>
          </cell>
          <cell r="B1935" t="str">
            <v>719000</v>
          </cell>
          <cell r="C1935" t="str">
            <v>Rents and Leases, Ma</v>
          </cell>
          <cell r="D1935" t="str">
            <v>161016710</v>
          </cell>
          <cell r="E1935" t="str">
            <v>006</v>
          </cell>
          <cell r="F1935">
            <v>0</v>
          </cell>
          <cell r="G1935">
            <v>0</v>
          </cell>
          <cell r="H1935" t="str">
            <v>ORD 1850031403</v>
          </cell>
          <cell r="I1935" t="str">
            <v>325499</v>
          </cell>
          <cell r="J1935" t="str">
            <v>XEROX CORPORATION</v>
          </cell>
          <cell r="K1935">
            <v>440.78</v>
          </cell>
          <cell r="L1935">
            <v>38153</v>
          </cell>
        </row>
        <row r="1936">
          <cell r="A1936" t="str">
            <v>7098645</v>
          </cell>
          <cell r="B1936" t="str">
            <v>719000</v>
          </cell>
          <cell r="C1936" t="str">
            <v>Rents and Leases, Ma</v>
          </cell>
          <cell r="D1936" t="str">
            <v>161016709</v>
          </cell>
          <cell r="E1936" t="str">
            <v>006</v>
          </cell>
          <cell r="F1936">
            <v>0</v>
          </cell>
          <cell r="G1936">
            <v>0</v>
          </cell>
          <cell r="H1936" t="str">
            <v>ORD 1850031403</v>
          </cell>
          <cell r="I1936" t="str">
            <v>325499</v>
          </cell>
          <cell r="J1936" t="str">
            <v>XEROX CORPORATION</v>
          </cell>
          <cell r="K1936">
            <v>555.55999999999995</v>
          </cell>
          <cell r="L1936">
            <v>38153</v>
          </cell>
        </row>
        <row r="1937">
          <cell r="A1937" t="str">
            <v>7098645</v>
          </cell>
          <cell r="B1937" t="str">
            <v>719100</v>
          </cell>
          <cell r="C1937" t="str">
            <v>Rents and Leases, Eq</v>
          </cell>
          <cell r="D1937" t="str">
            <v>161016773</v>
          </cell>
          <cell r="E1937" t="str">
            <v>006</v>
          </cell>
          <cell r="F1937">
            <v>0</v>
          </cell>
          <cell r="G1937">
            <v>0</v>
          </cell>
          <cell r="H1937" t="str">
            <v>ORD 1850031403</v>
          </cell>
          <cell r="I1937" t="str">
            <v>325499</v>
          </cell>
          <cell r="J1937" t="str">
            <v>XEROX CORPORATION</v>
          </cell>
          <cell r="K1937">
            <v>259.31</v>
          </cell>
          <cell r="L1937">
            <v>38153</v>
          </cell>
        </row>
        <row r="1938">
          <cell r="A1938" t="str">
            <v>7098645 Total</v>
          </cell>
          <cell r="K1938">
            <v>56820.869999999995</v>
          </cell>
        </row>
        <row r="1939">
          <cell r="A1939" t="str">
            <v>7098646</v>
          </cell>
          <cell r="B1939" t="str">
            <v>681300</v>
          </cell>
          <cell r="C1939" t="str">
            <v>Data Lines</v>
          </cell>
          <cell r="D1939" t="str">
            <v>360001087</v>
          </cell>
          <cell r="E1939" t="str">
            <v>006</v>
          </cell>
          <cell r="F1939" t="str">
            <v>*MAY 2004 REGUS XTRA CHARGES</v>
          </cell>
          <cell r="G1939">
            <v>0</v>
          </cell>
          <cell r="H1939" t="str">
            <v>ORD 1850032301</v>
          </cell>
          <cell r="I1939" t="str">
            <v>409144</v>
          </cell>
          <cell r="J1939" t="str">
            <v>REGUS BUSINESS CENTRE</v>
          </cell>
          <cell r="K1939">
            <v>433</v>
          </cell>
          <cell r="L1939">
            <v>38154</v>
          </cell>
        </row>
        <row r="1940">
          <cell r="A1940" t="str">
            <v>7098646</v>
          </cell>
          <cell r="B1940" t="str">
            <v>681300</v>
          </cell>
          <cell r="C1940" t="str">
            <v>Data Lines</v>
          </cell>
          <cell r="D1940" t="str">
            <v>360001087</v>
          </cell>
          <cell r="E1940" t="str">
            <v>006</v>
          </cell>
          <cell r="F1940" t="str">
            <v>*MAY 2004 REGUS XTRA CHARGES</v>
          </cell>
          <cell r="G1940">
            <v>0</v>
          </cell>
          <cell r="H1940" t="str">
            <v>ORD 1850031302</v>
          </cell>
          <cell r="I1940" t="str">
            <v>409144</v>
          </cell>
          <cell r="J1940" t="str">
            <v>REGUS BUSINESS CENTRE</v>
          </cell>
          <cell r="K1940">
            <v>649.5</v>
          </cell>
          <cell r="L1940">
            <v>38154</v>
          </cell>
        </row>
        <row r="1941">
          <cell r="A1941" t="str">
            <v>7098646</v>
          </cell>
          <cell r="B1941" t="str">
            <v>681300</v>
          </cell>
          <cell r="C1941" t="str">
            <v>Data Lines</v>
          </cell>
          <cell r="D1941" t="str">
            <v>360001087</v>
          </cell>
          <cell r="E1941" t="str">
            <v>006</v>
          </cell>
          <cell r="F1941" t="str">
            <v>*MAY 2004 REGUS XTRA CHARGES</v>
          </cell>
          <cell r="G1941">
            <v>0</v>
          </cell>
          <cell r="H1941" t="str">
            <v>ORD 1850031901</v>
          </cell>
          <cell r="I1941" t="str">
            <v>409144</v>
          </cell>
          <cell r="J1941" t="str">
            <v>REGUS BUSINESS CENTRE</v>
          </cell>
          <cell r="K1941">
            <v>862</v>
          </cell>
          <cell r="L1941">
            <v>38154</v>
          </cell>
        </row>
        <row r="1942">
          <cell r="A1942" t="str">
            <v>7098646</v>
          </cell>
          <cell r="B1942" t="str">
            <v>689100</v>
          </cell>
          <cell r="C1942" t="str">
            <v>Meeting Expenses</v>
          </cell>
          <cell r="D1942" t="str">
            <v>161016683</v>
          </cell>
          <cell r="E1942" t="str">
            <v>006</v>
          </cell>
          <cell r="F1942" t="str">
            <v>coffee service</v>
          </cell>
          <cell r="G1942">
            <v>0</v>
          </cell>
          <cell r="H1942">
            <v>0</v>
          </cell>
          <cell r="I1942" t="str">
            <v>394329</v>
          </cell>
          <cell r="J1942" t="str">
            <v>ARAMARK REFRESHMENTS SVCS</v>
          </cell>
          <cell r="K1942">
            <v>78.5</v>
          </cell>
          <cell r="L1942">
            <v>38153</v>
          </cell>
        </row>
        <row r="1943">
          <cell r="A1943" t="str">
            <v>7098646</v>
          </cell>
          <cell r="B1943" t="str">
            <v>689100</v>
          </cell>
          <cell r="C1943" t="str">
            <v>Meeting Expenses</v>
          </cell>
          <cell r="D1943" t="str">
            <v>161016007</v>
          </cell>
          <cell r="E1943" t="str">
            <v>006</v>
          </cell>
          <cell r="F1943" t="str">
            <v>coffee service</v>
          </cell>
          <cell r="G1943">
            <v>0</v>
          </cell>
          <cell r="H1943">
            <v>0</v>
          </cell>
          <cell r="I1943" t="str">
            <v>394329</v>
          </cell>
          <cell r="J1943" t="str">
            <v>ARAMARK REFRESHMENTS SVCS</v>
          </cell>
          <cell r="K1943">
            <v>150.91999999999999</v>
          </cell>
          <cell r="L1943">
            <v>38146</v>
          </cell>
        </row>
        <row r="1944">
          <cell r="A1944" t="str">
            <v>7098646</v>
          </cell>
          <cell r="B1944" t="str">
            <v>693000</v>
          </cell>
          <cell r="C1944" t="str">
            <v>Hired Labour</v>
          </cell>
          <cell r="D1944" t="str">
            <v>161017773</v>
          </cell>
          <cell r="E1944" t="str">
            <v>006</v>
          </cell>
          <cell r="F1944" t="str">
            <v>data wiring</v>
          </cell>
          <cell r="G1944">
            <v>0</v>
          </cell>
          <cell r="H1944">
            <v>0</v>
          </cell>
          <cell r="I1944" t="str">
            <v>391630</v>
          </cell>
          <cell r="J1944" t="str">
            <v>NETVERSANT SEATTLE, INC.</v>
          </cell>
          <cell r="K1944">
            <v>582.23</v>
          </cell>
          <cell r="L1944">
            <v>38161</v>
          </cell>
        </row>
        <row r="1945">
          <cell r="A1945" t="str">
            <v>7098646</v>
          </cell>
          <cell r="B1945" t="str">
            <v>700800</v>
          </cell>
          <cell r="C1945" t="str">
            <v>Electricity and Gas</v>
          </cell>
          <cell r="D1945" t="str">
            <v>496021346</v>
          </cell>
          <cell r="E1945" t="str">
            <v>006</v>
          </cell>
          <cell r="F1945" t="str">
            <v>*ACCT#4015208437-8  PG&amp;E  5/04</v>
          </cell>
          <cell r="G1945">
            <v>0</v>
          </cell>
          <cell r="H1945" t="str">
            <v>ORD 1850032201</v>
          </cell>
          <cell r="I1945" t="str">
            <v>368187</v>
          </cell>
          <cell r="J1945" t="str">
            <v>PG&amp;E</v>
          </cell>
          <cell r="K1945">
            <v>55.07</v>
          </cell>
          <cell r="L1945">
            <v>38140</v>
          </cell>
        </row>
        <row r="1946">
          <cell r="A1946" t="str">
            <v>7098646</v>
          </cell>
          <cell r="B1946" t="str">
            <v>710000</v>
          </cell>
          <cell r="C1946" t="str">
            <v>Rents Premises Ext</v>
          </cell>
          <cell r="D1946" t="str">
            <v>496021415</v>
          </cell>
          <cell r="E1946" t="str">
            <v>006</v>
          </cell>
          <cell r="F1946" t="str">
            <v>*RENT 6/04  BELLEVUE, WA/ KEY REPLACE  ACCT#200858</v>
          </cell>
          <cell r="G1946">
            <v>0</v>
          </cell>
          <cell r="H1946">
            <v>0</v>
          </cell>
          <cell r="I1946" t="str">
            <v>433843</v>
          </cell>
          <cell r="J1946" t="str">
            <v>NEWPORT REIT INC.</v>
          </cell>
          <cell r="K1946">
            <v>12</v>
          </cell>
          <cell r="L1946">
            <v>38140</v>
          </cell>
        </row>
        <row r="1947">
          <cell r="A1947" t="str">
            <v>7098646</v>
          </cell>
          <cell r="B1947" t="str">
            <v>710000</v>
          </cell>
          <cell r="C1947" t="str">
            <v>Rents Premises Ext</v>
          </cell>
          <cell r="D1947" t="str">
            <v>758003707</v>
          </cell>
          <cell r="E1947" t="str">
            <v>006</v>
          </cell>
          <cell r="F1947" t="str">
            <v>Adjust S/L for 80th Street, Redmond, WA</v>
          </cell>
          <cell r="G1947">
            <v>0</v>
          </cell>
          <cell r="H1947" t="str">
            <v>ORD 1850090103</v>
          </cell>
          <cell r="I1947" t="str">
            <v>272800</v>
          </cell>
          <cell r="J1947" t="str">
            <v>Accr Rents, Utilitie</v>
          </cell>
          <cell r="K1947">
            <v>469</v>
          </cell>
          <cell r="L1947">
            <v>38140</v>
          </cell>
        </row>
        <row r="1948">
          <cell r="A1948" t="str">
            <v>7098646</v>
          </cell>
          <cell r="B1948" t="str">
            <v>710000</v>
          </cell>
          <cell r="C1948" t="str">
            <v>Rents Premises Ext</v>
          </cell>
          <cell r="D1948" t="str">
            <v>758003906</v>
          </cell>
          <cell r="E1948" t="str">
            <v>006</v>
          </cell>
          <cell r="F1948" t="str">
            <v>RCR#4064 HOWARD HUGHES RENT</v>
          </cell>
          <cell r="G1948">
            <v>0</v>
          </cell>
          <cell r="H1948" t="str">
            <v>ORD 1850032301</v>
          </cell>
          <cell r="I1948" t="str">
            <v>170400</v>
          </cell>
          <cell r="J1948" t="str">
            <v>Prepaid Rents</v>
          </cell>
          <cell r="K1948">
            <v>1990.23</v>
          </cell>
          <cell r="L1948">
            <v>38158</v>
          </cell>
        </row>
        <row r="1949">
          <cell r="A1949" t="str">
            <v>7098646</v>
          </cell>
          <cell r="B1949" t="str">
            <v>710000</v>
          </cell>
          <cell r="C1949" t="str">
            <v>Rents Premises Ext</v>
          </cell>
          <cell r="D1949" t="str">
            <v>758003903</v>
          </cell>
          <cell r="E1949" t="str">
            <v>006</v>
          </cell>
          <cell r="F1949" t="str">
            <v>RCR#4061 SAN RAMON RENT</v>
          </cell>
          <cell r="G1949">
            <v>0</v>
          </cell>
          <cell r="H1949" t="str">
            <v>ORD 1850031302</v>
          </cell>
          <cell r="I1949" t="str">
            <v>170400</v>
          </cell>
          <cell r="J1949" t="str">
            <v>Prepaid Rents</v>
          </cell>
          <cell r="K1949">
            <v>2652.82</v>
          </cell>
          <cell r="L1949">
            <v>38158</v>
          </cell>
        </row>
        <row r="1950">
          <cell r="A1950" t="str">
            <v>7098646</v>
          </cell>
          <cell r="B1950" t="str">
            <v>710000</v>
          </cell>
          <cell r="C1950" t="str">
            <v>Rents Premises Ext</v>
          </cell>
          <cell r="D1950" t="str">
            <v>758003904</v>
          </cell>
          <cell r="E1950" t="str">
            <v>006</v>
          </cell>
          <cell r="F1950" t="str">
            <v>RCR#4062 NEWPORT BEACH</v>
          </cell>
          <cell r="G1950">
            <v>0</v>
          </cell>
          <cell r="H1950" t="str">
            <v>ORD 1850031901</v>
          </cell>
          <cell r="I1950" t="str">
            <v>170400</v>
          </cell>
          <cell r="J1950" t="str">
            <v>Prepaid Rents</v>
          </cell>
          <cell r="K1950">
            <v>3975.68</v>
          </cell>
          <cell r="L1950">
            <v>38158</v>
          </cell>
        </row>
        <row r="1951">
          <cell r="A1951" t="str">
            <v>7098646</v>
          </cell>
          <cell r="B1951" t="str">
            <v>710000</v>
          </cell>
          <cell r="C1951" t="str">
            <v>Rents Premises Ext</v>
          </cell>
          <cell r="D1951" t="str">
            <v>758003779</v>
          </cell>
          <cell r="E1951" t="str">
            <v>006</v>
          </cell>
          <cell r="F1951" t="str">
            <v>RCR#4089 RENT EXP- CERRITOS, CA</v>
          </cell>
          <cell r="G1951">
            <v>0</v>
          </cell>
          <cell r="H1951" t="str">
            <v>ORD 1850032101</v>
          </cell>
          <cell r="I1951" t="str">
            <v>170400</v>
          </cell>
          <cell r="J1951" t="str">
            <v>Prepaid Rents</v>
          </cell>
          <cell r="K1951">
            <v>10500.1</v>
          </cell>
          <cell r="L1951">
            <v>38158</v>
          </cell>
        </row>
        <row r="1952">
          <cell r="A1952" t="str">
            <v>7098646</v>
          </cell>
          <cell r="B1952" t="str">
            <v>710000</v>
          </cell>
          <cell r="C1952" t="str">
            <v>Rents Premises Ext</v>
          </cell>
          <cell r="D1952" t="str">
            <v>758003851</v>
          </cell>
          <cell r="E1952" t="str">
            <v>006</v>
          </cell>
          <cell r="F1952" t="str">
            <v>RCR#3171-RENT MENLO PARK</v>
          </cell>
          <cell r="G1952">
            <v>0</v>
          </cell>
          <cell r="H1952" t="str">
            <v>ORD 1850030501</v>
          </cell>
          <cell r="I1952" t="str">
            <v>170400</v>
          </cell>
          <cell r="J1952" t="str">
            <v>Prepaid Rents</v>
          </cell>
          <cell r="K1952">
            <v>19636.939999999999</v>
          </cell>
          <cell r="L1952">
            <v>38158</v>
          </cell>
        </row>
        <row r="1953">
          <cell r="A1953" t="str">
            <v>7098646</v>
          </cell>
          <cell r="B1953" t="str">
            <v>710000</v>
          </cell>
          <cell r="C1953" t="str">
            <v>Rents Premises Ext</v>
          </cell>
          <cell r="D1953" t="str">
            <v>111241734</v>
          </cell>
          <cell r="E1953" t="str">
            <v>006</v>
          </cell>
          <cell r="F1953">
            <v>0</v>
          </cell>
          <cell r="G1953">
            <v>0</v>
          </cell>
          <cell r="H1953">
            <v>0</v>
          </cell>
          <cell r="I1953" t="str">
            <v>170400</v>
          </cell>
          <cell r="J1953" t="str">
            <v>Prepaid Rents</v>
          </cell>
          <cell r="K1953">
            <v>-0.28999999999999998</v>
          </cell>
          <cell r="L1953">
            <v>38156</v>
          </cell>
        </row>
        <row r="1954">
          <cell r="A1954" t="str">
            <v>7098646</v>
          </cell>
          <cell r="B1954" t="str">
            <v>719100</v>
          </cell>
          <cell r="C1954" t="str">
            <v>Rents and Leases, Eq</v>
          </cell>
          <cell r="D1954" t="str">
            <v>161016846</v>
          </cell>
          <cell r="E1954" t="str">
            <v>006</v>
          </cell>
          <cell r="F1954" t="str">
            <v>YNo-005866 May</v>
          </cell>
          <cell r="G1954">
            <v>0</v>
          </cell>
          <cell r="H1954" t="str">
            <v>ORD 1850032101</v>
          </cell>
          <cell r="I1954" t="str">
            <v>400212</v>
          </cell>
          <cell r="J1954" t="str">
            <v>XEROX CORPORATION</v>
          </cell>
          <cell r="K1954">
            <v>147.63999999999999</v>
          </cell>
          <cell r="L1954">
            <v>38153</v>
          </cell>
        </row>
        <row r="1955">
          <cell r="A1955" t="str">
            <v>7098646</v>
          </cell>
          <cell r="B1955" t="str">
            <v>719100</v>
          </cell>
          <cell r="C1955" t="str">
            <v>Rents and Leases, Eq</v>
          </cell>
          <cell r="D1955" t="str">
            <v>751001748</v>
          </cell>
          <cell r="E1955" t="str">
            <v>006</v>
          </cell>
          <cell r="F1955" t="str">
            <v>P5 Correct A/P Auto Accural</v>
          </cell>
          <cell r="G1955">
            <v>0</v>
          </cell>
          <cell r="H1955" t="str">
            <v>ORD 1850020100</v>
          </cell>
          <cell r="I1955" t="str">
            <v>620210</v>
          </cell>
          <cell r="J1955" t="str">
            <v>Free-time Activitie</v>
          </cell>
          <cell r="K1955">
            <v>-135.69999999999999</v>
          </cell>
          <cell r="L1955">
            <v>38138</v>
          </cell>
        </row>
        <row r="1956">
          <cell r="A1956" t="str">
            <v>7098646</v>
          </cell>
          <cell r="B1956" t="str">
            <v>719100</v>
          </cell>
          <cell r="C1956" t="str">
            <v>Rents and Leases, Eq</v>
          </cell>
          <cell r="D1956" t="str">
            <v>476000708</v>
          </cell>
          <cell r="E1956" t="str">
            <v>006</v>
          </cell>
          <cell r="F1956" t="str">
            <v>*VENDOR REFUND CK#430314828 INV#002040726</v>
          </cell>
          <cell r="G1956">
            <v>0</v>
          </cell>
          <cell r="H1956">
            <v>0</v>
          </cell>
          <cell r="I1956" t="str">
            <v>400212</v>
          </cell>
          <cell r="J1956" t="str">
            <v>XEROX CORPORATION</v>
          </cell>
          <cell r="K1956">
            <v>-183.02</v>
          </cell>
          <cell r="L1956">
            <v>38155</v>
          </cell>
        </row>
        <row r="1957">
          <cell r="A1957" t="str">
            <v>7098646</v>
          </cell>
          <cell r="B1957" t="str">
            <v>784000</v>
          </cell>
          <cell r="C1957" t="str">
            <v>Amort Oth Int Assets</v>
          </cell>
          <cell r="D1957" t="str">
            <v>11502480</v>
          </cell>
          <cell r="E1957" t="str">
            <v>006</v>
          </cell>
          <cell r="F1957" t="str">
            <v>AFB01200400601-0011502480</v>
          </cell>
          <cell r="G1957">
            <v>0</v>
          </cell>
          <cell r="H1957" t="str">
            <v>ORD 1850090103</v>
          </cell>
          <cell r="I1957" t="str">
            <v>107110</v>
          </cell>
          <cell r="J1957" t="str">
            <v>Oth Intang Acc Depr</v>
          </cell>
          <cell r="K1957">
            <v>53.3</v>
          </cell>
          <cell r="L1957">
            <v>38163</v>
          </cell>
        </row>
        <row r="1958">
          <cell r="A1958" t="str">
            <v>7098646</v>
          </cell>
          <cell r="B1958" t="str">
            <v>784000</v>
          </cell>
          <cell r="C1958" t="str">
            <v>Amort Oth Int Assets</v>
          </cell>
          <cell r="D1958" t="str">
            <v>11502480</v>
          </cell>
          <cell r="E1958" t="str">
            <v>006</v>
          </cell>
          <cell r="F1958" t="str">
            <v>AFB01200400601-0011502480</v>
          </cell>
          <cell r="G1958">
            <v>0</v>
          </cell>
          <cell r="H1958" t="str">
            <v>ORD 1850032101</v>
          </cell>
          <cell r="I1958" t="str">
            <v>107110</v>
          </cell>
          <cell r="J1958" t="str">
            <v>Oth Intang Acc Depr</v>
          </cell>
          <cell r="K1958">
            <v>384.21</v>
          </cell>
          <cell r="L1958">
            <v>38163</v>
          </cell>
        </row>
        <row r="1959">
          <cell r="A1959" t="str">
            <v>7098646</v>
          </cell>
          <cell r="B1959" t="str">
            <v>786900</v>
          </cell>
          <cell r="C1959" t="str">
            <v>Depr Oth Mach, Equip</v>
          </cell>
          <cell r="D1959" t="str">
            <v>11502485</v>
          </cell>
          <cell r="E1959" t="str">
            <v>006</v>
          </cell>
          <cell r="F1959" t="str">
            <v>AFB01200400601-0011502485</v>
          </cell>
          <cell r="G1959">
            <v>0</v>
          </cell>
          <cell r="H1959" t="str">
            <v>ORD 1850032301</v>
          </cell>
          <cell r="I1959" t="str">
            <v>170710</v>
          </cell>
          <cell r="J1959" t="str">
            <v>Deferred Exps Moulds</v>
          </cell>
          <cell r="K1959">
            <v>147.9</v>
          </cell>
          <cell r="L1959">
            <v>38163</v>
          </cell>
        </row>
        <row r="1960">
          <cell r="A1960" t="str">
            <v>7098646</v>
          </cell>
          <cell r="B1960" t="str">
            <v>786900</v>
          </cell>
          <cell r="C1960" t="str">
            <v>Depr Oth Mach, Equip</v>
          </cell>
          <cell r="D1960" t="str">
            <v>11502485</v>
          </cell>
          <cell r="E1960" t="str">
            <v>006</v>
          </cell>
          <cell r="F1960" t="str">
            <v>AFB01200400601-0011502485</v>
          </cell>
          <cell r="G1960">
            <v>0</v>
          </cell>
          <cell r="H1960" t="str">
            <v>ORD 1850032101</v>
          </cell>
          <cell r="I1960" t="str">
            <v>170710</v>
          </cell>
          <cell r="J1960" t="str">
            <v>Deferred Exps Moulds</v>
          </cell>
          <cell r="K1960">
            <v>1401.3</v>
          </cell>
          <cell r="L1960">
            <v>38163</v>
          </cell>
        </row>
        <row r="1961">
          <cell r="A1961" t="str">
            <v>7098646</v>
          </cell>
          <cell r="B1961" t="str">
            <v>794300</v>
          </cell>
          <cell r="C1961" t="str">
            <v>Rent Inc rent RE ext</v>
          </cell>
          <cell r="D1961" t="str">
            <v>758003993</v>
          </cell>
          <cell r="E1961" t="str">
            <v>006</v>
          </cell>
          <cell r="F1961" t="str">
            <v>Invinity Systems - 2 mos. Rent deposit</v>
          </cell>
          <cell r="G1961">
            <v>0</v>
          </cell>
          <cell r="H1961" t="str">
            <v>ORD 1850090101</v>
          </cell>
          <cell r="I1961" t="str">
            <v>794300</v>
          </cell>
          <cell r="J1961" t="str">
            <v>Rent Inc rent RE ext</v>
          </cell>
          <cell r="K1961">
            <v>6192</v>
          </cell>
          <cell r="L1961">
            <v>38156</v>
          </cell>
        </row>
        <row r="1962">
          <cell r="A1962" t="str">
            <v>7098646</v>
          </cell>
          <cell r="B1962" t="str">
            <v>794300</v>
          </cell>
          <cell r="C1962" t="str">
            <v>Rent Inc rent RE ext</v>
          </cell>
          <cell r="D1962" t="str">
            <v>758003993</v>
          </cell>
          <cell r="E1962" t="str">
            <v>006</v>
          </cell>
          <cell r="F1962" t="str">
            <v>Reverse Technlolgix, Inc. deposit</v>
          </cell>
          <cell r="G1962">
            <v>0</v>
          </cell>
          <cell r="H1962" t="str">
            <v>ORD 1850090101</v>
          </cell>
          <cell r="I1962" t="str">
            <v>260200</v>
          </cell>
          <cell r="J1962" t="str">
            <v>Adv Paym Other</v>
          </cell>
          <cell r="K1962">
            <v>-6801.33</v>
          </cell>
          <cell r="L1962">
            <v>38156</v>
          </cell>
        </row>
        <row r="1963">
          <cell r="A1963" t="str">
            <v>7098646 Total</v>
          </cell>
          <cell r="K1963">
            <v>43254.000000000015</v>
          </cell>
        </row>
        <row r="1964">
          <cell r="A1964" t="str">
            <v>7098647</v>
          </cell>
          <cell r="B1964" t="str">
            <v>620110</v>
          </cell>
          <cell r="C1964" t="str">
            <v>Canteen Expenses</v>
          </cell>
          <cell r="D1964" t="str">
            <v>161016027</v>
          </cell>
          <cell r="E1964" t="str">
            <v>006</v>
          </cell>
          <cell r="F1964" t="str">
            <v>*ACCT# 0004515987 05/04*</v>
          </cell>
          <cell r="G1964">
            <v>0</v>
          </cell>
          <cell r="H1964" t="str">
            <v>ORD 1850050101</v>
          </cell>
          <cell r="I1964" t="str">
            <v>324342</v>
          </cell>
          <cell r="J1964" t="str">
            <v>ZEPHYRHILLS</v>
          </cell>
          <cell r="K1964">
            <v>1860.32</v>
          </cell>
          <cell r="L1964">
            <v>38146</v>
          </cell>
        </row>
        <row r="1965">
          <cell r="A1965" t="str">
            <v>7098647</v>
          </cell>
          <cell r="B1965" t="str">
            <v>641900</v>
          </cell>
          <cell r="C1965" t="str">
            <v>Other Travel Exp Dom</v>
          </cell>
          <cell r="D1965" t="str">
            <v>161017062</v>
          </cell>
          <cell r="E1965" t="str">
            <v>006</v>
          </cell>
          <cell r="F1965">
            <v>0</v>
          </cell>
          <cell r="G1965">
            <v>0</v>
          </cell>
          <cell r="H1965">
            <v>0</v>
          </cell>
          <cell r="I1965" t="str">
            <v>304106</v>
          </cell>
          <cell r="J1965" t="str">
            <v>BUDGET/RYDER TRS, INC.</v>
          </cell>
          <cell r="K1965">
            <v>75.61</v>
          </cell>
          <cell r="L1965">
            <v>38154</v>
          </cell>
        </row>
        <row r="1966">
          <cell r="A1966" t="str">
            <v>7098647</v>
          </cell>
          <cell r="B1966" t="str">
            <v>670000</v>
          </cell>
          <cell r="C1966" t="str">
            <v>R&amp;D Proj Material</v>
          </cell>
          <cell r="D1966" t="str">
            <v>793016991</v>
          </cell>
          <cell r="E1966" t="str">
            <v>006</v>
          </cell>
          <cell r="F1966" t="str">
            <v>DUNCAN</v>
          </cell>
          <cell r="G1966">
            <v>0</v>
          </cell>
          <cell r="H1966">
            <v>0</v>
          </cell>
          <cell r="I1966" t="str">
            <v>10037808</v>
          </cell>
          <cell r="J1966" t="str">
            <v>KIMBER DUNCAN</v>
          </cell>
          <cell r="K1966">
            <v>93.41</v>
          </cell>
          <cell r="L1966">
            <v>38139</v>
          </cell>
        </row>
        <row r="1967">
          <cell r="A1967" t="str">
            <v>7098647</v>
          </cell>
          <cell r="B1967" t="str">
            <v>680000</v>
          </cell>
          <cell r="C1967" t="str">
            <v>Office Suppl &amp; Equip</v>
          </cell>
          <cell r="D1967" t="str">
            <v>224711</v>
          </cell>
          <cell r="E1967" t="str">
            <v>006</v>
          </cell>
          <cell r="F1967">
            <v>0</v>
          </cell>
          <cell r="G1967" t="str">
            <v>4500004937</v>
          </cell>
          <cell r="H1967" t="str">
            <v>ORD 1850050101</v>
          </cell>
          <cell r="I1967" t="str">
            <v>382390</v>
          </cell>
          <cell r="J1967" t="str">
            <v>CINDY DOANE TROPHY</v>
          </cell>
          <cell r="K1967">
            <v>29.68</v>
          </cell>
          <cell r="L1967">
            <v>38159</v>
          </cell>
        </row>
        <row r="1968">
          <cell r="A1968" t="str">
            <v>7098647</v>
          </cell>
          <cell r="B1968" t="str">
            <v>680000</v>
          </cell>
          <cell r="C1968" t="str">
            <v>Office Suppl &amp; Equip</v>
          </cell>
          <cell r="D1968" t="str">
            <v>161018042</v>
          </cell>
          <cell r="E1968" t="str">
            <v>006</v>
          </cell>
          <cell r="F1968" t="str">
            <v>Zee Medical</v>
          </cell>
          <cell r="G1968">
            <v>0</v>
          </cell>
          <cell r="H1968" t="str">
            <v>ORD 1850050101</v>
          </cell>
          <cell r="I1968" t="str">
            <v>324339</v>
          </cell>
          <cell r="J1968" t="str">
            <v>BENEFICIAL MARKETING INC</v>
          </cell>
          <cell r="K1968">
            <v>64.400000000000006</v>
          </cell>
          <cell r="L1968">
            <v>38161</v>
          </cell>
        </row>
        <row r="1969">
          <cell r="A1969" t="str">
            <v>7098647</v>
          </cell>
          <cell r="B1969" t="str">
            <v>680000</v>
          </cell>
          <cell r="C1969" t="str">
            <v>Office Suppl &amp; Equip</v>
          </cell>
          <cell r="D1969" t="str">
            <v>161015808</v>
          </cell>
          <cell r="E1969" t="str">
            <v>006</v>
          </cell>
          <cell r="F1969">
            <v>0</v>
          </cell>
          <cell r="G1969">
            <v>0</v>
          </cell>
          <cell r="H1969" t="str">
            <v>ORD 1850050101</v>
          </cell>
          <cell r="I1969" t="str">
            <v>324339</v>
          </cell>
          <cell r="J1969" t="str">
            <v>BENEFICIAL MARKETING INC</v>
          </cell>
          <cell r="K1969">
            <v>109.28</v>
          </cell>
          <cell r="L1969">
            <v>38146</v>
          </cell>
        </row>
        <row r="1970">
          <cell r="A1970" t="str">
            <v>7098647</v>
          </cell>
          <cell r="B1970" t="str">
            <v>680000</v>
          </cell>
          <cell r="C1970" t="str">
            <v>Office Suppl &amp; Equip</v>
          </cell>
          <cell r="D1970" t="str">
            <v>207403</v>
          </cell>
          <cell r="E1970" t="str">
            <v>006</v>
          </cell>
          <cell r="F1970">
            <v>0</v>
          </cell>
          <cell r="G1970" t="str">
            <v>4500004937</v>
          </cell>
          <cell r="H1970" t="str">
            <v>ORD 1850050101</v>
          </cell>
          <cell r="I1970" t="str">
            <v>382390</v>
          </cell>
          <cell r="J1970" t="str">
            <v>CINDY DOANE TROPHY</v>
          </cell>
          <cell r="K1970">
            <v>159</v>
          </cell>
          <cell r="L1970">
            <v>38149</v>
          </cell>
        </row>
        <row r="1971">
          <cell r="A1971" t="str">
            <v>7098647</v>
          </cell>
          <cell r="B1971" t="str">
            <v>680000</v>
          </cell>
          <cell r="C1971" t="str">
            <v>Office Suppl &amp; Equip</v>
          </cell>
          <cell r="D1971" t="str">
            <v>161016448</v>
          </cell>
          <cell r="E1971" t="str">
            <v>006</v>
          </cell>
          <cell r="F1971">
            <v>0</v>
          </cell>
          <cell r="G1971">
            <v>0</v>
          </cell>
          <cell r="H1971" t="str">
            <v>ORD 1850050101</v>
          </cell>
          <cell r="I1971" t="str">
            <v>324339</v>
          </cell>
          <cell r="J1971" t="str">
            <v>BENEFICIAL MARKETING INC</v>
          </cell>
          <cell r="K1971">
            <v>168.34</v>
          </cell>
          <cell r="L1971">
            <v>38148</v>
          </cell>
        </row>
        <row r="1972">
          <cell r="A1972" t="str">
            <v>7098647</v>
          </cell>
          <cell r="B1972" t="str">
            <v>680000</v>
          </cell>
          <cell r="C1972" t="str">
            <v>Office Suppl &amp; Equip</v>
          </cell>
          <cell r="D1972" t="str">
            <v>161015659</v>
          </cell>
          <cell r="E1972" t="str">
            <v>006</v>
          </cell>
          <cell r="F1972">
            <v>0</v>
          </cell>
          <cell r="G1972">
            <v>0</v>
          </cell>
          <cell r="H1972" t="str">
            <v>ORD 1850050101</v>
          </cell>
          <cell r="I1972" t="str">
            <v>437399</v>
          </cell>
          <cell r="J1972" t="str">
            <v>DIGITEC OFFICE SOLUTIONS INC</v>
          </cell>
          <cell r="K1972">
            <v>653.94000000000005</v>
          </cell>
          <cell r="L1972">
            <v>38140</v>
          </cell>
        </row>
        <row r="1973">
          <cell r="A1973" t="str">
            <v>7098647</v>
          </cell>
          <cell r="B1973" t="str">
            <v>680000</v>
          </cell>
          <cell r="C1973" t="str">
            <v>Office Suppl &amp; Equip</v>
          </cell>
          <cell r="D1973" t="str">
            <v>5000312352</v>
          </cell>
          <cell r="E1973" t="str">
            <v>006</v>
          </cell>
          <cell r="F1973" t="str">
            <v>Toner</v>
          </cell>
          <cell r="G1973" t="str">
            <v>4845462</v>
          </cell>
          <cell r="H1973" t="str">
            <v>ORD 1850050101</v>
          </cell>
          <cell r="I1973" t="str">
            <v>230316</v>
          </cell>
          <cell r="J1973" t="str">
            <v>GR/IR Non coded 3</v>
          </cell>
          <cell r="K1973">
            <v>795</v>
          </cell>
          <cell r="L1973">
            <v>38152</v>
          </cell>
        </row>
        <row r="1974">
          <cell r="A1974" t="str">
            <v>7098647</v>
          </cell>
          <cell r="B1974" t="str">
            <v>681000</v>
          </cell>
          <cell r="C1974" t="str">
            <v>Postal Courier Serv</v>
          </cell>
          <cell r="D1974" t="str">
            <v>360001119</v>
          </cell>
          <cell r="E1974" t="str">
            <v>006</v>
          </cell>
          <cell r="F1974" t="str">
            <v>Fedex# 1796-0410-8</v>
          </cell>
          <cell r="G1974">
            <v>0</v>
          </cell>
          <cell r="H1974">
            <v>0</v>
          </cell>
          <cell r="I1974" t="str">
            <v>321492</v>
          </cell>
          <cell r="J1974" t="str">
            <v>FEDERAL EXPRESS CORP</v>
          </cell>
          <cell r="K1974">
            <v>7.7</v>
          </cell>
          <cell r="L1974">
            <v>38160</v>
          </cell>
        </row>
        <row r="1975">
          <cell r="A1975" t="str">
            <v>7098647</v>
          </cell>
          <cell r="B1975" t="str">
            <v>681000</v>
          </cell>
          <cell r="C1975" t="str">
            <v>Postal Courier Serv</v>
          </cell>
          <cell r="D1975" t="str">
            <v>360001045</v>
          </cell>
          <cell r="E1975" t="str">
            <v>006</v>
          </cell>
          <cell r="F1975" t="str">
            <v>Fedex# 1796-0410-8</v>
          </cell>
          <cell r="G1975">
            <v>0</v>
          </cell>
          <cell r="H1975">
            <v>0</v>
          </cell>
          <cell r="I1975" t="str">
            <v>321492</v>
          </cell>
          <cell r="J1975" t="str">
            <v>FEDERAL EXPRESS CORP</v>
          </cell>
          <cell r="K1975">
            <v>9.1</v>
          </cell>
          <cell r="L1975">
            <v>38141</v>
          </cell>
        </row>
        <row r="1976">
          <cell r="A1976" t="str">
            <v>7098647</v>
          </cell>
          <cell r="B1976" t="str">
            <v>681000</v>
          </cell>
          <cell r="C1976" t="str">
            <v>Postal Courier Serv</v>
          </cell>
          <cell r="D1976" t="str">
            <v>360001115</v>
          </cell>
          <cell r="E1976" t="str">
            <v>006</v>
          </cell>
          <cell r="F1976" t="str">
            <v>Fedex# 1796-0410-8</v>
          </cell>
          <cell r="G1976">
            <v>0</v>
          </cell>
          <cell r="H1976">
            <v>0</v>
          </cell>
          <cell r="I1976" t="str">
            <v>321492</v>
          </cell>
          <cell r="J1976" t="str">
            <v>FEDERAL EXPRESS CORP</v>
          </cell>
          <cell r="K1976">
            <v>22.53</v>
          </cell>
          <cell r="L1976">
            <v>38160</v>
          </cell>
        </row>
        <row r="1977">
          <cell r="A1977" t="str">
            <v>7098647</v>
          </cell>
          <cell r="B1977" t="str">
            <v>693900</v>
          </cell>
          <cell r="C1977" t="str">
            <v>Other Services</v>
          </cell>
          <cell r="D1977" t="str">
            <v>161017114</v>
          </cell>
          <cell r="E1977" t="str">
            <v>006</v>
          </cell>
          <cell r="F1977" t="str">
            <v>*ACCT# 311336 05/04*</v>
          </cell>
          <cell r="G1977">
            <v>0</v>
          </cell>
          <cell r="H1977" t="str">
            <v>ORD 1850050101</v>
          </cell>
          <cell r="I1977" t="str">
            <v>323812</v>
          </cell>
          <cell r="J1977" t="str">
            <v>TERMINIX INTERNATIONAL LP</v>
          </cell>
          <cell r="K1977">
            <v>50.88</v>
          </cell>
          <cell r="L1977">
            <v>38154</v>
          </cell>
        </row>
        <row r="1978">
          <cell r="A1978" t="str">
            <v>7098647</v>
          </cell>
          <cell r="B1978" t="str">
            <v>700050</v>
          </cell>
          <cell r="C1978" t="str">
            <v>Real Est Maint</v>
          </cell>
          <cell r="D1978" t="str">
            <v>161016452</v>
          </cell>
          <cell r="E1978" t="str">
            <v>006</v>
          </cell>
          <cell r="F1978">
            <v>0</v>
          </cell>
          <cell r="G1978">
            <v>0</v>
          </cell>
          <cell r="H1978" t="str">
            <v>ORD 1850050101</v>
          </cell>
          <cell r="I1978" t="str">
            <v>320339</v>
          </cell>
          <cell r="J1978" t="str">
            <v>ATLANTIC PLUMBING AND SOLAR</v>
          </cell>
          <cell r="K1978">
            <v>138.5</v>
          </cell>
          <cell r="L1978">
            <v>38148</v>
          </cell>
        </row>
        <row r="1979">
          <cell r="A1979" t="str">
            <v>7098647</v>
          </cell>
          <cell r="B1979" t="str">
            <v>700050</v>
          </cell>
          <cell r="C1979" t="str">
            <v>Real Est Maint</v>
          </cell>
          <cell r="D1979" t="str">
            <v>227659</v>
          </cell>
          <cell r="E1979" t="str">
            <v>006</v>
          </cell>
          <cell r="F1979">
            <v>0</v>
          </cell>
          <cell r="G1979" t="str">
            <v>4500003995</v>
          </cell>
          <cell r="H1979" t="str">
            <v>ORD 1850050101</v>
          </cell>
          <cell r="I1979" t="str">
            <v>323434</v>
          </cell>
          <cell r="J1979" t="str">
            <v>SERVICE ELECTRIC INC</v>
          </cell>
          <cell r="K1979">
            <v>2660</v>
          </cell>
          <cell r="L1979">
            <v>38160</v>
          </cell>
        </row>
        <row r="1980">
          <cell r="A1980" t="str">
            <v>7098647</v>
          </cell>
          <cell r="B1980" t="str">
            <v>700050</v>
          </cell>
          <cell r="C1980" t="str">
            <v>Real Est Maint</v>
          </cell>
          <cell r="D1980" t="str">
            <v>187099</v>
          </cell>
          <cell r="E1980" t="str">
            <v>006</v>
          </cell>
          <cell r="F1980">
            <v>0</v>
          </cell>
          <cell r="G1980" t="str">
            <v>4500003996</v>
          </cell>
          <cell r="H1980" t="str">
            <v>ORD 1850050101</v>
          </cell>
          <cell r="I1980" t="str">
            <v>320975</v>
          </cell>
          <cell r="J1980" t="str">
            <v>COMPRESSED AIR SYSTEMS INC</v>
          </cell>
          <cell r="K1980">
            <v>3392</v>
          </cell>
          <cell r="L1980">
            <v>38139</v>
          </cell>
        </row>
        <row r="1981">
          <cell r="A1981" t="str">
            <v>7098647</v>
          </cell>
          <cell r="B1981" t="str">
            <v>700050</v>
          </cell>
          <cell r="C1981" t="str">
            <v>Real Est Maint</v>
          </cell>
          <cell r="D1981" t="str">
            <v>360001058</v>
          </cell>
          <cell r="E1981" t="str">
            <v>006</v>
          </cell>
          <cell r="F1981" t="str">
            <v>INV#6/04PREFUNDTX CUSHMAN WAKEFIELD</v>
          </cell>
          <cell r="G1981">
            <v>0</v>
          </cell>
          <cell r="H1981" t="str">
            <v>ORD 1850050101</v>
          </cell>
          <cell r="I1981" t="str">
            <v>325209</v>
          </cell>
          <cell r="J1981" t="str">
            <v>CUSHMAN &amp; WAKEFIELD OF TEXAS, INC.</v>
          </cell>
          <cell r="K1981">
            <v>5000</v>
          </cell>
          <cell r="L1981">
            <v>38146</v>
          </cell>
        </row>
        <row r="1982">
          <cell r="A1982" t="str">
            <v>7098647</v>
          </cell>
          <cell r="B1982" t="str">
            <v>700100</v>
          </cell>
          <cell r="C1982" t="str">
            <v>Park &amp; Grds Main</v>
          </cell>
          <cell r="D1982" t="str">
            <v>146956</v>
          </cell>
          <cell r="E1982" t="str">
            <v>006</v>
          </cell>
          <cell r="F1982">
            <v>0</v>
          </cell>
          <cell r="G1982" t="str">
            <v>4500004881</v>
          </cell>
          <cell r="H1982" t="str">
            <v>ORD 1850050101</v>
          </cell>
          <cell r="I1982" t="str">
            <v>321358</v>
          </cell>
          <cell r="J1982" t="str">
            <v>ECOR INDUSTRIES INC</v>
          </cell>
          <cell r="K1982">
            <v>138</v>
          </cell>
          <cell r="L1982">
            <v>38145</v>
          </cell>
        </row>
        <row r="1983">
          <cell r="A1983" t="str">
            <v>7098647</v>
          </cell>
          <cell r="B1983" t="str">
            <v>700100</v>
          </cell>
          <cell r="C1983" t="str">
            <v>Park &amp; Grds Main</v>
          </cell>
          <cell r="D1983" t="str">
            <v>230344</v>
          </cell>
          <cell r="E1983" t="str">
            <v>006</v>
          </cell>
          <cell r="F1983">
            <v>0</v>
          </cell>
          <cell r="G1983" t="str">
            <v>4500004881</v>
          </cell>
          <cell r="H1983" t="str">
            <v>ORD 1850050101</v>
          </cell>
          <cell r="I1983" t="str">
            <v>321358</v>
          </cell>
          <cell r="J1983" t="str">
            <v>ECOR INDUSTRIES INC</v>
          </cell>
          <cell r="K1983">
            <v>138</v>
          </cell>
          <cell r="L1983">
            <v>38161</v>
          </cell>
        </row>
        <row r="1984">
          <cell r="A1984" t="str">
            <v>7098647</v>
          </cell>
          <cell r="B1984" t="str">
            <v>700100</v>
          </cell>
          <cell r="C1984" t="str">
            <v>Park &amp; Grds Main</v>
          </cell>
          <cell r="D1984" t="str">
            <v>227842</v>
          </cell>
          <cell r="E1984" t="str">
            <v>006</v>
          </cell>
          <cell r="F1984">
            <v>0</v>
          </cell>
          <cell r="G1984" t="str">
            <v>4500004882</v>
          </cell>
          <cell r="H1984" t="str">
            <v>ORD 1850050101</v>
          </cell>
          <cell r="I1984" t="str">
            <v>379100</v>
          </cell>
          <cell r="J1984" t="str">
            <v>EMERALD LAWN MAINTENANCE &amp; LANDSCAP</v>
          </cell>
          <cell r="K1984">
            <v>1200</v>
          </cell>
          <cell r="L1984">
            <v>38161</v>
          </cell>
        </row>
        <row r="1985">
          <cell r="A1985" t="str">
            <v>7098647</v>
          </cell>
          <cell r="B1985" t="str">
            <v>700100</v>
          </cell>
          <cell r="C1985" t="str">
            <v>Park &amp; Grds Main</v>
          </cell>
          <cell r="D1985" t="str">
            <v>751001669</v>
          </cell>
          <cell r="E1985" t="str">
            <v>006</v>
          </cell>
          <cell r="F1985" t="str">
            <v>Melbourne Semi-annual grounds mulching</v>
          </cell>
          <cell r="G1985">
            <v>0</v>
          </cell>
          <cell r="H1985" t="str">
            <v>ORD 1850050101</v>
          </cell>
          <cell r="I1985" t="str">
            <v>273900</v>
          </cell>
          <cell r="J1985" t="str">
            <v>Other Accr Expenses</v>
          </cell>
          <cell r="K1985">
            <v>-500</v>
          </cell>
          <cell r="L1985">
            <v>38138</v>
          </cell>
        </row>
        <row r="1986">
          <cell r="A1986" t="str">
            <v>7098647</v>
          </cell>
          <cell r="B1986" t="str">
            <v>700200</v>
          </cell>
          <cell r="C1986" t="str">
            <v>Cleaning</v>
          </cell>
          <cell r="D1986" t="str">
            <v>161016047</v>
          </cell>
          <cell r="E1986" t="str">
            <v>006</v>
          </cell>
          <cell r="F1986">
            <v>0</v>
          </cell>
          <cell r="G1986">
            <v>0</v>
          </cell>
          <cell r="H1986" t="str">
            <v>ORD 1850050101</v>
          </cell>
          <cell r="I1986" t="str">
            <v>305114</v>
          </cell>
          <cell r="J1986" t="str">
            <v>AMERICAN HOUSEKEEPING INC</v>
          </cell>
          <cell r="K1986">
            <v>23.75</v>
          </cell>
          <cell r="L1986">
            <v>38146</v>
          </cell>
        </row>
        <row r="1987">
          <cell r="A1987" t="str">
            <v>7098647</v>
          </cell>
          <cell r="B1987" t="str">
            <v>700200</v>
          </cell>
          <cell r="C1987" t="str">
            <v>Cleaning</v>
          </cell>
          <cell r="D1987" t="str">
            <v>751001668</v>
          </cell>
          <cell r="E1987" t="str">
            <v>006</v>
          </cell>
          <cell r="F1987" t="str">
            <v>Melbourne</v>
          </cell>
          <cell r="G1987">
            <v>0</v>
          </cell>
          <cell r="H1987" t="str">
            <v>ORD 1850050101</v>
          </cell>
          <cell r="I1987" t="str">
            <v>273900</v>
          </cell>
          <cell r="J1987" t="str">
            <v>Other Accr Expenses</v>
          </cell>
          <cell r="K1987">
            <v>2853.57</v>
          </cell>
          <cell r="L1987">
            <v>38138</v>
          </cell>
        </row>
        <row r="1988">
          <cell r="A1988" t="str">
            <v>7098647</v>
          </cell>
          <cell r="B1988" t="str">
            <v>700200</v>
          </cell>
          <cell r="C1988" t="str">
            <v>Cleaning</v>
          </cell>
          <cell r="D1988" t="str">
            <v>360001059</v>
          </cell>
          <cell r="E1988" t="str">
            <v>006</v>
          </cell>
          <cell r="F1988" t="str">
            <v>*INV#44423 CUST#260 6/1-30/04 AMER.HOUSKEEP.</v>
          </cell>
          <cell r="G1988">
            <v>0</v>
          </cell>
          <cell r="H1988" t="str">
            <v>ORD 1850050101</v>
          </cell>
          <cell r="I1988" t="str">
            <v>305114</v>
          </cell>
          <cell r="J1988" t="str">
            <v>AMERICAN HOUSEKEEPING INC</v>
          </cell>
          <cell r="K1988">
            <v>15567.34</v>
          </cell>
          <cell r="L1988">
            <v>38146</v>
          </cell>
        </row>
        <row r="1989">
          <cell r="A1989" t="str">
            <v>7098647</v>
          </cell>
          <cell r="B1989" t="str">
            <v>700200</v>
          </cell>
          <cell r="C1989" t="str">
            <v>Cleaning</v>
          </cell>
          <cell r="D1989" t="str">
            <v>360001064</v>
          </cell>
          <cell r="E1989" t="str">
            <v>006</v>
          </cell>
          <cell r="F1989" t="str">
            <v>Melbourne</v>
          </cell>
          <cell r="G1989">
            <v>0</v>
          </cell>
          <cell r="H1989" t="str">
            <v>ORD 1850050101</v>
          </cell>
          <cell r="I1989" t="str">
            <v>325209</v>
          </cell>
          <cell r="J1989" t="str">
            <v>CUSHMAN &amp; WAKEFIELD OF TEXAS, INC.</v>
          </cell>
          <cell r="K1989">
            <v>-2853.57</v>
          </cell>
          <cell r="L1989">
            <v>38147</v>
          </cell>
        </row>
        <row r="1990">
          <cell r="A1990" t="str">
            <v>7098647</v>
          </cell>
          <cell r="B1990" t="str">
            <v>700300</v>
          </cell>
          <cell r="C1990" t="str">
            <v>Environm and Refuse</v>
          </cell>
          <cell r="D1990" t="str">
            <v>173000207</v>
          </cell>
          <cell r="E1990" t="str">
            <v>006</v>
          </cell>
          <cell r="F1990" t="str">
            <v>LB911613 6/14 CK#9809 EASTCOAST PAPER STOCK</v>
          </cell>
          <cell r="G1990">
            <v>0</v>
          </cell>
          <cell r="H1990">
            <v>0</v>
          </cell>
          <cell r="I1990" t="str">
            <v>229200</v>
          </cell>
          <cell r="J1990" t="str">
            <v>Control Acc Nokia F</v>
          </cell>
          <cell r="K1990">
            <v>-135</v>
          </cell>
          <cell r="L1990">
            <v>38153</v>
          </cell>
        </row>
        <row r="1991">
          <cell r="A1991" t="str">
            <v>7098647</v>
          </cell>
          <cell r="B1991" t="str">
            <v>700300</v>
          </cell>
          <cell r="C1991" t="str">
            <v>Environm and Refuse</v>
          </cell>
          <cell r="D1991" t="str">
            <v>173000203</v>
          </cell>
          <cell r="E1991" t="str">
            <v>006</v>
          </cell>
          <cell r="F1991" t="str">
            <v>LB911613 6/10 CK#9631 EASTCOAST PAPER</v>
          </cell>
          <cell r="G1991">
            <v>0</v>
          </cell>
          <cell r="H1991">
            <v>0</v>
          </cell>
          <cell r="I1991" t="str">
            <v>229200</v>
          </cell>
          <cell r="J1991" t="str">
            <v>Control Acc Nokia F</v>
          </cell>
          <cell r="K1991">
            <v>-157.5</v>
          </cell>
          <cell r="L1991">
            <v>38149</v>
          </cell>
        </row>
        <row r="1992">
          <cell r="A1992" t="str">
            <v>7098647</v>
          </cell>
          <cell r="B1992" t="str">
            <v>700300</v>
          </cell>
          <cell r="C1992" t="str">
            <v>Environm and Refuse</v>
          </cell>
          <cell r="D1992" t="str">
            <v>173000195</v>
          </cell>
          <cell r="E1992" t="str">
            <v>006</v>
          </cell>
          <cell r="F1992" t="str">
            <v>CK#9686 EASTCOAST PAPER 5/26 LB911613</v>
          </cell>
          <cell r="G1992">
            <v>0</v>
          </cell>
          <cell r="H1992">
            <v>0</v>
          </cell>
          <cell r="I1992" t="str">
            <v>168000</v>
          </cell>
          <cell r="J1992" t="str">
            <v>Clearing Acc A/R Ext</v>
          </cell>
          <cell r="K1992">
            <v>-202.5</v>
          </cell>
          <cell r="L1992">
            <v>38145</v>
          </cell>
        </row>
        <row r="1993">
          <cell r="A1993" t="str">
            <v>7098647</v>
          </cell>
          <cell r="B1993" t="str">
            <v>700500</v>
          </cell>
          <cell r="C1993" t="str">
            <v>Security</v>
          </cell>
          <cell r="D1993" t="str">
            <v>161015802</v>
          </cell>
          <cell r="E1993" t="str">
            <v>006</v>
          </cell>
          <cell r="F1993">
            <v>0</v>
          </cell>
          <cell r="G1993">
            <v>0</v>
          </cell>
          <cell r="H1993" t="str">
            <v>ORD 1850050101</v>
          </cell>
          <cell r="I1993" t="str">
            <v>382389</v>
          </cell>
          <cell r="J1993" t="str">
            <v>ALLIED SECURITY</v>
          </cell>
          <cell r="K1993">
            <v>10319.61</v>
          </cell>
          <cell r="L1993">
            <v>38146</v>
          </cell>
        </row>
        <row r="1994">
          <cell r="A1994" t="str">
            <v>7098647</v>
          </cell>
          <cell r="B1994" t="str">
            <v>700600</v>
          </cell>
          <cell r="C1994" t="str">
            <v>Real Estate Rates</v>
          </cell>
          <cell r="D1994" t="str">
            <v>758003900</v>
          </cell>
          <cell r="E1994" t="str">
            <v>006</v>
          </cell>
          <cell r="F1994" t="str">
            <v>RCR#4058 MELBOURNE PERS PROP TAX ACCRUAL</v>
          </cell>
          <cell r="G1994">
            <v>0</v>
          </cell>
          <cell r="H1994" t="str">
            <v>ORD 1850050101</v>
          </cell>
          <cell r="I1994" t="str">
            <v>280210</v>
          </cell>
          <cell r="J1994" t="str">
            <v>Accrued Property Tax</v>
          </cell>
          <cell r="K1994">
            <v>13000</v>
          </cell>
          <cell r="L1994">
            <v>38158</v>
          </cell>
        </row>
        <row r="1995">
          <cell r="A1995" t="str">
            <v>7098647</v>
          </cell>
          <cell r="B1995" t="str">
            <v>700600</v>
          </cell>
          <cell r="C1995" t="str">
            <v>Real Estate Rates</v>
          </cell>
          <cell r="D1995" t="str">
            <v>751001669</v>
          </cell>
          <cell r="E1995" t="str">
            <v>006</v>
          </cell>
          <cell r="F1995" t="str">
            <v>Melbourne FL Real Property Taxes</v>
          </cell>
          <cell r="G1995">
            <v>0</v>
          </cell>
          <cell r="H1995" t="str">
            <v>ORD 1850050101</v>
          </cell>
          <cell r="I1995" t="str">
            <v>273900</v>
          </cell>
          <cell r="J1995" t="str">
            <v>Other Accr Expenses</v>
          </cell>
          <cell r="K1995">
            <v>-18915.28</v>
          </cell>
          <cell r="L1995">
            <v>38138</v>
          </cell>
        </row>
        <row r="1996">
          <cell r="A1996" t="str">
            <v>7098647</v>
          </cell>
          <cell r="B1996" t="str">
            <v>700700</v>
          </cell>
          <cell r="C1996" t="str">
            <v>Water Rates</v>
          </cell>
          <cell r="D1996" t="str">
            <v>496024089</v>
          </cell>
          <cell r="E1996" t="str">
            <v>006</v>
          </cell>
          <cell r="F1996" t="str">
            <v>*ACCT#233-146555  CITY MELBOURNE</v>
          </cell>
          <cell r="G1996">
            <v>0</v>
          </cell>
          <cell r="H1996" t="str">
            <v>ORD 1850050101</v>
          </cell>
          <cell r="I1996" t="str">
            <v>320903</v>
          </cell>
          <cell r="J1996" t="str">
            <v>CITY OF MELBOURNE</v>
          </cell>
          <cell r="K1996">
            <v>870.44</v>
          </cell>
          <cell r="L1996">
            <v>38161</v>
          </cell>
        </row>
        <row r="1997">
          <cell r="A1997" t="str">
            <v>7098647</v>
          </cell>
          <cell r="B1997" t="str">
            <v>700800</v>
          </cell>
          <cell r="C1997" t="str">
            <v>Electricity and Gas</v>
          </cell>
          <cell r="D1997" t="str">
            <v>496021557</v>
          </cell>
          <cell r="E1997" t="str">
            <v>006</v>
          </cell>
          <cell r="F1997" t="str">
            <v>*ACCT#44118-88227  FLORIDA POWER</v>
          </cell>
          <cell r="G1997">
            <v>0</v>
          </cell>
          <cell r="H1997" t="str">
            <v>ORD 1850050101</v>
          </cell>
          <cell r="I1997" t="str">
            <v>321552</v>
          </cell>
          <cell r="J1997" t="str">
            <v>FLORIDA POWER AND LIGHT</v>
          </cell>
          <cell r="K1997">
            <v>17539.509999999998</v>
          </cell>
          <cell r="L1997">
            <v>38141</v>
          </cell>
        </row>
        <row r="1998">
          <cell r="A1998" t="str">
            <v>7098647</v>
          </cell>
          <cell r="B1998" t="str">
            <v>700800</v>
          </cell>
          <cell r="C1998" t="str">
            <v>Electricity and Gas</v>
          </cell>
          <cell r="D1998" t="str">
            <v>751001669</v>
          </cell>
          <cell r="E1998" t="str">
            <v>006</v>
          </cell>
          <cell r="F1998" t="str">
            <v>Melbourne Electricity</v>
          </cell>
          <cell r="G1998">
            <v>0</v>
          </cell>
          <cell r="H1998" t="str">
            <v>ORD 1850050101</v>
          </cell>
          <cell r="I1998" t="str">
            <v>273900</v>
          </cell>
          <cell r="J1998" t="str">
            <v>Other Accr Expenses</v>
          </cell>
          <cell r="K1998">
            <v>-32366.560000000001</v>
          </cell>
          <cell r="L1998">
            <v>38138</v>
          </cell>
        </row>
        <row r="1999">
          <cell r="A1999" t="str">
            <v>7098647</v>
          </cell>
          <cell r="B1999" t="str">
            <v>709400</v>
          </cell>
          <cell r="C1999" t="str">
            <v>Mainten Plants Flwrs</v>
          </cell>
          <cell r="D1999" t="str">
            <v>199838</v>
          </cell>
          <cell r="E1999" t="str">
            <v>006</v>
          </cell>
          <cell r="F1999">
            <v>0</v>
          </cell>
          <cell r="G1999" t="str">
            <v>4500004871</v>
          </cell>
          <cell r="H1999" t="str">
            <v>ORD 1850050101</v>
          </cell>
          <cell r="I1999" t="str">
            <v>321483</v>
          </cell>
          <cell r="J1999" t="str">
            <v>JOY L BAIRD</v>
          </cell>
          <cell r="K1999">
            <v>265</v>
          </cell>
          <cell r="L1999">
            <v>38146</v>
          </cell>
        </row>
        <row r="2000">
          <cell r="A2000" t="str">
            <v>7098647</v>
          </cell>
          <cell r="B2000" t="str">
            <v>710000</v>
          </cell>
          <cell r="C2000" t="str">
            <v>Rents Premises Ext</v>
          </cell>
          <cell r="D2000" t="str">
            <v>758003831</v>
          </cell>
          <cell r="E2000" t="str">
            <v>006</v>
          </cell>
          <cell r="F2000" t="str">
            <v>RCR#3084-MELBOURNE CAM &amp; STAX</v>
          </cell>
          <cell r="G2000">
            <v>0</v>
          </cell>
          <cell r="H2000" t="str">
            <v>ORD 1850050101</v>
          </cell>
          <cell r="I2000" t="str">
            <v>170400</v>
          </cell>
          <cell r="J2000" t="str">
            <v>Prepaid Rents</v>
          </cell>
          <cell r="K2000">
            <v>3732.52</v>
          </cell>
          <cell r="L2000">
            <v>38158</v>
          </cell>
        </row>
        <row r="2001">
          <cell r="A2001" t="str">
            <v>7098647</v>
          </cell>
          <cell r="B2001" t="str">
            <v>710000</v>
          </cell>
          <cell r="C2001" t="str">
            <v>Rents Premises Ext</v>
          </cell>
          <cell r="D2001" t="str">
            <v>758003831</v>
          </cell>
          <cell r="E2001" t="str">
            <v>006</v>
          </cell>
          <cell r="F2001" t="str">
            <v>RCR#3084-MELBOURNE SL RENT</v>
          </cell>
          <cell r="G2001">
            <v>0</v>
          </cell>
          <cell r="H2001" t="str">
            <v>ORD 1850050101</v>
          </cell>
          <cell r="I2001" t="str">
            <v>170400</v>
          </cell>
          <cell r="J2001" t="str">
            <v>Prepaid Rents</v>
          </cell>
          <cell r="K2001">
            <v>40579.519999999997</v>
          </cell>
          <cell r="L2001">
            <v>38158</v>
          </cell>
        </row>
        <row r="2002">
          <cell r="A2002" t="str">
            <v>7098647</v>
          </cell>
          <cell r="B2002" t="str">
            <v>719100</v>
          </cell>
          <cell r="C2002" t="str">
            <v>Rents and Leases, Eq</v>
          </cell>
          <cell r="D2002" t="str">
            <v>161017061</v>
          </cell>
          <cell r="E2002" t="str">
            <v>006</v>
          </cell>
          <cell r="F2002">
            <v>0</v>
          </cell>
          <cell r="G2002">
            <v>0</v>
          </cell>
          <cell r="H2002" t="str">
            <v>ORD 1850050101</v>
          </cell>
          <cell r="I2002" t="str">
            <v>321046</v>
          </cell>
          <cell r="J2002" t="str">
            <v>CITICORP VENDOR FINANCE, INC</v>
          </cell>
          <cell r="K2002">
            <v>1921.93</v>
          </cell>
          <cell r="L2002">
            <v>38154</v>
          </cell>
        </row>
        <row r="2003">
          <cell r="A2003" t="str">
            <v>7098647</v>
          </cell>
          <cell r="B2003" t="str">
            <v>752730</v>
          </cell>
          <cell r="C2003" t="str">
            <v>Voice Cost Tran Exp</v>
          </cell>
          <cell r="D2003" t="str">
            <v>758004044</v>
          </cell>
          <cell r="E2003" t="str">
            <v>006</v>
          </cell>
          <cell r="F2003" t="str">
            <v>APR04 MCI TOLLFREE PHONE CHARGE</v>
          </cell>
          <cell r="G2003">
            <v>0</v>
          </cell>
          <cell r="H2003">
            <v>0</v>
          </cell>
          <cell r="I2003" t="str">
            <v>751730</v>
          </cell>
          <cell r="J2003" t="str">
            <v>Voice Cost Tra Inc</v>
          </cell>
          <cell r="K2003">
            <v>7.0000000000000007E-2</v>
          </cell>
          <cell r="L2003">
            <v>38160</v>
          </cell>
        </row>
        <row r="2004">
          <cell r="A2004" t="str">
            <v>7098647</v>
          </cell>
          <cell r="B2004" t="str">
            <v>752730</v>
          </cell>
          <cell r="C2004" t="str">
            <v>Voice Cost Tran Exp</v>
          </cell>
          <cell r="D2004" t="str">
            <v>750001558</v>
          </cell>
          <cell r="E2004" t="str">
            <v>006</v>
          </cell>
          <cell r="F2004" t="str">
            <v>MAY04 MCI TOLLFREE ACCRUAL</v>
          </cell>
          <cell r="G2004">
            <v>0</v>
          </cell>
          <cell r="H2004">
            <v>0</v>
          </cell>
          <cell r="I2004" t="str">
            <v>273900</v>
          </cell>
          <cell r="J2004" t="str">
            <v>Other Accr Expenses</v>
          </cell>
          <cell r="K2004">
            <v>7.0000000000000007E-2</v>
          </cell>
          <cell r="L2004">
            <v>38161</v>
          </cell>
        </row>
        <row r="2005">
          <cell r="A2005" t="str">
            <v>7098647</v>
          </cell>
          <cell r="B2005" t="str">
            <v>752730</v>
          </cell>
          <cell r="C2005" t="str">
            <v>Voice Cost Tran Exp</v>
          </cell>
          <cell r="D2005" t="str">
            <v>751001647</v>
          </cell>
          <cell r="E2005" t="str">
            <v>006</v>
          </cell>
          <cell r="F2005" t="str">
            <v>APR04 MCI TOLLFREE ACCRUAL</v>
          </cell>
          <cell r="G2005">
            <v>0</v>
          </cell>
          <cell r="H2005">
            <v>0</v>
          </cell>
          <cell r="I2005" t="str">
            <v>273900</v>
          </cell>
          <cell r="J2005" t="str">
            <v>Other Accr Expenses</v>
          </cell>
          <cell r="K2005">
            <v>-0.13</v>
          </cell>
          <cell r="L2005">
            <v>38139</v>
          </cell>
        </row>
        <row r="2006">
          <cell r="A2006" t="str">
            <v>7098647</v>
          </cell>
          <cell r="B2006" t="str">
            <v>784000</v>
          </cell>
          <cell r="C2006" t="str">
            <v>Amort Oth Int Assets</v>
          </cell>
          <cell r="D2006" t="str">
            <v>11502480</v>
          </cell>
          <cell r="E2006" t="str">
            <v>006</v>
          </cell>
          <cell r="F2006" t="str">
            <v>AFB01200400601-0011502480</v>
          </cell>
          <cell r="G2006">
            <v>0</v>
          </cell>
          <cell r="H2006" t="str">
            <v>ORD 1850050101</v>
          </cell>
          <cell r="I2006" t="str">
            <v>107110</v>
          </cell>
          <cell r="J2006" t="str">
            <v>Oth Intang Acc Depr</v>
          </cell>
          <cell r="K2006">
            <v>7647.93</v>
          </cell>
          <cell r="L2006">
            <v>38163</v>
          </cell>
        </row>
        <row r="2007">
          <cell r="A2007" t="str">
            <v>7098647</v>
          </cell>
          <cell r="B2007" t="str">
            <v>786900</v>
          </cell>
          <cell r="C2007" t="str">
            <v>Depr Oth Mach, Equip</v>
          </cell>
          <cell r="D2007" t="str">
            <v>11502485</v>
          </cell>
          <cell r="E2007" t="str">
            <v>006</v>
          </cell>
          <cell r="F2007" t="str">
            <v>AFB01200400601-0011502485</v>
          </cell>
          <cell r="G2007">
            <v>0</v>
          </cell>
          <cell r="H2007" t="str">
            <v>ORD 1850050101</v>
          </cell>
          <cell r="I2007" t="str">
            <v>170710</v>
          </cell>
          <cell r="J2007" t="str">
            <v>Deferred Exps Moulds</v>
          </cell>
          <cell r="K2007">
            <v>2408.96</v>
          </cell>
          <cell r="L2007">
            <v>38163</v>
          </cell>
        </row>
        <row r="2008">
          <cell r="A2008" t="str">
            <v>7098647 Total</v>
          </cell>
          <cell r="K2008">
            <v>78365.37000000001</v>
          </cell>
        </row>
        <row r="2009">
          <cell r="A2009" t="str">
            <v>7098648</v>
          </cell>
          <cell r="B2009" t="str">
            <v>620110</v>
          </cell>
          <cell r="C2009" t="str">
            <v>Canteen Expenses</v>
          </cell>
          <cell r="D2009" t="str">
            <v>161015476</v>
          </cell>
          <cell r="E2009" t="str">
            <v>006</v>
          </cell>
          <cell r="F2009">
            <v>0</v>
          </cell>
          <cell r="G2009">
            <v>0</v>
          </cell>
          <cell r="H2009" t="str">
            <v>ORD 1850050302</v>
          </cell>
          <cell r="I2009" t="str">
            <v>321443</v>
          </cell>
          <cell r="J2009" t="str">
            <v>EUREST DINING SERVICES</v>
          </cell>
          <cell r="K2009">
            <v>1723.86</v>
          </cell>
          <cell r="L2009">
            <v>38139</v>
          </cell>
        </row>
        <row r="2010">
          <cell r="A2010" t="str">
            <v>7098648</v>
          </cell>
          <cell r="B2010" t="str">
            <v>680000</v>
          </cell>
          <cell r="C2010" t="str">
            <v>Office Suppl &amp; Equip</v>
          </cell>
          <cell r="D2010" t="str">
            <v>161015530</v>
          </cell>
          <cell r="E2010" t="str">
            <v>006</v>
          </cell>
          <cell r="F2010">
            <v>0</v>
          </cell>
          <cell r="G2010">
            <v>0</v>
          </cell>
          <cell r="H2010" t="str">
            <v>ORD 1850050302</v>
          </cell>
          <cell r="I2010" t="str">
            <v>305046</v>
          </cell>
          <cell r="J2010" t="str">
            <v>CINTAS FIRST AID &amp; SAFETY</v>
          </cell>
          <cell r="K2010">
            <v>275.45</v>
          </cell>
          <cell r="L2010">
            <v>38140</v>
          </cell>
        </row>
        <row r="2011">
          <cell r="A2011" t="str">
            <v>7098648</v>
          </cell>
          <cell r="B2011" t="str">
            <v>691300</v>
          </cell>
          <cell r="C2011" t="str">
            <v>Consultants</v>
          </cell>
          <cell r="D2011" t="str">
            <v>195065</v>
          </cell>
          <cell r="E2011" t="str">
            <v>006</v>
          </cell>
          <cell r="F2011">
            <v>0</v>
          </cell>
          <cell r="G2011" t="str">
            <v>4500004163</v>
          </cell>
          <cell r="H2011" t="str">
            <v>ORD 1850050304</v>
          </cell>
          <cell r="I2011" t="str">
            <v>431568</v>
          </cell>
          <cell r="J2011" t="str">
            <v>GOULD EVANS ASSOCIATES PL</v>
          </cell>
          <cell r="K2011">
            <v>350</v>
          </cell>
          <cell r="L2011">
            <v>38142</v>
          </cell>
        </row>
        <row r="2012">
          <cell r="A2012" t="str">
            <v>7098648</v>
          </cell>
          <cell r="B2012" t="str">
            <v>691300</v>
          </cell>
          <cell r="C2012" t="str">
            <v>Consultants</v>
          </cell>
          <cell r="D2012" t="str">
            <v>161015847</v>
          </cell>
          <cell r="E2012" t="str">
            <v>006</v>
          </cell>
          <cell r="F2012" t="str">
            <v>Commission Tampa Office</v>
          </cell>
          <cell r="G2012">
            <v>0</v>
          </cell>
          <cell r="H2012" t="str">
            <v>ORD 1850050302</v>
          </cell>
          <cell r="I2012" t="str">
            <v>305155</v>
          </cell>
          <cell r="J2012" t="str">
            <v>CUSHMAN &amp; WAKEFIELD OF TEXAS, INC.</v>
          </cell>
          <cell r="K2012">
            <v>62730.85</v>
          </cell>
          <cell r="L2012">
            <v>38146</v>
          </cell>
        </row>
        <row r="2013">
          <cell r="A2013" t="str">
            <v>7098648</v>
          </cell>
          <cell r="B2013" t="str">
            <v>693900</v>
          </cell>
          <cell r="C2013" t="str">
            <v>Other Services</v>
          </cell>
          <cell r="D2013" t="str">
            <v>161016745</v>
          </cell>
          <cell r="E2013" t="str">
            <v>006</v>
          </cell>
          <cell r="F2013">
            <v>0</v>
          </cell>
          <cell r="G2013">
            <v>0</v>
          </cell>
          <cell r="H2013">
            <v>0</v>
          </cell>
          <cell r="I2013" t="str">
            <v>414802</v>
          </cell>
          <cell r="J2013" t="str">
            <v>AMERICAN PEST MANAGEMENT INC.</v>
          </cell>
          <cell r="K2013">
            <v>175</v>
          </cell>
          <cell r="L2013">
            <v>38153</v>
          </cell>
        </row>
        <row r="2014">
          <cell r="A2014" t="str">
            <v>7098648</v>
          </cell>
          <cell r="B2014" t="str">
            <v>700050</v>
          </cell>
          <cell r="C2014" t="str">
            <v>Real Est Maint</v>
          </cell>
          <cell r="D2014" t="str">
            <v>161015477</v>
          </cell>
          <cell r="E2014" t="str">
            <v>006</v>
          </cell>
          <cell r="F2014">
            <v>0</v>
          </cell>
          <cell r="G2014">
            <v>0</v>
          </cell>
          <cell r="H2014" t="str">
            <v>ORD 1850050302</v>
          </cell>
          <cell r="I2014" t="str">
            <v>401474</v>
          </cell>
          <cell r="J2014" t="str">
            <v>GL POLK ELECTRIC INC</v>
          </cell>
          <cell r="K2014">
            <v>347</v>
          </cell>
          <cell r="L2014">
            <v>38139</v>
          </cell>
        </row>
        <row r="2015">
          <cell r="A2015" t="str">
            <v>7098648</v>
          </cell>
          <cell r="B2015" t="str">
            <v>700050</v>
          </cell>
          <cell r="C2015" t="str">
            <v>Real Est Maint</v>
          </cell>
          <cell r="D2015" t="str">
            <v>751001748</v>
          </cell>
          <cell r="E2015" t="str">
            <v>006</v>
          </cell>
          <cell r="F2015" t="str">
            <v>P5 Correct A/P Auto Accural</v>
          </cell>
          <cell r="G2015">
            <v>0</v>
          </cell>
          <cell r="H2015" t="str">
            <v>ORD 1850050302</v>
          </cell>
          <cell r="I2015" t="str">
            <v>620210</v>
          </cell>
          <cell r="J2015" t="str">
            <v>Free-time Activitie</v>
          </cell>
          <cell r="K2015">
            <v>-347</v>
          </cell>
          <cell r="L2015">
            <v>38138</v>
          </cell>
        </row>
        <row r="2016">
          <cell r="A2016" t="str">
            <v>7098648</v>
          </cell>
          <cell r="B2016" t="str">
            <v>700100</v>
          </cell>
          <cell r="C2016" t="str">
            <v>Park &amp; Grds Main</v>
          </cell>
          <cell r="D2016" t="str">
            <v>751001669</v>
          </cell>
          <cell r="E2016" t="str">
            <v>006</v>
          </cell>
          <cell r="F2016" t="str">
            <v>Tampa real property tax - paid annually</v>
          </cell>
          <cell r="G2016">
            <v>0</v>
          </cell>
          <cell r="H2016" t="str">
            <v>ORD 1850050300</v>
          </cell>
          <cell r="I2016" t="str">
            <v>273900</v>
          </cell>
          <cell r="J2016" t="str">
            <v>Other Accr Expenses</v>
          </cell>
          <cell r="K2016">
            <v>-3400</v>
          </cell>
          <cell r="L2016">
            <v>38138</v>
          </cell>
        </row>
        <row r="2017">
          <cell r="A2017" t="str">
            <v>7098648</v>
          </cell>
          <cell r="B2017" t="str">
            <v>700300</v>
          </cell>
          <cell r="C2017" t="str">
            <v>Environm and Refuse</v>
          </cell>
          <cell r="D2017" t="str">
            <v>161016748</v>
          </cell>
          <cell r="E2017" t="str">
            <v>006</v>
          </cell>
          <cell r="F2017">
            <v>0</v>
          </cell>
          <cell r="G2017">
            <v>0</v>
          </cell>
          <cell r="H2017" t="str">
            <v>ORD 1850050304</v>
          </cell>
          <cell r="I2017" t="str">
            <v>324887</v>
          </cell>
          <cell r="J2017" t="str">
            <v>SHRED-IT USA INC dba SHRED-IT</v>
          </cell>
          <cell r="K2017">
            <v>64.2</v>
          </cell>
          <cell r="L2017">
            <v>38153</v>
          </cell>
        </row>
        <row r="2018">
          <cell r="A2018" t="str">
            <v>7098648</v>
          </cell>
          <cell r="B2018" t="str">
            <v>700300</v>
          </cell>
          <cell r="C2018" t="str">
            <v>Environm and Refuse</v>
          </cell>
          <cell r="D2018" t="str">
            <v>161016749</v>
          </cell>
          <cell r="E2018" t="str">
            <v>006</v>
          </cell>
          <cell r="F2018">
            <v>0</v>
          </cell>
          <cell r="G2018">
            <v>0</v>
          </cell>
          <cell r="H2018" t="str">
            <v>ORD 1850050302</v>
          </cell>
          <cell r="I2018" t="str">
            <v>324887</v>
          </cell>
          <cell r="J2018" t="str">
            <v>SHRED-IT USA INC dba SHRED-IT</v>
          </cell>
          <cell r="K2018">
            <v>64.2</v>
          </cell>
          <cell r="L2018">
            <v>38153</v>
          </cell>
        </row>
        <row r="2019">
          <cell r="A2019" t="str">
            <v>7098648</v>
          </cell>
          <cell r="B2019" t="str">
            <v>700300</v>
          </cell>
          <cell r="C2019" t="str">
            <v>Environm and Refuse</v>
          </cell>
          <cell r="D2019" t="str">
            <v>161016750</v>
          </cell>
          <cell r="E2019" t="str">
            <v>006</v>
          </cell>
          <cell r="F2019">
            <v>0</v>
          </cell>
          <cell r="G2019">
            <v>0</v>
          </cell>
          <cell r="H2019" t="str">
            <v>ORD 1850050302</v>
          </cell>
          <cell r="I2019" t="str">
            <v>324887</v>
          </cell>
          <cell r="J2019" t="str">
            <v>SHRED-IT USA INC dba SHRED-IT</v>
          </cell>
          <cell r="K2019">
            <v>64.2</v>
          </cell>
          <cell r="L2019">
            <v>38153</v>
          </cell>
        </row>
        <row r="2020">
          <cell r="A2020" t="str">
            <v>7098648</v>
          </cell>
          <cell r="B2020" t="str">
            <v>700300</v>
          </cell>
          <cell r="C2020" t="str">
            <v>Environm and Refuse</v>
          </cell>
          <cell r="D2020" t="str">
            <v>161016747</v>
          </cell>
          <cell r="E2020" t="str">
            <v>006</v>
          </cell>
          <cell r="F2020">
            <v>0</v>
          </cell>
          <cell r="G2020">
            <v>0</v>
          </cell>
          <cell r="H2020" t="str">
            <v>ORD 1850050303</v>
          </cell>
          <cell r="I2020" t="str">
            <v>324887</v>
          </cell>
          <cell r="J2020" t="str">
            <v>SHRED-IT USA INC dba SHRED-IT</v>
          </cell>
          <cell r="K2020">
            <v>64.2</v>
          </cell>
          <cell r="L2020">
            <v>38153</v>
          </cell>
        </row>
        <row r="2021">
          <cell r="A2021" t="str">
            <v>7098648</v>
          </cell>
          <cell r="B2021" t="str">
            <v>700300</v>
          </cell>
          <cell r="C2021" t="str">
            <v>Environm and Refuse</v>
          </cell>
          <cell r="D2021" t="str">
            <v>161016746</v>
          </cell>
          <cell r="E2021" t="str">
            <v>006</v>
          </cell>
          <cell r="F2021">
            <v>0</v>
          </cell>
          <cell r="G2021">
            <v>0</v>
          </cell>
          <cell r="H2021" t="str">
            <v>ORD 1850050304</v>
          </cell>
          <cell r="I2021" t="str">
            <v>324887</v>
          </cell>
          <cell r="J2021" t="str">
            <v>SHRED-IT USA INC dba SHRED-IT</v>
          </cell>
          <cell r="K2021">
            <v>80.25</v>
          </cell>
          <cell r="L2021">
            <v>38153</v>
          </cell>
        </row>
        <row r="2022">
          <cell r="A2022" t="str">
            <v>7098648</v>
          </cell>
          <cell r="B2022" t="str">
            <v>700600</v>
          </cell>
          <cell r="C2022" t="str">
            <v>Real Estate Rates</v>
          </cell>
          <cell r="D2022" t="str">
            <v>758003900</v>
          </cell>
          <cell r="E2022" t="str">
            <v>006</v>
          </cell>
          <cell r="F2022" t="str">
            <v>RCR#4058 TAMPA PERS PROP TAX ACCRUAL</v>
          </cell>
          <cell r="G2022">
            <v>0</v>
          </cell>
          <cell r="H2022" t="str">
            <v>ORD 1850030205</v>
          </cell>
          <cell r="I2022" t="str">
            <v>280210</v>
          </cell>
          <cell r="J2022" t="str">
            <v>Accrued Property Tax</v>
          </cell>
          <cell r="K2022">
            <v>357.83</v>
          </cell>
          <cell r="L2022">
            <v>38158</v>
          </cell>
        </row>
        <row r="2023">
          <cell r="A2023" t="str">
            <v>7098648</v>
          </cell>
          <cell r="B2023" t="str">
            <v>700600</v>
          </cell>
          <cell r="C2023" t="str">
            <v>Real Estate Rates</v>
          </cell>
          <cell r="D2023" t="str">
            <v>758003900</v>
          </cell>
          <cell r="E2023" t="str">
            <v>006</v>
          </cell>
          <cell r="F2023" t="str">
            <v>RCR#4058 TAMPA PERS PROP TAX ACCRUAL</v>
          </cell>
          <cell r="G2023">
            <v>0</v>
          </cell>
          <cell r="H2023" t="str">
            <v>ORD 1850030206</v>
          </cell>
          <cell r="I2023" t="str">
            <v>280210</v>
          </cell>
          <cell r="J2023" t="str">
            <v>Accrued Property Tax</v>
          </cell>
          <cell r="K2023">
            <v>357.83</v>
          </cell>
          <cell r="L2023">
            <v>38158</v>
          </cell>
        </row>
        <row r="2024">
          <cell r="A2024" t="str">
            <v>7098648</v>
          </cell>
          <cell r="B2024" t="str">
            <v>700600</v>
          </cell>
          <cell r="C2024" t="str">
            <v>Real Estate Rates</v>
          </cell>
          <cell r="D2024" t="str">
            <v>758003900</v>
          </cell>
          <cell r="E2024" t="str">
            <v>006</v>
          </cell>
          <cell r="F2024" t="str">
            <v>RCR#4058 TAMPA PERS PROP TAX ACCRUAL</v>
          </cell>
          <cell r="G2024">
            <v>0</v>
          </cell>
          <cell r="H2024" t="str">
            <v>ORD 1850030203</v>
          </cell>
          <cell r="I2024" t="str">
            <v>280210</v>
          </cell>
          <cell r="J2024" t="str">
            <v>Accrued Property Tax</v>
          </cell>
          <cell r="K2024">
            <v>357.83</v>
          </cell>
          <cell r="L2024">
            <v>38158</v>
          </cell>
        </row>
        <row r="2025">
          <cell r="A2025" t="str">
            <v>7098648</v>
          </cell>
          <cell r="B2025" t="str">
            <v>700800</v>
          </cell>
          <cell r="C2025" t="str">
            <v>Electricity and Gas</v>
          </cell>
          <cell r="D2025" t="str">
            <v>496024059</v>
          </cell>
          <cell r="E2025" t="str">
            <v>006</v>
          </cell>
          <cell r="F2025" t="str">
            <v>*ACCT#0251 0381476  TECO  6/04</v>
          </cell>
          <cell r="G2025">
            <v>0</v>
          </cell>
          <cell r="H2025" t="str">
            <v>ORD 1850050303</v>
          </cell>
          <cell r="I2025" t="str">
            <v>334802</v>
          </cell>
          <cell r="J2025" t="str">
            <v>TAMPA ELECTRIC CO</v>
          </cell>
          <cell r="K2025">
            <v>627.66999999999996</v>
          </cell>
          <cell r="L2025">
            <v>38161</v>
          </cell>
        </row>
        <row r="2026">
          <cell r="A2026" t="str">
            <v>7098648</v>
          </cell>
          <cell r="B2026" t="str">
            <v>700800</v>
          </cell>
          <cell r="C2026" t="str">
            <v>Electricity and Gas</v>
          </cell>
          <cell r="D2026" t="str">
            <v>496024062</v>
          </cell>
          <cell r="E2026" t="str">
            <v>006</v>
          </cell>
          <cell r="F2026" t="str">
            <v>*ACCT#0251 0381986  TECO  6/04</v>
          </cell>
          <cell r="G2026">
            <v>0</v>
          </cell>
          <cell r="H2026" t="str">
            <v>ORD 1850050303</v>
          </cell>
          <cell r="I2026" t="str">
            <v>334802</v>
          </cell>
          <cell r="J2026" t="str">
            <v>TAMPA ELECTRIC CO</v>
          </cell>
          <cell r="K2026">
            <v>705.12</v>
          </cell>
          <cell r="L2026">
            <v>38161</v>
          </cell>
        </row>
        <row r="2027">
          <cell r="A2027" t="str">
            <v>7098648</v>
          </cell>
          <cell r="B2027" t="str">
            <v>700800</v>
          </cell>
          <cell r="C2027" t="str">
            <v>Electricity and Gas</v>
          </cell>
          <cell r="D2027" t="str">
            <v>496024056</v>
          </cell>
          <cell r="E2027" t="str">
            <v>006</v>
          </cell>
          <cell r="F2027" t="str">
            <v>*ACCT#0251 0505700  TECO</v>
          </cell>
          <cell r="G2027">
            <v>0</v>
          </cell>
          <cell r="H2027" t="str">
            <v>ORD 1850050302</v>
          </cell>
          <cell r="I2027" t="str">
            <v>334802</v>
          </cell>
          <cell r="J2027" t="str">
            <v>TAMPA ELECTRIC CO</v>
          </cell>
          <cell r="K2027">
            <v>3822.18</v>
          </cell>
          <cell r="L2027">
            <v>38161</v>
          </cell>
        </row>
        <row r="2028">
          <cell r="A2028" t="str">
            <v>7098648</v>
          </cell>
          <cell r="B2028" t="str">
            <v>700800</v>
          </cell>
          <cell r="C2028" t="str">
            <v>Electricity and Gas</v>
          </cell>
          <cell r="D2028" t="str">
            <v>496024060</v>
          </cell>
          <cell r="E2028" t="str">
            <v>006</v>
          </cell>
          <cell r="F2028" t="str">
            <v>*ACCT#0241 0507752  TECO  6/04</v>
          </cell>
          <cell r="G2028">
            <v>0</v>
          </cell>
          <cell r="H2028" t="str">
            <v>ORD 1850050304</v>
          </cell>
          <cell r="I2028" t="str">
            <v>334802</v>
          </cell>
          <cell r="J2028" t="str">
            <v>TAMPA ELECTRIC CO</v>
          </cell>
          <cell r="K2028">
            <v>5580.88</v>
          </cell>
          <cell r="L2028">
            <v>38161</v>
          </cell>
        </row>
        <row r="2029">
          <cell r="A2029" t="str">
            <v>7098648</v>
          </cell>
          <cell r="B2029" t="str">
            <v>700800</v>
          </cell>
          <cell r="C2029" t="str">
            <v>Electricity and Gas</v>
          </cell>
          <cell r="D2029" t="str">
            <v>751001669</v>
          </cell>
          <cell r="E2029" t="str">
            <v>006</v>
          </cell>
          <cell r="F2029" t="str">
            <v>Tampa Electricity</v>
          </cell>
          <cell r="G2029">
            <v>0</v>
          </cell>
          <cell r="H2029" t="str">
            <v>ORD 1850050304</v>
          </cell>
          <cell r="I2029" t="str">
            <v>273900</v>
          </cell>
          <cell r="J2029" t="str">
            <v>Other Accr Expenses</v>
          </cell>
          <cell r="K2029">
            <v>-11610.14</v>
          </cell>
          <cell r="L2029">
            <v>38138</v>
          </cell>
        </row>
        <row r="2030">
          <cell r="A2030" t="str">
            <v>7098648</v>
          </cell>
          <cell r="B2030" t="str">
            <v>700800</v>
          </cell>
          <cell r="C2030" t="str">
            <v>Electricity and Gas</v>
          </cell>
          <cell r="D2030" t="str">
            <v>751001669</v>
          </cell>
          <cell r="E2030" t="str">
            <v>006</v>
          </cell>
          <cell r="F2030" t="str">
            <v>Tampa Electricity</v>
          </cell>
          <cell r="G2030">
            <v>0</v>
          </cell>
          <cell r="H2030" t="str">
            <v>ORD 1850050302</v>
          </cell>
          <cell r="I2030" t="str">
            <v>273900</v>
          </cell>
          <cell r="J2030" t="str">
            <v>Other Accr Expenses</v>
          </cell>
          <cell r="K2030">
            <v>-11758.8</v>
          </cell>
          <cell r="L2030">
            <v>38138</v>
          </cell>
        </row>
        <row r="2031">
          <cell r="A2031" t="str">
            <v>7098648</v>
          </cell>
          <cell r="B2031" t="str">
            <v>700800</v>
          </cell>
          <cell r="C2031" t="str">
            <v>Electricity and Gas</v>
          </cell>
          <cell r="D2031" t="str">
            <v>751001669</v>
          </cell>
          <cell r="E2031" t="str">
            <v>006</v>
          </cell>
          <cell r="F2031" t="str">
            <v>Tampa Electricity</v>
          </cell>
          <cell r="G2031">
            <v>0</v>
          </cell>
          <cell r="H2031" t="str">
            <v>ORD 1850050303</v>
          </cell>
          <cell r="I2031" t="str">
            <v>273900</v>
          </cell>
          <cell r="J2031" t="str">
            <v>Other Accr Expenses</v>
          </cell>
          <cell r="K2031">
            <v>-1237.5</v>
          </cell>
          <cell r="L2031">
            <v>38138</v>
          </cell>
        </row>
        <row r="2032">
          <cell r="A2032" t="str">
            <v>7098648</v>
          </cell>
          <cell r="B2032" t="str">
            <v>700800</v>
          </cell>
          <cell r="C2032" t="str">
            <v>Electricity and Gas</v>
          </cell>
          <cell r="D2032" t="str">
            <v>751001669</v>
          </cell>
          <cell r="E2032" t="str">
            <v>006</v>
          </cell>
          <cell r="F2032" t="str">
            <v>Tampa Electricity</v>
          </cell>
          <cell r="G2032">
            <v>0</v>
          </cell>
          <cell r="H2032" t="str">
            <v>ORD 1850050303</v>
          </cell>
          <cell r="I2032" t="str">
            <v>273900</v>
          </cell>
          <cell r="J2032" t="str">
            <v>Other Accr Expenses</v>
          </cell>
          <cell r="K2032">
            <v>-3328.05</v>
          </cell>
          <cell r="L2032">
            <v>38138</v>
          </cell>
        </row>
        <row r="2033">
          <cell r="A2033" t="str">
            <v>7098648</v>
          </cell>
          <cell r="B2033" t="str">
            <v>709900</v>
          </cell>
          <cell r="C2033" t="str">
            <v>Oth Maintainance Exp</v>
          </cell>
          <cell r="D2033" t="str">
            <v>751001748</v>
          </cell>
          <cell r="E2033" t="str">
            <v>006</v>
          </cell>
          <cell r="F2033" t="str">
            <v>P5 Correct A/P Auto Accural</v>
          </cell>
          <cell r="G2033">
            <v>0</v>
          </cell>
          <cell r="H2033">
            <v>0</v>
          </cell>
          <cell r="I2033" t="str">
            <v>620110</v>
          </cell>
          <cell r="J2033" t="str">
            <v>Canteen Expenses</v>
          </cell>
          <cell r="K2033">
            <v>347</v>
          </cell>
          <cell r="L2033">
            <v>38138</v>
          </cell>
        </row>
        <row r="2034">
          <cell r="A2034" t="str">
            <v>7098648</v>
          </cell>
          <cell r="B2034" t="str">
            <v>709900</v>
          </cell>
          <cell r="C2034" t="str">
            <v>Oth Maintainance Exp</v>
          </cell>
          <cell r="D2034" t="str">
            <v>150000526</v>
          </cell>
          <cell r="E2034" t="str">
            <v>006</v>
          </cell>
          <cell r="F2034">
            <v>0</v>
          </cell>
          <cell r="G2034">
            <v>0</v>
          </cell>
          <cell r="H2034">
            <v>0</v>
          </cell>
          <cell r="I2034" t="str">
            <v>230410</v>
          </cell>
          <cell r="J2034" t="str">
            <v>Auto Tr Payab Ac Ext</v>
          </cell>
          <cell r="K2034">
            <v>-347</v>
          </cell>
          <cell r="L2034">
            <v>38153</v>
          </cell>
        </row>
        <row r="2035">
          <cell r="A2035" t="str">
            <v>7098648</v>
          </cell>
          <cell r="B2035" t="str">
            <v>710000</v>
          </cell>
          <cell r="C2035" t="str">
            <v>Rents Premises Ext</v>
          </cell>
          <cell r="D2035" t="str">
            <v>758003821</v>
          </cell>
          <cell r="E2035" t="str">
            <v>006</v>
          </cell>
          <cell r="F2035" t="str">
            <v>RCR#3017-TAMPA CAM AND STAX-8176 WOODLAND</v>
          </cell>
          <cell r="G2035">
            <v>0</v>
          </cell>
          <cell r="H2035" t="str">
            <v>ORD 1850050303</v>
          </cell>
          <cell r="I2035" t="str">
            <v>170400</v>
          </cell>
          <cell r="J2035" t="str">
            <v>Prepaid Rents</v>
          </cell>
          <cell r="K2035">
            <v>4757.99</v>
          </cell>
          <cell r="L2035">
            <v>38158</v>
          </cell>
        </row>
        <row r="2036">
          <cell r="A2036" t="str">
            <v>7098648</v>
          </cell>
          <cell r="B2036" t="str">
            <v>710000</v>
          </cell>
          <cell r="C2036" t="str">
            <v>Rents Premises Ext</v>
          </cell>
          <cell r="D2036" t="str">
            <v>758003821</v>
          </cell>
          <cell r="E2036" t="str">
            <v>006</v>
          </cell>
          <cell r="F2036" t="str">
            <v>RCR#3017-TAMPA SL RENT-8176 WOODLAND</v>
          </cell>
          <cell r="G2036">
            <v>0</v>
          </cell>
          <cell r="H2036" t="str">
            <v>ORD 1850050303</v>
          </cell>
          <cell r="I2036" t="str">
            <v>170400</v>
          </cell>
          <cell r="J2036" t="str">
            <v>Prepaid Rents</v>
          </cell>
          <cell r="K2036">
            <v>5785.76</v>
          </cell>
          <cell r="L2036">
            <v>38158</v>
          </cell>
        </row>
        <row r="2037">
          <cell r="A2037" t="str">
            <v>7098648</v>
          </cell>
          <cell r="B2037" t="str">
            <v>710000</v>
          </cell>
          <cell r="C2037" t="str">
            <v>Rents Premises Ext</v>
          </cell>
          <cell r="D2037" t="str">
            <v>758003822</v>
          </cell>
          <cell r="E2037" t="str">
            <v>006</v>
          </cell>
          <cell r="F2037" t="str">
            <v>RCR#3018-TAMPA CAM &amp; STAX-4630 WOODLAND</v>
          </cell>
          <cell r="G2037">
            <v>0</v>
          </cell>
          <cell r="H2037" t="str">
            <v>ORD 1850050304</v>
          </cell>
          <cell r="I2037" t="str">
            <v>170400</v>
          </cell>
          <cell r="J2037" t="str">
            <v>Prepaid Rents</v>
          </cell>
          <cell r="K2037">
            <v>14157.1</v>
          </cell>
          <cell r="L2037">
            <v>38158</v>
          </cell>
        </row>
        <row r="2038">
          <cell r="A2038" t="str">
            <v>7098648</v>
          </cell>
          <cell r="B2038" t="str">
            <v>710000</v>
          </cell>
          <cell r="C2038" t="str">
            <v>Rents Premises Ext</v>
          </cell>
          <cell r="D2038" t="str">
            <v>758003822</v>
          </cell>
          <cell r="E2038" t="str">
            <v>006</v>
          </cell>
          <cell r="F2038" t="str">
            <v>RCR#3018-TAMPA SL RENT-4630 WOODLAND</v>
          </cell>
          <cell r="G2038">
            <v>0</v>
          </cell>
          <cell r="H2038" t="str">
            <v>ORD 1850050304</v>
          </cell>
          <cell r="I2038" t="str">
            <v>170400</v>
          </cell>
          <cell r="J2038" t="str">
            <v>Prepaid Rents</v>
          </cell>
          <cell r="K2038">
            <v>24811.98</v>
          </cell>
          <cell r="L2038">
            <v>38158</v>
          </cell>
        </row>
        <row r="2039">
          <cell r="A2039" t="str">
            <v>7098648</v>
          </cell>
          <cell r="B2039" t="str">
            <v>719000</v>
          </cell>
          <cell r="C2039" t="str">
            <v>Rents and Leases, Ma</v>
          </cell>
          <cell r="D2039" t="str">
            <v>161016968</v>
          </cell>
          <cell r="E2039" t="str">
            <v>006</v>
          </cell>
          <cell r="F2039">
            <v>0</v>
          </cell>
          <cell r="G2039">
            <v>0</v>
          </cell>
          <cell r="H2039" t="str">
            <v>ORD 1850050302</v>
          </cell>
          <cell r="I2039" t="str">
            <v>321184</v>
          </cell>
          <cell r="J2039" t="str">
            <v>DANKA</v>
          </cell>
          <cell r="K2039">
            <v>399.87</v>
          </cell>
          <cell r="L2039">
            <v>38153</v>
          </cell>
        </row>
        <row r="2040">
          <cell r="A2040" t="str">
            <v>7098648</v>
          </cell>
          <cell r="B2040" t="str">
            <v>719100</v>
          </cell>
          <cell r="C2040" t="str">
            <v>Rents and Leases, Eq</v>
          </cell>
          <cell r="D2040" t="str">
            <v>161016744</v>
          </cell>
          <cell r="E2040" t="str">
            <v>006</v>
          </cell>
          <cell r="F2040">
            <v>0</v>
          </cell>
          <cell r="G2040">
            <v>0</v>
          </cell>
          <cell r="H2040" t="str">
            <v>ORD 1850050303</v>
          </cell>
          <cell r="I2040" t="str">
            <v>325500</v>
          </cell>
          <cell r="J2040" t="str">
            <v>XEROX CORPORATION</v>
          </cell>
          <cell r="K2040">
            <v>100.75</v>
          </cell>
          <cell r="L2040">
            <v>38153</v>
          </cell>
        </row>
        <row r="2041">
          <cell r="A2041" t="str">
            <v>7098648</v>
          </cell>
          <cell r="B2041" t="str">
            <v>719100</v>
          </cell>
          <cell r="C2041" t="str">
            <v>Rents and Leases, Eq</v>
          </cell>
          <cell r="D2041" t="str">
            <v>161016751</v>
          </cell>
          <cell r="E2041" t="str">
            <v>006</v>
          </cell>
          <cell r="F2041">
            <v>0</v>
          </cell>
          <cell r="G2041">
            <v>0</v>
          </cell>
          <cell r="H2041" t="str">
            <v>ORD 1850050303</v>
          </cell>
          <cell r="I2041" t="str">
            <v>400212</v>
          </cell>
          <cell r="J2041" t="str">
            <v>XEROX CORPORATION</v>
          </cell>
          <cell r="K2041">
            <v>478.6</v>
          </cell>
          <cell r="L2041">
            <v>38153</v>
          </cell>
        </row>
        <row r="2042">
          <cell r="A2042" t="str">
            <v>7098648</v>
          </cell>
          <cell r="B2042" t="str">
            <v>719100</v>
          </cell>
          <cell r="C2042" t="str">
            <v>Rents and Leases, Eq</v>
          </cell>
          <cell r="D2042" t="str">
            <v>161016742</v>
          </cell>
          <cell r="E2042" t="str">
            <v>006</v>
          </cell>
          <cell r="F2042" t="str">
            <v>*CUST# 701104580 01/04*</v>
          </cell>
          <cell r="G2042">
            <v>0</v>
          </cell>
          <cell r="H2042" t="str">
            <v>ORD 1850050303</v>
          </cell>
          <cell r="I2042" t="str">
            <v>325499</v>
          </cell>
          <cell r="J2042" t="str">
            <v>XEROX CORPORATION</v>
          </cell>
          <cell r="K2042">
            <v>478.6</v>
          </cell>
          <cell r="L2042">
            <v>38153</v>
          </cell>
        </row>
        <row r="2043">
          <cell r="A2043" t="str">
            <v>7098648</v>
          </cell>
          <cell r="B2043" t="str">
            <v>719100</v>
          </cell>
          <cell r="C2043" t="str">
            <v>Rents and Leases, Eq</v>
          </cell>
          <cell r="D2043" t="str">
            <v>161016743</v>
          </cell>
          <cell r="E2043" t="str">
            <v>006</v>
          </cell>
          <cell r="F2043" t="str">
            <v>*CUST# 701104580 02/04*</v>
          </cell>
          <cell r="G2043">
            <v>0</v>
          </cell>
          <cell r="H2043" t="str">
            <v>ORD 1850050303</v>
          </cell>
          <cell r="I2043" t="str">
            <v>400212</v>
          </cell>
          <cell r="J2043" t="str">
            <v>XEROX CORPORATION</v>
          </cell>
          <cell r="K2043">
            <v>2050.89</v>
          </cell>
          <cell r="L2043">
            <v>38153</v>
          </cell>
        </row>
        <row r="2044">
          <cell r="A2044" t="str">
            <v>7098648</v>
          </cell>
          <cell r="B2044" t="str">
            <v>784000</v>
          </cell>
          <cell r="C2044" t="str">
            <v>Amort Oth Int Assets</v>
          </cell>
          <cell r="D2044" t="str">
            <v>11502480</v>
          </cell>
          <cell r="E2044" t="str">
            <v>006</v>
          </cell>
          <cell r="F2044" t="str">
            <v>AFB01200400601-0011502480</v>
          </cell>
          <cell r="G2044">
            <v>0</v>
          </cell>
          <cell r="H2044" t="str">
            <v>ORD 1850050302</v>
          </cell>
          <cell r="I2044" t="str">
            <v>107110</v>
          </cell>
          <cell r="J2044" t="str">
            <v>Oth Intang Acc Depr</v>
          </cell>
          <cell r="K2044">
            <v>249.56</v>
          </cell>
          <cell r="L2044">
            <v>38163</v>
          </cell>
        </row>
        <row r="2045">
          <cell r="A2045" t="str">
            <v>7098648</v>
          </cell>
          <cell r="B2045" t="str">
            <v>784000</v>
          </cell>
          <cell r="C2045" t="str">
            <v>Amort Oth Int Assets</v>
          </cell>
          <cell r="D2045" t="str">
            <v>11502480</v>
          </cell>
          <cell r="E2045" t="str">
            <v>006</v>
          </cell>
          <cell r="F2045" t="str">
            <v>AFB01200400601-0011502480</v>
          </cell>
          <cell r="G2045">
            <v>0</v>
          </cell>
          <cell r="H2045" t="str">
            <v>ORD 1850050303</v>
          </cell>
          <cell r="I2045" t="str">
            <v>107110</v>
          </cell>
          <cell r="J2045" t="str">
            <v>Oth Intang Acc Depr</v>
          </cell>
          <cell r="K2045">
            <v>1481.64</v>
          </cell>
          <cell r="L2045">
            <v>38163</v>
          </cell>
        </row>
        <row r="2046">
          <cell r="A2046" t="str">
            <v>7098648</v>
          </cell>
          <cell r="B2046" t="str">
            <v>784000</v>
          </cell>
          <cell r="C2046" t="str">
            <v>Amort Oth Int Assets</v>
          </cell>
          <cell r="D2046" t="str">
            <v>11502480</v>
          </cell>
          <cell r="E2046" t="str">
            <v>006</v>
          </cell>
          <cell r="F2046" t="str">
            <v>AFB01200400601-0011502480</v>
          </cell>
          <cell r="G2046">
            <v>0</v>
          </cell>
          <cell r="H2046" t="str">
            <v>ORD 1850050304</v>
          </cell>
          <cell r="I2046" t="str">
            <v>107110</v>
          </cell>
          <cell r="J2046" t="str">
            <v>Oth Intang Acc Depr</v>
          </cell>
          <cell r="K2046">
            <v>8498.7000000000007</v>
          </cell>
          <cell r="L2046">
            <v>38163</v>
          </cell>
        </row>
        <row r="2047">
          <cell r="A2047" t="str">
            <v>7098648</v>
          </cell>
          <cell r="B2047" t="str">
            <v>786900</v>
          </cell>
          <cell r="C2047" t="str">
            <v>Depr Oth Mach, Equip</v>
          </cell>
          <cell r="D2047" t="str">
            <v>11502485</v>
          </cell>
          <cell r="E2047" t="str">
            <v>006</v>
          </cell>
          <cell r="F2047" t="str">
            <v>AFB01200400601-0011502485</v>
          </cell>
          <cell r="G2047">
            <v>0</v>
          </cell>
          <cell r="H2047">
            <v>0</v>
          </cell>
          <cell r="I2047" t="str">
            <v>170710</v>
          </cell>
          <cell r="J2047" t="str">
            <v>Deferred Exps Moulds</v>
          </cell>
          <cell r="K2047">
            <v>713.71</v>
          </cell>
          <cell r="L2047">
            <v>38163</v>
          </cell>
        </row>
        <row r="2048">
          <cell r="A2048" t="str">
            <v>7098648</v>
          </cell>
          <cell r="B2048" t="str">
            <v>786900</v>
          </cell>
          <cell r="C2048" t="str">
            <v>Depr Oth Mach, Equip</v>
          </cell>
          <cell r="D2048" t="str">
            <v>11502485</v>
          </cell>
          <cell r="E2048" t="str">
            <v>006</v>
          </cell>
          <cell r="F2048" t="str">
            <v>AFB01200400601-0011502485</v>
          </cell>
          <cell r="G2048">
            <v>0</v>
          </cell>
          <cell r="H2048" t="str">
            <v>ORD 1850050304</v>
          </cell>
          <cell r="I2048" t="str">
            <v>170710</v>
          </cell>
          <cell r="J2048" t="str">
            <v>Deferred Exps Moulds</v>
          </cell>
          <cell r="K2048">
            <v>3719.89</v>
          </cell>
          <cell r="L2048">
            <v>38163</v>
          </cell>
        </row>
        <row r="2049">
          <cell r="A2049" t="str">
            <v>7098648</v>
          </cell>
          <cell r="B2049" t="str">
            <v>786900</v>
          </cell>
          <cell r="C2049" t="str">
            <v>Depr Oth Mach, Equip</v>
          </cell>
          <cell r="D2049" t="str">
            <v>11502485</v>
          </cell>
          <cell r="E2049" t="str">
            <v>006</v>
          </cell>
          <cell r="F2049" t="str">
            <v>AFB01200400601-0011502485</v>
          </cell>
          <cell r="G2049">
            <v>0</v>
          </cell>
          <cell r="H2049" t="str">
            <v>ORD 1850050303</v>
          </cell>
          <cell r="I2049" t="str">
            <v>170710</v>
          </cell>
          <cell r="J2049" t="str">
            <v>Deferred Exps Moulds</v>
          </cell>
          <cell r="K2049">
            <v>3733.27</v>
          </cell>
          <cell r="L2049">
            <v>38163</v>
          </cell>
        </row>
        <row r="2050">
          <cell r="A2050" t="str">
            <v>7098648</v>
          </cell>
          <cell r="B2050" t="str">
            <v>786900</v>
          </cell>
          <cell r="C2050" t="str">
            <v>Depr Oth Mach, Equip</v>
          </cell>
          <cell r="D2050" t="str">
            <v>11502485</v>
          </cell>
          <cell r="E2050" t="str">
            <v>006</v>
          </cell>
          <cell r="F2050" t="str">
            <v>AFB01200400601-0011502485</v>
          </cell>
          <cell r="G2050">
            <v>0</v>
          </cell>
          <cell r="H2050" t="str">
            <v>ORD 1850050302</v>
          </cell>
          <cell r="I2050" t="str">
            <v>170710</v>
          </cell>
          <cell r="J2050" t="str">
            <v>Deferred Exps Moulds</v>
          </cell>
          <cell r="K2050">
            <v>6670.41</v>
          </cell>
          <cell r="L2050">
            <v>38163</v>
          </cell>
        </row>
        <row r="2051">
          <cell r="A2051" t="str">
            <v>7098648</v>
          </cell>
          <cell r="B2051" t="str">
            <v>792000</v>
          </cell>
          <cell r="C2051" t="str">
            <v>Loss Retir FA Ext</v>
          </cell>
          <cell r="D2051" t="str">
            <v>9764</v>
          </cell>
          <cell r="E2051" t="str">
            <v>006</v>
          </cell>
          <cell r="F2051" t="str">
            <v>P6 Write-off Scrapped Asset from Tampa Facility</v>
          </cell>
          <cell r="G2051">
            <v>0</v>
          </cell>
          <cell r="H2051">
            <v>0</v>
          </cell>
          <cell r="I2051" t="str">
            <v>107100</v>
          </cell>
          <cell r="J2051" t="str">
            <v>Oth Intang Acq Costs</v>
          </cell>
          <cell r="K2051">
            <v>1917.86</v>
          </cell>
          <cell r="L2051">
            <v>38141</v>
          </cell>
        </row>
        <row r="2052">
          <cell r="A2052" t="str">
            <v>7098648</v>
          </cell>
          <cell r="B2052" t="str">
            <v>792000</v>
          </cell>
          <cell r="C2052" t="str">
            <v>Loss Retir FA Ext</v>
          </cell>
          <cell r="D2052" t="str">
            <v>9765</v>
          </cell>
          <cell r="E2052" t="str">
            <v>006</v>
          </cell>
          <cell r="F2052" t="str">
            <v>P6 Write-off Scrapped Asset from Tampa Facility</v>
          </cell>
          <cell r="G2052">
            <v>0</v>
          </cell>
          <cell r="H2052">
            <v>0</v>
          </cell>
          <cell r="I2052" t="str">
            <v>107100</v>
          </cell>
          <cell r="J2052" t="str">
            <v>Oth Intang Acq Costs</v>
          </cell>
          <cell r="K2052">
            <v>2416.4499999999998</v>
          </cell>
          <cell r="L2052">
            <v>38141</v>
          </cell>
        </row>
        <row r="2053">
          <cell r="A2053" t="str">
            <v>7098648</v>
          </cell>
          <cell r="B2053" t="str">
            <v>792000</v>
          </cell>
          <cell r="C2053" t="str">
            <v>Loss Retir FA Ext</v>
          </cell>
          <cell r="D2053" t="str">
            <v>9768</v>
          </cell>
          <cell r="E2053" t="str">
            <v>006</v>
          </cell>
          <cell r="F2053" t="str">
            <v>P6 Write-off Scrapped Asset from Tampa Facility</v>
          </cell>
          <cell r="G2053">
            <v>0</v>
          </cell>
          <cell r="H2053">
            <v>0</v>
          </cell>
          <cell r="I2053" t="str">
            <v>112900</v>
          </cell>
          <cell r="J2053" t="str">
            <v>Ot Mach&amp;Eq Acq Cost</v>
          </cell>
          <cell r="K2053">
            <v>4173.32</v>
          </cell>
          <cell r="L2053">
            <v>38141</v>
          </cell>
        </row>
        <row r="2054">
          <cell r="A2054" t="str">
            <v>7098648</v>
          </cell>
          <cell r="B2054" t="str">
            <v>792000</v>
          </cell>
          <cell r="C2054" t="str">
            <v>Loss Retir FA Ext</v>
          </cell>
          <cell r="D2054" t="str">
            <v>9766</v>
          </cell>
          <cell r="E2054" t="str">
            <v>006</v>
          </cell>
          <cell r="F2054" t="str">
            <v>P6 Write-off Scrapped Asset from Tampa Facility</v>
          </cell>
          <cell r="G2054">
            <v>0</v>
          </cell>
          <cell r="H2054">
            <v>0</v>
          </cell>
          <cell r="I2054" t="str">
            <v>107100</v>
          </cell>
          <cell r="J2054" t="str">
            <v>Oth Intang Acq Costs</v>
          </cell>
          <cell r="K2054">
            <v>4511.0200000000004</v>
          </cell>
          <cell r="L2054">
            <v>38141</v>
          </cell>
        </row>
        <row r="2055">
          <cell r="A2055" t="str">
            <v>7098648</v>
          </cell>
          <cell r="B2055" t="str">
            <v>792000</v>
          </cell>
          <cell r="C2055" t="str">
            <v>Loss Retir FA Ext</v>
          </cell>
          <cell r="D2055" t="str">
            <v>9767</v>
          </cell>
          <cell r="E2055" t="str">
            <v>006</v>
          </cell>
          <cell r="F2055" t="str">
            <v>P6 Write-off Scrapped Asset from Tampa Facility</v>
          </cell>
          <cell r="G2055">
            <v>0</v>
          </cell>
          <cell r="H2055">
            <v>0</v>
          </cell>
          <cell r="I2055" t="str">
            <v>112900</v>
          </cell>
          <cell r="J2055" t="str">
            <v>Ot Mach&amp;Eq Acq Cost</v>
          </cell>
          <cell r="K2055">
            <v>6008.65</v>
          </cell>
          <cell r="L2055">
            <v>38141</v>
          </cell>
        </row>
        <row r="2056">
          <cell r="A2056" t="str">
            <v>7098648 Total</v>
          </cell>
          <cell r="K2056">
            <v>143183.07999999999</v>
          </cell>
        </row>
        <row r="2057">
          <cell r="A2057" t="str">
            <v>7098649</v>
          </cell>
          <cell r="B2057" t="str">
            <v>620110</v>
          </cell>
          <cell r="C2057" t="str">
            <v>Canteen Expenses</v>
          </cell>
          <cell r="D2057" t="str">
            <v>161016085</v>
          </cell>
          <cell r="E2057" t="str">
            <v>006</v>
          </cell>
          <cell r="F2057">
            <v>0</v>
          </cell>
          <cell r="G2057">
            <v>0</v>
          </cell>
          <cell r="H2057" t="str">
            <v>ORD 1850130201</v>
          </cell>
          <cell r="I2057" t="str">
            <v>410805</v>
          </cell>
          <cell r="J2057" t="str">
            <v>CAPTAIN VENDING SERVICES</v>
          </cell>
          <cell r="K2057">
            <v>359.95</v>
          </cell>
          <cell r="L2057">
            <v>38146</v>
          </cell>
        </row>
        <row r="2058">
          <cell r="A2058" t="str">
            <v>7098649</v>
          </cell>
          <cell r="B2058" t="str">
            <v>680000</v>
          </cell>
          <cell r="C2058" t="str">
            <v>Office Suppl &amp; Equip</v>
          </cell>
          <cell r="D2058" t="str">
            <v>793018413</v>
          </cell>
          <cell r="E2058" t="str">
            <v>006</v>
          </cell>
          <cell r="F2058" t="str">
            <v>Duncan</v>
          </cell>
          <cell r="G2058">
            <v>0</v>
          </cell>
          <cell r="H2058">
            <v>0</v>
          </cell>
          <cell r="I2058" t="str">
            <v>10037808</v>
          </cell>
          <cell r="J2058" t="str">
            <v>KIMBER DUNCAN</v>
          </cell>
          <cell r="K2058">
            <v>65.12</v>
          </cell>
          <cell r="L2058">
            <v>38146</v>
          </cell>
        </row>
        <row r="2059">
          <cell r="A2059" t="str">
            <v>7098649</v>
          </cell>
          <cell r="B2059" t="str">
            <v>680000</v>
          </cell>
          <cell r="C2059" t="str">
            <v>Office Suppl &amp; Equip</v>
          </cell>
          <cell r="D2059" t="str">
            <v>161016123</v>
          </cell>
          <cell r="E2059" t="str">
            <v>006</v>
          </cell>
          <cell r="F2059" t="str">
            <v>April- May</v>
          </cell>
          <cell r="G2059">
            <v>0</v>
          </cell>
          <cell r="H2059" t="str">
            <v>ORD 1850130201</v>
          </cell>
          <cell r="I2059" t="str">
            <v>303748</v>
          </cell>
          <cell r="J2059" t="str">
            <v>IKON OFFICE SOLUTIONS</v>
          </cell>
          <cell r="K2059">
            <v>1060.07</v>
          </cell>
          <cell r="L2059">
            <v>38146</v>
          </cell>
        </row>
        <row r="2060">
          <cell r="A2060" t="str">
            <v>7098649</v>
          </cell>
          <cell r="B2060" t="str">
            <v>681000</v>
          </cell>
          <cell r="C2060" t="str">
            <v>Postal Courier Serv</v>
          </cell>
          <cell r="D2060" t="str">
            <v>360001133</v>
          </cell>
          <cell r="E2060" t="str">
            <v>006</v>
          </cell>
          <cell r="F2060" t="str">
            <v>Fedex# 2490-6798-9</v>
          </cell>
          <cell r="G2060">
            <v>0</v>
          </cell>
          <cell r="H2060">
            <v>0</v>
          </cell>
          <cell r="I2060" t="str">
            <v>321492</v>
          </cell>
          <cell r="J2060" t="str">
            <v>FEDERAL EXPRESS CORP</v>
          </cell>
          <cell r="K2060">
            <v>46.55</v>
          </cell>
          <cell r="L2060">
            <v>38160</v>
          </cell>
        </row>
        <row r="2061">
          <cell r="A2061" t="str">
            <v>7098649</v>
          </cell>
          <cell r="B2061" t="str">
            <v>681000</v>
          </cell>
          <cell r="C2061" t="str">
            <v>Postal Courier Serv</v>
          </cell>
          <cell r="D2061" t="str">
            <v>360001133</v>
          </cell>
          <cell r="E2061" t="str">
            <v>006</v>
          </cell>
          <cell r="F2061" t="str">
            <v>Fedex# 2037-4282-7</v>
          </cell>
          <cell r="G2061">
            <v>0</v>
          </cell>
          <cell r="H2061">
            <v>0</v>
          </cell>
          <cell r="I2061" t="str">
            <v>321492</v>
          </cell>
          <cell r="J2061" t="str">
            <v>FEDERAL EXPRESS CORP</v>
          </cell>
          <cell r="K2061">
            <v>51.13</v>
          </cell>
          <cell r="L2061">
            <v>38160</v>
          </cell>
        </row>
        <row r="2062">
          <cell r="A2062" t="str">
            <v>7098649</v>
          </cell>
          <cell r="B2062" t="str">
            <v>681000</v>
          </cell>
          <cell r="C2062" t="str">
            <v>Postal Courier Serv</v>
          </cell>
          <cell r="D2062" t="str">
            <v>751001748</v>
          </cell>
          <cell r="E2062" t="str">
            <v>006</v>
          </cell>
          <cell r="F2062" t="str">
            <v>P5 Correct A/P Auto Accural</v>
          </cell>
          <cell r="G2062">
            <v>0</v>
          </cell>
          <cell r="H2062" t="str">
            <v>ORD 1850130200</v>
          </cell>
          <cell r="I2062" t="str">
            <v>620210</v>
          </cell>
          <cell r="J2062" t="str">
            <v>Free-time Activitie</v>
          </cell>
          <cell r="K2062">
            <v>-6381</v>
          </cell>
          <cell r="L2062">
            <v>38138</v>
          </cell>
        </row>
        <row r="2063">
          <cell r="A2063" t="str">
            <v>7098649</v>
          </cell>
          <cell r="B2063" t="str">
            <v>691300</v>
          </cell>
          <cell r="C2063" t="str">
            <v>Consultants</v>
          </cell>
          <cell r="D2063" t="str">
            <v>751001748</v>
          </cell>
          <cell r="E2063" t="str">
            <v>006</v>
          </cell>
          <cell r="F2063" t="str">
            <v>P5 Correct A/P Auto Accural</v>
          </cell>
          <cell r="G2063">
            <v>0</v>
          </cell>
          <cell r="H2063" t="str">
            <v>ORD 1850130201</v>
          </cell>
          <cell r="I2063" t="str">
            <v>620210</v>
          </cell>
          <cell r="J2063" t="str">
            <v>Free-time Activitie</v>
          </cell>
          <cell r="K2063">
            <v>-1527.5</v>
          </cell>
          <cell r="L2063">
            <v>38138</v>
          </cell>
        </row>
        <row r="2064">
          <cell r="A2064" t="str">
            <v>7098649</v>
          </cell>
          <cell r="B2064" t="str">
            <v>693000</v>
          </cell>
          <cell r="C2064" t="str">
            <v>Hired Labour</v>
          </cell>
          <cell r="D2064" t="str">
            <v>161015846</v>
          </cell>
          <cell r="E2064" t="str">
            <v>006</v>
          </cell>
          <cell r="F2064" t="str">
            <v>TRCStaffing Erica Neely/Verna Slade</v>
          </cell>
          <cell r="G2064">
            <v>0</v>
          </cell>
          <cell r="H2064" t="str">
            <v>ORD 1850130201</v>
          </cell>
          <cell r="I2064" t="str">
            <v>325209</v>
          </cell>
          <cell r="J2064" t="str">
            <v>CUSHMAN &amp; WAKEFIELD OF TEXAS, INC.</v>
          </cell>
          <cell r="K2064">
            <v>896.43</v>
          </cell>
          <cell r="L2064">
            <v>38146</v>
          </cell>
        </row>
        <row r="2065">
          <cell r="A2065" t="str">
            <v>7098649</v>
          </cell>
          <cell r="B2065" t="str">
            <v>693000</v>
          </cell>
          <cell r="C2065" t="str">
            <v>Hired Labour</v>
          </cell>
          <cell r="D2065" t="str">
            <v>161016309</v>
          </cell>
          <cell r="E2065" t="str">
            <v>006</v>
          </cell>
          <cell r="F2065" t="str">
            <v>Payroll for Atlanta Jan03 - April 03</v>
          </cell>
          <cell r="G2065">
            <v>0</v>
          </cell>
          <cell r="H2065" t="str">
            <v>ORD 1850130201</v>
          </cell>
          <cell r="I2065" t="str">
            <v>325209</v>
          </cell>
          <cell r="J2065" t="str">
            <v>CUSHMAN &amp; WAKEFIELD OF TEXAS, INC.</v>
          </cell>
          <cell r="K2065">
            <v>8646.6200000000008</v>
          </cell>
          <cell r="L2065">
            <v>38147</v>
          </cell>
        </row>
        <row r="2066">
          <cell r="A2066" t="str">
            <v>7098649</v>
          </cell>
          <cell r="B2066" t="str">
            <v>693000</v>
          </cell>
          <cell r="C2066" t="str">
            <v>Hired Labour</v>
          </cell>
          <cell r="D2066" t="str">
            <v>751001669</v>
          </cell>
          <cell r="E2066" t="str">
            <v>006</v>
          </cell>
          <cell r="F2066" t="str">
            <v>Temp to cover maternity leave disability</v>
          </cell>
          <cell r="G2066">
            <v>0</v>
          </cell>
          <cell r="H2066" t="str">
            <v>ORD 1850130201</v>
          </cell>
          <cell r="I2066" t="str">
            <v>273900</v>
          </cell>
          <cell r="J2066" t="str">
            <v>Other Accr Expenses</v>
          </cell>
          <cell r="K2066">
            <v>-876</v>
          </cell>
          <cell r="L2066">
            <v>38138</v>
          </cell>
        </row>
        <row r="2067">
          <cell r="A2067" t="str">
            <v>7098649</v>
          </cell>
          <cell r="B2067" t="str">
            <v>700050</v>
          </cell>
          <cell r="C2067" t="str">
            <v>Real Est Maint</v>
          </cell>
          <cell r="D2067" t="str">
            <v>161017697</v>
          </cell>
          <cell r="E2067" t="str">
            <v>006</v>
          </cell>
          <cell r="F2067">
            <v>0</v>
          </cell>
          <cell r="G2067">
            <v>0</v>
          </cell>
          <cell r="H2067" t="str">
            <v>ORD 1850130201</v>
          </cell>
          <cell r="I2067" t="str">
            <v>433803</v>
          </cell>
          <cell r="J2067" t="str">
            <v>CB RICHARD ELLIS INC</v>
          </cell>
          <cell r="K2067">
            <v>7.49</v>
          </cell>
          <cell r="L2067">
            <v>38161</v>
          </cell>
        </row>
        <row r="2068">
          <cell r="A2068" t="str">
            <v>7098649</v>
          </cell>
          <cell r="B2068" t="str">
            <v>700050</v>
          </cell>
          <cell r="C2068" t="str">
            <v>Real Est Maint</v>
          </cell>
          <cell r="D2068" t="str">
            <v>161015795</v>
          </cell>
          <cell r="E2068" t="str">
            <v>006</v>
          </cell>
          <cell r="F2068" t="str">
            <v>Door Repair</v>
          </cell>
          <cell r="G2068">
            <v>0</v>
          </cell>
          <cell r="H2068" t="str">
            <v>ORD 1850130201</v>
          </cell>
          <cell r="I2068" t="str">
            <v>423673</v>
          </cell>
          <cell r="J2068" t="str">
            <v>ADVANTEK SERVICE GROUP INC</v>
          </cell>
          <cell r="K2068">
            <v>158</v>
          </cell>
          <cell r="L2068">
            <v>38146</v>
          </cell>
        </row>
        <row r="2069">
          <cell r="A2069" t="str">
            <v>7098649</v>
          </cell>
          <cell r="B2069" t="str">
            <v>700050</v>
          </cell>
          <cell r="C2069" t="str">
            <v>Real Est Maint</v>
          </cell>
          <cell r="D2069" t="str">
            <v>161017696</v>
          </cell>
          <cell r="E2069" t="str">
            <v>006</v>
          </cell>
          <cell r="F2069">
            <v>0</v>
          </cell>
          <cell r="G2069">
            <v>0</v>
          </cell>
          <cell r="H2069" t="str">
            <v>ORD 1850130201</v>
          </cell>
          <cell r="I2069" t="str">
            <v>433803</v>
          </cell>
          <cell r="J2069" t="str">
            <v>CB RICHARD ELLIS INC</v>
          </cell>
          <cell r="K2069">
            <v>450.43</v>
          </cell>
          <cell r="L2069">
            <v>38161</v>
          </cell>
        </row>
        <row r="2070">
          <cell r="A2070" t="str">
            <v>7098649</v>
          </cell>
          <cell r="B2070" t="str">
            <v>700800</v>
          </cell>
          <cell r="C2070" t="str">
            <v>Electricity and Gas</v>
          </cell>
          <cell r="D2070" t="str">
            <v>496021420</v>
          </cell>
          <cell r="E2070" t="str">
            <v>006</v>
          </cell>
          <cell r="F2070" t="str">
            <v>*ACCT#00900 311125 1  UTIL. 4/10/04-5/10/04 ATLANT</v>
          </cell>
          <cell r="G2070">
            <v>0</v>
          </cell>
          <cell r="H2070" t="str">
            <v>ORD 1850130201</v>
          </cell>
          <cell r="I2070" t="str">
            <v>412145</v>
          </cell>
          <cell r="J2070" t="str">
            <v>CROWN POINTE LLC</v>
          </cell>
          <cell r="K2070">
            <v>48.08</v>
          </cell>
          <cell r="L2070">
            <v>38140</v>
          </cell>
        </row>
        <row r="2071">
          <cell r="A2071" t="str">
            <v>7098649</v>
          </cell>
          <cell r="B2071" t="str">
            <v>710000</v>
          </cell>
          <cell r="C2071" t="str">
            <v>Rents Premises Ext</v>
          </cell>
          <cell r="D2071" t="str">
            <v>758003823</v>
          </cell>
          <cell r="E2071" t="str">
            <v>006</v>
          </cell>
          <cell r="F2071" t="str">
            <v>RCR#3019-ATLANTA CAM</v>
          </cell>
          <cell r="G2071">
            <v>0</v>
          </cell>
          <cell r="H2071" t="str">
            <v>ORD 1850130201</v>
          </cell>
          <cell r="I2071" t="str">
            <v>170400</v>
          </cell>
          <cell r="J2071" t="str">
            <v>Prepaid Rents</v>
          </cell>
          <cell r="K2071">
            <v>2919.25</v>
          </cell>
          <cell r="L2071">
            <v>38158</v>
          </cell>
        </row>
        <row r="2072">
          <cell r="A2072" t="str">
            <v>7098649</v>
          </cell>
          <cell r="B2072" t="str">
            <v>710000</v>
          </cell>
          <cell r="C2072" t="str">
            <v>Rents Premises Ext</v>
          </cell>
          <cell r="D2072" t="str">
            <v>758003823</v>
          </cell>
          <cell r="E2072" t="str">
            <v>006</v>
          </cell>
          <cell r="F2072" t="str">
            <v>RCR#3019-ATLANTA SL RENT</v>
          </cell>
          <cell r="G2072">
            <v>0</v>
          </cell>
          <cell r="H2072" t="str">
            <v>ORD 1850130201</v>
          </cell>
          <cell r="I2072" t="str">
            <v>170400</v>
          </cell>
          <cell r="J2072" t="str">
            <v>Prepaid Rents</v>
          </cell>
          <cell r="K2072">
            <v>24514.94</v>
          </cell>
          <cell r="L2072">
            <v>38158</v>
          </cell>
        </row>
        <row r="2073">
          <cell r="A2073" t="str">
            <v>7098649</v>
          </cell>
          <cell r="B2073" t="str">
            <v>731200</v>
          </cell>
          <cell r="C2073" t="str">
            <v>Overhead Accruals</v>
          </cell>
          <cell r="D2073" t="str">
            <v>751001748</v>
          </cell>
          <cell r="E2073" t="str">
            <v>006</v>
          </cell>
          <cell r="F2073" t="str">
            <v>P5 Correct A/P Auto Accural</v>
          </cell>
          <cell r="G2073">
            <v>0</v>
          </cell>
          <cell r="H2073">
            <v>0</v>
          </cell>
          <cell r="I2073" t="str">
            <v>620110</v>
          </cell>
          <cell r="J2073" t="str">
            <v>Canteen Expenses</v>
          </cell>
          <cell r="K2073">
            <v>6381</v>
          </cell>
          <cell r="L2073">
            <v>38138</v>
          </cell>
        </row>
        <row r="2074">
          <cell r="A2074" t="str">
            <v>7098649</v>
          </cell>
          <cell r="B2074" t="str">
            <v>731200</v>
          </cell>
          <cell r="C2074" t="str">
            <v>Overhead Accruals</v>
          </cell>
          <cell r="D2074" t="str">
            <v>150000072</v>
          </cell>
          <cell r="E2074" t="str">
            <v>006</v>
          </cell>
          <cell r="F2074" t="str">
            <v>*CUSTOMER# 2100845 INV# 161531*</v>
          </cell>
          <cell r="G2074">
            <v>0</v>
          </cell>
          <cell r="H2074">
            <v>0</v>
          </cell>
          <cell r="I2074" t="str">
            <v>230410</v>
          </cell>
          <cell r="J2074" t="str">
            <v>Auto Tr Payab Ac Ext</v>
          </cell>
          <cell r="K2074">
            <v>-6381</v>
          </cell>
          <cell r="L2074">
            <v>38153</v>
          </cell>
        </row>
        <row r="2075">
          <cell r="A2075" t="str">
            <v>7098649</v>
          </cell>
          <cell r="B2075" t="str">
            <v>752720</v>
          </cell>
          <cell r="C2075" t="str">
            <v>BCS Cost Transf Exp</v>
          </cell>
          <cell r="D2075" t="str">
            <v>758004051</v>
          </cell>
          <cell r="E2075" t="str">
            <v>006</v>
          </cell>
          <cell r="F2075" t="str">
            <v>Service Charging, P06/2004</v>
          </cell>
          <cell r="G2075">
            <v>0</v>
          </cell>
          <cell r="H2075">
            <v>0</v>
          </cell>
          <cell r="I2075" t="str">
            <v>751720</v>
          </cell>
          <cell r="J2075" t="str">
            <v>BCS Cost Trans Inc</v>
          </cell>
          <cell r="K2075">
            <v>527.57000000000005</v>
          </cell>
          <cell r="L2075">
            <v>38162</v>
          </cell>
        </row>
        <row r="2076">
          <cell r="A2076" t="str">
            <v>7098649</v>
          </cell>
          <cell r="B2076" t="str">
            <v>752730</v>
          </cell>
          <cell r="C2076" t="str">
            <v>Voice Cost Tran Exp</v>
          </cell>
          <cell r="D2076" t="str">
            <v>750001562</v>
          </cell>
          <cell r="E2076" t="str">
            <v>006</v>
          </cell>
          <cell r="F2076" t="str">
            <v>JUN04 CINGULAR PHONE ACCRUAL</v>
          </cell>
          <cell r="G2076">
            <v>0</v>
          </cell>
          <cell r="H2076">
            <v>0</v>
          </cell>
          <cell r="I2076" t="str">
            <v>751730</v>
          </cell>
          <cell r="J2076" t="str">
            <v>Voice Cost Tra Inc</v>
          </cell>
          <cell r="K2076">
            <v>462.3</v>
          </cell>
          <cell r="L2076">
            <v>38161</v>
          </cell>
        </row>
        <row r="2077">
          <cell r="A2077" t="str">
            <v>7098649</v>
          </cell>
          <cell r="B2077" t="str">
            <v>784000</v>
          </cell>
          <cell r="C2077" t="str">
            <v>Amort Oth Int Assets</v>
          </cell>
          <cell r="D2077" t="str">
            <v>11502480</v>
          </cell>
          <cell r="E2077" t="str">
            <v>006</v>
          </cell>
          <cell r="F2077" t="str">
            <v>AFB01200400601-0011502480</v>
          </cell>
          <cell r="G2077">
            <v>0</v>
          </cell>
          <cell r="H2077" t="str">
            <v>ORD 1850130201</v>
          </cell>
          <cell r="I2077" t="str">
            <v>107110</v>
          </cell>
          <cell r="J2077" t="str">
            <v>Oth Intang Acc Depr</v>
          </cell>
          <cell r="K2077">
            <v>3222.23</v>
          </cell>
          <cell r="L2077">
            <v>38163</v>
          </cell>
        </row>
        <row r="2078">
          <cell r="A2078" t="str">
            <v>7098649</v>
          </cell>
          <cell r="B2078" t="str">
            <v>786900</v>
          </cell>
          <cell r="C2078" t="str">
            <v>Depr Oth Mach, Equip</v>
          </cell>
          <cell r="D2078" t="str">
            <v>11502487</v>
          </cell>
          <cell r="E2078" t="str">
            <v>006</v>
          </cell>
          <cell r="F2078" t="str">
            <v>AFB01200400602-0011502487</v>
          </cell>
          <cell r="G2078">
            <v>0</v>
          </cell>
          <cell r="H2078">
            <v>0</v>
          </cell>
          <cell r="I2078" t="str">
            <v>170710</v>
          </cell>
          <cell r="J2078" t="str">
            <v>Deferred Exps Moulds</v>
          </cell>
          <cell r="K2078">
            <v>3824.69</v>
          </cell>
          <cell r="L2078">
            <v>38163</v>
          </cell>
        </row>
        <row r="2079">
          <cell r="A2079" t="str">
            <v>7098649</v>
          </cell>
          <cell r="B2079" t="str">
            <v>786900</v>
          </cell>
          <cell r="C2079" t="str">
            <v>Depr Oth Mach, Equip</v>
          </cell>
          <cell r="D2079" t="str">
            <v>11502485</v>
          </cell>
          <cell r="E2079" t="str">
            <v>006</v>
          </cell>
          <cell r="F2079" t="str">
            <v>AFB01200400601-0011502485</v>
          </cell>
          <cell r="G2079">
            <v>0</v>
          </cell>
          <cell r="H2079" t="str">
            <v>ORD 1850130201</v>
          </cell>
          <cell r="I2079" t="str">
            <v>170710</v>
          </cell>
          <cell r="J2079" t="str">
            <v>Deferred Exps Moulds</v>
          </cell>
          <cell r="K2079">
            <v>6076.02</v>
          </cell>
          <cell r="L2079">
            <v>38163</v>
          </cell>
        </row>
        <row r="2080">
          <cell r="A2080" t="str">
            <v>7098649 Total</v>
          </cell>
          <cell r="K2080">
            <v>44552.369999999995</v>
          </cell>
        </row>
        <row r="2081">
          <cell r="A2081" t="str">
            <v>7098666</v>
          </cell>
          <cell r="B2081" t="str">
            <v>681100</v>
          </cell>
          <cell r="C2081" t="str">
            <v>Off phon-C Costs</v>
          </cell>
          <cell r="D2081" t="str">
            <v>360001123</v>
          </cell>
          <cell r="E2081" t="str">
            <v>006</v>
          </cell>
          <cell r="F2081" t="str">
            <v>*ACCT#7043370508 SBC 6/04</v>
          </cell>
          <cell r="G2081">
            <v>0</v>
          </cell>
          <cell r="H2081">
            <v>0</v>
          </cell>
          <cell r="I2081" t="str">
            <v>312561</v>
          </cell>
          <cell r="J2081" t="str">
            <v>SBC</v>
          </cell>
          <cell r="K2081">
            <v>363.57</v>
          </cell>
          <cell r="L2081">
            <v>38160</v>
          </cell>
        </row>
        <row r="2082">
          <cell r="A2082" t="str">
            <v>7098666</v>
          </cell>
          <cell r="B2082" t="str">
            <v>691300</v>
          </cell>
          <cell r="C2082" t="str">
            <v>Consultants</v>
          </cell>
          <cell r="D2082" t="str">
            <v>161017067</v>
          </cell>
          <cell r="E2082" t="str">
            <v>006</v>
          </cell>
          <cell r="F2082" t="str">
            <v>legal fees</v>
          </cell>
          <cell r="G2082">
            <v>0</v>
          </cell>
          <cell r="H2082" t="str">
            <v>ORD 1850080103</v>
          </cell>
          <cell r="I2082" t="str">
            <v>437445</v>
          </cell>
          <cell r="J2082" t="str">
            <v>DELBELLO DONNELLAN WEINGARTEN</v>
          </cell>
          <cell r="K2082">
            <v>4665</v>
          </cell>
          <cell r="L2082">
            <v>38154</v>
          </cell>
        </row>
        <row r="2083">
          <cell r="A2083" t="str">
            <v>7098666</v>
          </cell>
          <cell r="B2083" t="str">
            <v>691300</v>
          </cell>
          <cell r="C2083" t="str">
            <v>Consultants</v>
          </cell>
          <cell r="D2083" t="str">
            <v>161016442</v>
          </cell>
          <cell r="E2083" t="str">
            <v>006</v>
          </cell>
          <cell r="F2083" t="str">
            <v>legal fees</v>
          </cell>
          <cell r="G2083">
            <v>0</v>
          </cell>
          <cell r="H2083" t="str">
            <v>ORD 1850080103</v>
          </cell>
          <cell r="I2083" t="str">
            <v>437445</v>
          </cell>
          <cell r="J2083" t="str">
            <v>DELBELLO DONNELLAN WEINGARTEN</v>
          </cell>
          <cell r="K2083">
            <v>28264.71</v>
          </cell>
          <cell r="L2083">
            <v>38148</v>
          </cell>
        </row>
        <row r="2084">
          <cell r="A2084" t="str">
            <v>7098666</v>
          </cell>
          <cell r="B2084" t="str">
            <v>702400</v>
          </cell>
          <cell r="C2084" t="str">
            <v>Mach&amp;Equip, Rep&amp;Main</v>
          </cell>
          <cell r="D2084" t="str">
            <v>5000328657</v>
          </cell>
          <cell r="E2084" t="str">
            <v>006</v>
          </cell>
          <cell r="F2084" t="str">
            <v>MASTER KEYS #996</v>
          </cell>
          <cell r="G2084" t="str">
            <v>4877248</v>
          </cell>
          <cell r="H2084">
            <v>0</v>
          </cell>
          <cell r="I2084" t="str">
            <v>230316</v>
          </cell>
          <cell r="J2084" t="str">
            <v>GR/IR Non coded 3</v>
          </cell>
          <cell r="K2084">
            <v>86.6</v>
          </cell>
          <cell r="L2084">
            <v>38159</v>
          </cell>
        </row>
        <row r="2085">
          <cell r="A2085" t="str">
            <v>7098666</v>
          </cell>
          <cell r="B2085" t="str">
            <v>719200</v>
          </cell>
          <cell r="C2085" t="str">
            <v>Rents and Leases, Fu</v>
          </cell>
          <cell r="D2085" t="str">
            <v>195699</v>
          </cell>
          <cell r="E2085" t="str">
            <v>006</v>
          </cell>
          <cell r="F2085">
            <v>0</v>
          </cell>
          <cell r="G2085" t="str">
            <v>4500008783</v>
          </cell>
          <cell r="H2085">
            <v>0</v>
          </cell>
          <cell r="I2085" t="str">
            <v>434440</v>
          </cell>
          <cell r="J2085" t="str">
            <v>JEFF LUCHETTE CONSTRUCTION INC</v>
          </cell>
          <cell r="K2085">
            <v>6124.27</v>
          </cell>
          <cell r="L2085">
            <v>38142</v>
          </cell>
        </row>
        <row r="2086">
          <cell r="A2086" t="str">
            <v>7098666</v>
          </cell>
          <cell r="B2086" t="str">
            <v>719200</v>
          </cell>
          <cell r="C2086" t="str">
            <v>Rents and Leases, Fu</v>
          </cell>
          <cell r="D2086" t="str">
            <v>204747</v>
          </cell>
          <cell r="E2086" t="str">
            <v>006</v>
          </cell>
          <cell r="F2086">
            <v>0</v>
          </cell>
          <cell r="G2086" t="str">
            <v>4500008782</v>
          </cell>
          <cell r="H2086">
            <v>0</v>
          </cell>
          <cell r="I2086" t="str">
            <v>381089</v>
          </cell>
          <cell r="J2086" t="str">
            <v>CAL-AIR INC</v>
          </cell>
          <cell r="K2086">
            <v>14885.53</v>
          </cell>
          <cell r="L2086">
            <v>38148</v>
          </cell>
        </row>
        <row r="2087">
          <cell r="A2087" t="str">
            <v>7098666</v>
          </cell>
          <cell r="B2087" t="str">
            <v>719200</v>
          </cell>
          <cell r="C2087" t="str">
            <v>Rents and Leases, Fu</v>
          </cell>
          <cell r="D2087" t="str">
            <v>195323</v>
          </cell>
          <cell r="E2087" t="str">
            <v>006</v>
          </cell>
          <cell r="F2087">
            <v>0</v>
          </cell>
          <cell r="G2087" t="str">
            <v>4500008782</v>
          </cell>
          <cell r="H2087">
            <v>0</v>
          </cell>
          <cell r="I2087" t="str">
            <v>381089</v>
          </cell>
          <cell r="J2087" t="str">
            <v>CAL-AIR INC</v>
          </cell>
          <cell r="K2087">
            <v>-1488.55</v>
          </cell>
          <cell r="L2087">
            <v>38142</v>
          </cell>
        </row>
        <row r="2088">
          <cell r="A2088" t="str">
            <v>7098666 Total</v>
          </cell>
          <cell r="K2088">
            <v>52901.12999999999</v>
          </cell>
        </row>
        <row r="2089">
          <cell r="A2089" t="str">
            <v>7098667</v>
          </cell>
          <cell r="B2089" t="str">
            <v>681000</v>
          </cell>
          <cell r="C2089" t="str">
            <v>Postal Courier Serv</v>
          </cell>
          <cell r="D2089" t="str">
            <v>161017509</v>
          </cell>
          <cell r="E2089" t="str">
            <v>006</v>
          </cell>
          <cell r="F2089" t="str">
            <v>Chicago Postage by Phone</v>
          </cell>
          <cell r="G2089">
            <v>0</v>
          </cell>
          <cell r="H2089" t="str">
            <v>ORD 1850140103</v>
          </cell>
          <cell r="I2089" t="str">
            <v>304734</v>
          </cell>
          <cell r="J2089" t="str">
            <v>PURCHASE POWER</v>
          </cell>
          <cell r="K2089">
            <v>179.5</v>
          </cell>
          <cell r="L2089">
            <v>38160</v>
          </cell>
        </row>
        <row r="2090">
          <cell r="A2090" t="str">
            <v>7098667</v>
          </cell>
          <cell r="B2090" t="str">
            <v>681300</v>
          </cell>
          <cell r="C2090" t="str">
            <v>Data Lines</v>
          </cell>
          <cell r="D2090" t="str">
            <v>360001087</v>
          </cell>
          <cell r="E2090" t="str">
            <v>006</v>
          </cell>
          <cell r="F2090" t="str">
            <v>*MAY 2004 REGUS XTRA CHARGES</v>
          </cell>
          <cell r="G2090">
            <v>0</v>
          </cell>
          <cell r="H2090">
            <v>0</v>
          </cell>
          <cell r="I2090" t="str">
            <v>409144</v>
          </cell>
          <cell r="J2090" t="str">
            <v>REGUS BUSINESS CENTRE</v>
          </cell>
          <cell r="K2090">
            <v>175</v>
          </cell>
          <cell r="L2090">
            <v>38154</v>
          </cell>
        </row>
        <row r="2091">
          <cell r="A2091" t="str">
            <v>7098667</v>
          </cell>
          <cell r="B2091" t="str">
            <v>681300</v>
          </cell>
          <cell r="C2091" t="str">
            <v>Data Lines</v>
          </cell>
          <cell r="D2091" t="str">
            <v>360001087</v>
          </cell>
          <cell r="E2091" t="str">
            <v>006</v>
          </cell>
          <cell r="F2091" t="str">
            <v>*MAY 2004 REGUS XTRA CHARGES</v>
          </cell>
          <cell r="G2091">
            <v>0</v>
          </cell>
          <cell r="H2091" t="str">
            <v>ORD 1850190201</v>
          </cell>
          <cell r="I2091" t="str">
            <v>409144</v>
          </cell>
          <cell r="J2091" t="str">
            <v>REGUS BUSINESS CENTRE</v>
          </cell>
          <cell r="K2091">
            <v>639</v>
          </cell>
          <cell r="L2091">
            <v>38154</v>
          </cell>
        </row>
        <row r="2092">
          <cell r="A2092" t="str">
            <v>7098667</v>
          </cell>
          <cell r="B2092" t="str">
            <v>700000</v>
          </cell>
          <cell r="C2092" t="str">
            <v>Real Estate Repair</v>
          </cell>
          <cell r="D2092" t="str">
            <v>496023013</v>
          </cell>
          <cell r="E2092" t="str">
            <v>006</v>
          </cell>
          <cell r="F2092" t="str">
            <v>*ACCT#D0002165 1  APRIL REPAIR CHARGES</v>
          </cell>
          <cell r="G2092">
            <v>0</v>
          </cell>
          <cell r="H2092" t="str">
            <v>ORD 1850140100</v>
          </cell>
          <cell r="I2092" t="str">
            <v>394986</v>
          </cell>
          <cell r="J2092" t="str">
            <v>BUCK MANAGEMENT GROUP LLC</v>
          </cell>
          <cell r="K2092">
            <v>28.28</v>
          </cell>
          <cell r="L2092">
            <v>38155</v>
          </cell>
        </row>
        <row r="2093">
          <cell r="A2093" t="str">
            <v>7098667</v>
          </cell>
          <cell r="B2093" t="str">
            <v>700800</v>
          </cell>
          <cell r="C2093" t="str">
            <v>Electricity and Gas</v>
          </cell>
          <cell r="D2093" t="str">
            <v>496023990</v>
          </cell>
          <cell r="E2093" t="str">
            <v>006</v>
          </cell>
          <cell r="F2093" t="str">
            <v>*ACCT#0282118021  COMED  WACKER  5/04 &amp; 6/04</v>
          </cell>
          <cell r="G2093">
            <v>0</v>
          </cell>
          <cell r="H2093" t="str">
            <v>ORD 1850140103</v>
          </cell>
          <cell r="I2093" t="str">
            <v>407293</v>
          </cell>
          <cell r="J2093" t="str">
            <v>COMED</v>
          </cell>
          <cell r="K2093">
            <v>549.59</v>
          </cell>
          <cell r="L2093">
            <v>38161</v>
          </cell>
        </row>
        <row r="2094">
          <cell r="A2094" t="str">
            <v>7098667</v>
          </cell>
          <cell r="B2094" t="str">
            <v>710000</v>
          </cell>
          <cell r="C2094" t="str">
            <v>Rents Premises Ext</v>
          </cell>
          <cell r="D2094" t="str">
            <v>758003902</v>
          </cell>
          <cell r="E2094" t="str">
            <v>006</v>
          </cell>
          <cell r="F2094" t="str">
            <v>RCR#4060 BLOOMINGTON RENT</v>
          </cell>
          <cell r="G2094">
            <v>0</v>
          </cell>
          <cell r="H2094">
            <v>0</v>
          </cell>
          <cell r="I2094" t="str">
            <v>170400</v>
          </cell>
          <cell r="J2094" t="str">
            <v>Prepaid Rents</v>
          </cell>
          <cell r="K2094">
            <v>4623.9399999999996</v>
          </cell>
          <cell r="L2094">
            <v>38158</v>
          </cell>
        </row>
        <row r="2095">
          <cell r="A2095" t="str">
            <v>7098667</v>
          </cell>
          <cell r="B2095" t="str">
            <v>710000</v>
          </cell>
          <cell r="C2095" t="str">
            <v>Rents Premises Ext</v>
          </cell>
          <cell r="D2095" t="str">
            <v>111241734</v>
          </cell>
          <cell r="E2095" t="str">
            <v>006</v>
          </cell>
          <cell r="F2095">
            <v>0</v>
          </cell>
          <cell r="G2095">
            <v>0</v>
          </cell>
          <cell r="H2095">
            <v>0</v>
          </cell>
          <cell r="I2095" t="str">
            <v>170400</v>
          </cell>
          <cell r="J2095" t="str">
            <v>Prepaid Rents</v>
          </cell>
          <cell r="K2095">
            <v>-0.01</v>
          </cell>
          <cell r="L2095">
            <v>38156</v>
          </cell>
        </row>
        <row r="2096">
          <cell r="A2096" t="str">
            <v>7098667</v>
          </cell>
          <cell r="B2096" t="str">
            <v>710000</v>
          </cell>
          <cell r="C2096" t="str">
            <v>Rents Premises Ext</v>
          </cell>
          <cell r="D2096" t="str">
            <v>758003785</v>
          </cell>
          <cell r="E2096" t="str">
            <v>006</v>
          </cell>
          <cell r="F2096" t="str">
            <v>RCR#0099-AMORT TENANT IMPR CHICAGO P5 02 - P6 06</v>
          </cell>
          <cell r="G2096">
            <v>0</v>
          </cell>
          <cell r="H2096" t="str">
            <v>ORD 1850140103</v>
          </cell>
          <cell r="I2096" t="str">
            <v>275000</v>
          </cell>
          <cell r="J2096" t="str">
            <v>Oth Prepaid Income</v>
          </cell>
          <cell r="K2096">
            <v>-3388.58</v>
          </cell>
          <cell r="L2096">
            <v>38158</v>
          </cell>
        </row>
        <row r="2097">
          <cell r="A2097" t="str">
            <v>7098667</v>
          </cell>
          <cell r="B2097" t="str">
            <v>784000</v>
          </cell>
          <cell r="C2097" t="str">
            <v>Amort Oth Int Assets</v>
          </cell>
          <cell r="D2097" t="str">
            <v>11502480</v>
          </cell>
          <cell r="E2097" t="str">
            <v>006</v>
          </cell>
          <cell r="F2097" t="str">
            <v>AFB01200400601-0011502480</v>
          </cell>
          <cell r="G2097">
            <v>0</v>
          </cell>
          <cell r="H2097" t="str">
            <v>ORD 1850140103</v>
          </cell>
          <cell r="I2097" t="str">
            <v>107110</v>
          </cell>
          <cell r="J2097" t="str">
            <v>Oth Intang Acc Depr</v>
          </cell>
          <cell r="K2097">
            <v>5486.05</v>
          </cell>
          <cell r="L2097">
            <v>38163</v>
          </cell>
        </row>
        <row r="2098">
          <cell r="A2098" t="str">
            <v>7098667</v>
          </cell>
          <cell r="B2098" t="str">
            <v>786900</v>
          </cell>
          <cell r="C2098" t="str">
            <v>Depr Oth Mach, Equip</v>
          </cell>
          <cell r="D2098" t="str">
            <v>11502485</v>
          </cell>
          <cell r="E2098" t="str">
            <v>006</v>
          </cell>
          <cell r="F2098" t="str">
            <v>AFB01200400601-0011502485</v>
          </cell>
          <cell r="G2098">
            <v>0</v>
          </cell>
          <cell r="H2098" t="str">
            <v>ORD 1850140103</v>
          </cell>
          <cell r="I2098" t="str">
            <v>170710</v>
          </cell>
          <cell r="J2098" t="str">
            <v>Deferred Exps Moulds</v>
          </cell>
          <cell r="K2098">
            <v>1461.29</v>
          </cell>
          <cell r="L2098">
            <v>38163</v>
          </cell>
        </row>
        <row r="2099">
          <cell r="A2099" t="str">
            <v>7098667 Total</v>
          </cell>
          <cell r="K2099">
            <v>9754.0600000000013</v>
          </cell>
        </row>
        <row r="2100">
          <cell r="A2100" t="str">
            <v>7098699</v>
          </cell>
          <cell r="B2100" t="str">
            <v>752730</v>
          </cell>
          <cell r="C2100" t="str">
            <v>Voice Cost Tran Exp</v>
          </cell>
          <cell r="D2100" t="str">
            <v>750001566</v>
          </cell>
          <cell r="E2100" t="str">
            <v>006</v>
          </cell>
          <cell r="F2100" t="str">
            <v>MAY04 MCI LONG DISTANCE ACCRUAL</v>
          </cell>
          <cell r="G2100">
            <v>0</v>
          </cell>
          <cell r="H2100">
            <v>0</v>
          </cell>
          <cell r="I2100" t="str">
            <v>751730</v>
          </cell>
          <cell r="J2100" t="str">
            <v>Voice Cost Tra Inc</v>
          </cell>
          <cell r="K2100">
            <v>10.16</v>
          </cell>
          <cell r="L2100">
            <v>38161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REF"/>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Book2"/>
      <sheetName val="Income Statement"/>
      <sheetName val="Shareholders' Equity"/>
      <sheetName val="TongH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 val="THU-TIEN"/>
      <sheetName val="CONG-NO"/>
      <sheetName val="XL4Poppy"/>
      <sheetName val="dg-VTu"/>
    </sheetNames>
    <sheetDataSet>
      <sheetData sheetId="0"/>
      <sheetData sheetId="1"/>
      <sheetData sheetId="2"/>
      <sheetData sheetId="3"/>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Assumptions"/>
      <sheetName val="2.Summary-cash"/>
      <sheetName val="3.Summary-accrual"/>
      <sheetName val="4.Rent &amp; CAMF projection"/>
      <sheetName val="5.Leasing guideline"/>
      <sheetName val="6.Lease Plan"/>
      <sheetName val="7.SD Buildup"/>
      <sheetName val="8.Occupancy"/>
      <sheetName val="9. Special Area"/>
      <sheetName val="10. Carpark"/>
      <sheetName val="11.Utilities&amp;Recoverable"/>
      <sheetName val="12-1.Taxes"/>
      <sheetName val="12-2.Taxes Detail"/>
      <sheetName val="13. Repair &amp; Maintenance"/>
      <sheetName val="14.AM &amp; FM &amp; Wilson Fee"/>
      <sheetName val="15.Tenants' Relation"/>
      <sheetName val="16. 2006 CAPEX"/>
      <sheetName val="17. 2005 CAPEX"/>
      <sheetName val="18.Corporate income tax"/>
      <sheetName val="19. Interest expense"/>
      <sheetName val="Appendix_E R"/>
      <sheetName val="Sheet1"/>
      <sheetName val="Sheet2"/>
      <sheetName val="Sheet4"/>
      <sheetName val="Training"/>
      <sheetName val="Facility Information"/>
      <sheetName val="General"/>
      <sheetName val="Instructions"/>
      <sheetName val="People"/>
      <sheetName val="Quality"/>
      <sheetName val="Risk"/>
      <sheetName val="9904"/>
      <sheetName val="9908"/>
      <sheetName val="9912"/>
      <sheetName val="9902"/>
      <sheetName val="9901"/>
      <sheetName val="9907"/>
      <sheetName val="9906"/>
      <sheetName val="9903"/>
      <sheetName val="9905"/>
      <sheetName val="9911"/>
      <sheetName val="9910"/>
      <sheetName val="9909"/>
      <sheetName val="노무비"/>
      <sheetName val="#REF"/>
      <sheetName val="200004"/>
      <sheetName val="200008"/>
      <sheetName val="200002"/>
      <sheetName val="200001"/>
      <sheetName val="200007"/>
      <sheetName val="200006"/>
      <sheetName val="200003"/>
      <sheetName val="200005"/>
      <sheetName val="200011"/>
      <sheetName val="200010"/>
      <sheetName val="200009"/>
      <sheetName val="PP_Budget 2006_2nd draft"/>
      <sheetName val="TongH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1"/>
      <sheetName val="Sheet1"/>
      <sheetName val="단가표"/>
      <sheetName val="직노"/>
      <sheetName val="Sheet5"/>
      <sheetName val="GAEYO"/>
      <sheetName val="공사개요"/>
      <sheetName val="입찰안"/>
      <sheetName val="부속동"/>
      <sheetName val="Customer Databas"/>
      <sheetName val="EACT10"/>
      <sheetName val="재료집계"/>
      <sheetName val="소비자가"/>
      <sheetName val="기계내역"/>
      <sheetName val="시화점실행"/>
      <sheetName val="교통대책내역"/>
      <sheetName val="간선계산"/>
      <sheetName val="b_gunmul"/>
      <sheetName val="b_balju (2)"/>
      <sheetName val="포장복구집계"/>
      <sheetName val="공사수행방안"/>
      <sheetName val="교각1"/>
      <sheetName val="수주실적0709"/>
      <sheetName val="ETC"/>
      <sheetName val="점수계산1-2"/>
      <sheetName val="전선"/>
      <sheetName val="Summary Sheets"/>
      <sheetName val="수로교총재료집계"/>
      <sheetName val="남양시작동자105노65기1.3화1.2"/>
      <sheetName val="갑지1"/>
      <sheetName val="2F 회의실견적(5_14 일대)"/>
      <sheetName val="FURNITURE-01"/>
      <sheetName val="XXXXXX"/>
      <sheetName val="VXXXXX"/>
      <sheetName val="2월1주차"/>
      <sheetName val="공통가설"/>
      <sheetName val="노무비"/>
      <sheetName val="조건표"/>
      <sheetName val="업무절차서"/>
      <sheetName val="근로자명부"/>
      <sheetName val="증빙SCAN"/>
      <sheetName val="근로계약서"/>
      <sheetName val="실행예산서"/>
      <sheetName val="작업지시서"/>
      <sheetName val="PIPE"/>
      <sheetName val="FLANGE"/>
      <sheetName val="VALVE"/>
      <sheetName val="도급"/>
      <sheetName val="단면 (2)"/>
      <sheetName val="경비"/>
      <sheetName val="일위대가표"/>
      <sheetName val="MEMBER"/>
      <sheetName val="일위대가"/>
      <sheetName val="을지"/>
      <sheetName val="광혁기성"/>
      <sheetName val="공통부대비"/>
      <sheetName val="LEGEND"/>
      <sheetName val="연수동"/>
      <sheetName val="ilch"/>
      <sheetName val="차액보증"/>
      <sheetName val="DONGIA"/>
      <sheetName val="CHITIET"/>
      <sheetName val="BSD (2)"/>
      <sheetName val="예산서"/>
      <sheetName val="말뚝물량"/>
      <sheetName val="_x000d__x000a__x000d__x000a__x0000__x0003_"/>
      <sheetName val="내역1"/>
      <sheetName val="JUCK"/>
      <sheetName val="조직"/>
      <sheetName val="ITEM"/>
      <sheetName val="개요"/>
      <sheetName val="quotation"/>
      <sheetName val="9-1차이내역"/>
      <sheetName val="Customer_Databas"/>
      <sheetName val="b_balju_(2)"/>
      <sheetName val="Summary_Sheets"/>
      <sheetName val="남양시작동자105노65기1_3화1_2"/>
      <sheetName val="2F_회의실견적(5_14_일대)"/>
      <sheetName val="단면_(2)"/>
      <sheetName val="BSD_(2)"/>
      <sheetName val="_x000a__x000a_"/>
      <sheetName val="수입"/>
      <sheetName val="_x000a__x000a__x000a__x000a__x0000__x0003_"/>
      <sheetName val="AILC004"/>
      <sheetName val="열린교실"/>
      <sheetName val="#REF"/>
      <sheetName val="2. Summary-cash"/>
      <sheetName val="2.Summary-cash"/>
      <sheetName val="INMD1198"/>
      <sheetName val="표지"/>
      <sheetName val="내역"/>
      <sheetName val="총괄표"/>
      <sheetName val="FB25JN"/>
      <sheetName val="선급비용"/>
      <sheetName val="정부노임단가"/>
      <sheetName val="TABLE"/>
      <sheetName val="2.주요계수총괄"/>
      <sheetName val="Non-Statistical Sampling Master"/>
      <sheetName val="Consolidated P&amp;L"/>
      <sheetName val="Sheet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Do K"/>
      <sheetName val="G hop"/>
      <sheetName val="DCTC"/>
      <sheetName val="T hop"/>
      <sheetName val="Sheet1"/>
      <sheetName val="TPHcat"/>
      <sheetName val="TPH da"/>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Sheet2"/>
      <sheetName val="Sheet4"/>
      <sheetName val="CBR"/>
      <sheetName val="99Q3299(REV.0)"/>
      <sheetName val="Dong Dau"/>
      <sheetName val="Sau dong"/>
      <sheetName val="Ma xa"/>
      <sheetName val="Me tri"/>
      <sheetName val="My dinh"/>
      <sheetName val="Tong cong"/>
      <sheetName val="Sheet5"/>
      <sheetName val="moma o 7+9"/>
      <sheetName val="Sheet3"/>
      <sheetName val="Quang Tri"/>
      <sheetName val="TTHue"/>
      <sheetName val="Da Nang"/>
      <sheetName val="Quang Nam"/>
      <sheetName val="Quang Ngai"/>
      <sheetName val="TH DH-QN"/>
      <sheetName val="KP HD"/>
      <sheetName val="DB HD"/>
      <sheetName val="TH"/>
      <sheetName val="Congty"/>
      <sheetName val="VPPN"/>
      <sheetName val="XN74"/>
      <sheetName val="XN54"/>
      <sheetName val="XN33"/>
      <sheetName val="NK96"/>
      <sheetName val="XL4Test5"/>
      <sheetName val="tong hop"/>
      <sheetName val="phan tich DG"/>
      <sheetName val="gia vat lieu"/>
      <sheetName val="gia xe may"/>
      <sheetName val="gia nhan c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DT"/>
      <sheetName val="CP"/>
      <sheetName val="BCT6"/>
      <sheetName val="CT"/>
      <sheetName val="CLVL"/>
    </sheetNames>
    <definedNames>
      <definedName name="BringUserToAboutSheet"/>
      <definedName name="BringUserToCode"/>
      <definedName name="StartChart"/>
      <definedName name="StartSeller"/>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Variables"/>
      <sheetName val="Connie"/>
      <sheetName val="Contract"/>
      <sheetName val="OPEX Summary"/>
    </sheetNames>
    <sheetDataSet>
      <sheetData sheetId="0">
        <row r="2">
          <cell r="E2" t="str">
            <v>Agency Stock Management System - Support &amp; Maintenance</v>
          </cell>
        </row>
        <row r="3">
          <cell r="E3" t="str">
            <v>Agency Stock Management System - Hardware &amp; Hosting</v>
          </cell>
        </row>
        <row r="4">
          <cell r="E4" t="str">
            <v>Commission Management System - Support &amp; Maintenance</v>
          </cell>
        </row>
        <row r="5">
          <cell r="E5" t="str">
            <v>Commission Management System - Hardware &amp; Hosting</v>
          </cell>
        </row>
        <row r="6">
          <cell r="E6" t="str">
            <v>Agency Operation Tools - Transaction Search Engine</v>
          </cell>
        </row>
        <row r="7">
          <cell r="E7" t="str">
            <v>Pivotal - License</v>
          </cell>
        </row>
        <row r="8">
          <cell r="E8" t="str">
            <v>REAPIT - License</v>
          </cell>
        </row>
        <row r="9">
          <cell r="E9" t="str">
            <v>Corporate Account System - Support &amp; Maintenance</v>
          </cell>
        </row>
        <row r="10">
          <cell r="E10" t="str">
            <v>Corporate Account System - Hardware &amp; Hosting</v>
          </cell>
        </row>
        <row r="11">
          <cell r="E11" t="str">
            <v>HR Core Solution - Annual License &amp; Maintenance</v>
          </cell>
        </row>
        <row r="12">
          <cell r="E12" t="str">
            <v>HR Core Solution - Hardware &amp; Hosting</v>
          </cell>
        </row>
        <row r="13">
          <cell r="E13" t="str">
            <v>Document Management Solution - Annual License &amp; Maintenance</v>
          </cell>
        </row>
        <row r="14">
          <cell r="E14" t="str">
            <v>Workflow Solution - Support &amp; Maintenance</v>
          </cell>
        </row>
        <row r="15">
          <cell r="E15" t="str">
            <v>Core Digital Marketing Services</v>
          </cell>
        </row>
        <row r="16">
          <cell r="E16" t="str">
            <v>Email - On-Premises</v>
          </cell>
        </row>
        <row r="17">
          <cell r="E17" t="str">
            <v>Email - Cloud based</v>
          </cell>
        </row>
        <row r="18">
          <cell r="E18" t="str">
            <v>Email - Anti-SPAM &amp; Archive Solution</v>
          </cell>
        </row>
        <row r="19">
          <cell r="E19" t="str">
            <v>File Storage - On-Premises</v>
          </cell>
        </row>
        <row r="20">
          <cell r="E20" t="str">
            <v>File Storage - Cloud based</v>
          </cell>
        </row>
        <row r="21">
          <cell r="E21" t="str">
            <v>File Storage - Backup</v>
          </cell>
        </row>
        <row r="22">
          <cell r="E22" t="str">
            <v>Group CAPEX Recharge</v>
          </cell>
        </row>
        <row r="23">
          <cell r="E23" t="str">
            <v>Domain Name, Security Cert/Compliance Tools - Web hosting</v>
          </cell>
        </row>
        <row r="24">
          <cell r="E24" t="str">
            <v>Domain Name, Security Cert/Compliance Tools - Intranet Services</v>
          </cell>
        </row>
        <row r="25">
          <cell r="E25" t="str">
            <v xml:space="preserve">Disaster Recovery Services </v>
          </cell>
        </row>
        <row r="26">
          <cell r="E26" t="str">
            <v>Internet and Network Security</v>
          </cell>
        </row>
        <row r="27">
          <cell r="E27" t="str">
            <v>IT Support</v>
          </cell>
        </row>
        <row r="28">
          <cell r="E28" t="str">
            <v>Citrix Annual License &amp; Maintenance</v>
          </cell>
        </row>
        <row r="29">
          <cell r="E29" t="str">
            <v>IT Devlopment Tools</v>
          </cell>
        </row>
        <row r="30">
          <cell r="E30" t="str">
            <v>System Management Tools</v>
          </cell>
        </row>
        <row r="31">
          <cell r="E31" t="str">
            <v>Internet Link - Primary Internet Link</v>
          </cell>
        </row>
        <row r="32">
          <cell r="E32" t="str">
            <v>Internet Link - Backup Internet Link</v>
          </cell>
        </row>
        <row r="33">
          <cell r="E33" t="str">
            <v>Internet Link - WIFI/Broadband</v>
          </cell>
        </row>
        <row r="34">
          <cell r="E34" t="str">
            <v>Local Link</v>
          </cell>
        </row>
        <row r="35">
          <cell r="E35" t="str">
            <v>Shared Links</v>
          </cell>
        </row>
        <row r="36">
          <cell r="E36" t="str">
            <v>Secure Connection Solution for Remote Site Office</v>
          </cell>
        </row>
        <row r="37">
          <cell r="E37" t="str">
            <v>Hardware and Computers Maintenance</v>
          </cell>
        </row>
        <row r="38">
          <cell r="E38" t="str">
            <v>Printing Services</v>
          </cell>
        </row>
        <row r="39">
          <cell r="E39" t="str">
            <v>Breakdown of MS EA</v>
          </cell>
        </row>
        <row r="40">
          <cell r="E40" t="str">
            <v>Breakdown of MS True Up</v>
          </cell>
        </row>
        <row r="41">
          <cell r="E41" t="str">
            <v>Premier Support</v>
          </cell>
        </row>
        <row r="42">
          <cell r="E42" t="str">
            <v>MS Office 365</v>
          </cell>
        </row>
        <row r="43">
          <cell r="E43" t="str">
            <v>Asia Main Data Centre</v>
          </cell>
        </row>
        <row r="44">
          <cell r="E44" t="str">
            <v>Telephone System Mainteance</v>
          </cell>
        </row>
        <row r="45">
          <cell r="E45" t="str">
            <v>Video Conferene Appliance</v>
          </cell>
        </row>
        <row r="46">
          <cell r="E46" t="str">
            <v>Mobile Phone</v>
          </cell>
        </row>
        <row r="47">
          <cell r="E47" t="str">
            <v>Miscellaneous Software</v>
          </cell>
        </row>
        <row r="48">
          <cell r="E48" t="str">
            <v>Property Management System - Support &amp; Maintenance</v>
          </cell>
        </row>
        <row r="49">
          <cell r="E49" t="str">
            <v>Property Management System - Hardware &amp; Hosting</v>
          </cell>
        </row>
        <row r="50">
          <cell r="E50" t="str">
            <v>Mobile Application for Resident</v>
          </cell>
        </row>
        <row r="51">
          <cell r="E51" t="str">
            <v>Mobile Application for Staff</v>
          </cell>
        </row>
        <row r="52">
          <cell r="E52" t="str">
            <v>Investor Portal</v>
          </cell>
        </row>
        <row r="53">
          <cell r="E53" t="str">
            <v>Engineering</v>
          </cell>
        </row>
        <row r="54">
          <cell r="E54" t="str">
            <v>Guardian Care</v>
          </cell>
        </row>
        <row r="55">
          <cell r="E55" t="str">
            <v>Teleprotection Solutions</v>
          </cell>
        </row>
        <row r="56">
          <cell r="E56" t="str">
            <v>Valuation Management System - Support &amp; Maintenance</v>
          </cell>
        </row>
        <row r="57">
          <cell r="E57" t="str">
            <v>Valuation Management System - Hardware &amp; Hosting</v>
          </cell>
        </row>
        <row r="58">
          <cell r="E58" t="str">
            <v>CSC</v>
          </cell>
        </row>
      </sheetData>
      <sheetData sheetId="1">
        <row r="1">
          <cell r="A1" t="str">
            <v>Cost Centre Code</v>
          </cell>
          <cell r="B1" t="str">
            <v>Name</v>
          </cell>
          <cell r="C1" t="str">
            <v>Local Currency</v>
          </cell>
        </row>
        <row r="2">
          <cell r="A2" t="str">
            <v>MSL</v>
          </cell>
          <cell r="B2" t="str">
            <v>Savills Management Services Ltd</v>
          </cell>
          <cell r="C2" t="str">
            <v>HKD</v>
          </cell>
          <cell r="F2">
            <v>2.75</v>
          </cell>
        </row>
        <row r="3">
          <cell r="A3" t="str">
            <v>HKL</v>
          </cell>
          <cell r="B3" t="str">
            <v>Savills (Hong Kong) Ltd</v>
          </cell>
          <cell r="C3" t="str">
            <v>HKD</v>
          </cell>
        </row>
        <row r="4">
          <cell r="A4" t="str">
            <v>VPSL</v>
          </cell>
          <cell r="B4" t="str">
            <v>Savills Valuation and Professional Services Ltd</v>
          </cell>
          <cell r="C4" t="str">
            <v>HKD</v>
          </cell>
        </row>
        <row r="5">
          <cell r="A5" t="str">
            <v>RL</v>
          </cell>
          <cell r="B5" t="str">
            <v>Savills Realty Ltd</v>
          </cell>
          <cell r="C5" t="str">
            <v>HKD</v>
          </cell>
        </row>
        <row r="6">
          <cell r="A6" t="str">
            <v>SPML</v>
          </cell>
          <cell r="B6" t="str">
            <v>Savills Property Management Ltd</v>
          </cell>
          <cell r="C6" t="str">
            <v>HKD</v>
          </cell>
        </row>
        <row r="7">
          <cell r="A7" t="str">
            <v>GPML</v>
          </cell>
          <cell r="B7" t="str">
            <v>Savills Guardian Group</v>
          </cell>
          <cell r="C7" t="str">
            <v>HKD</v>
          </cell>
        </row>
        <row r="8">
          <cell r="A8" t="str">
            <v>SH</v>
          </cell>
          <cell r="B8" t="str">
            <v>Savills Property Services (Shanghai) Company Limited</v>
          </cell>
          <cell r="C8" t="str">
            <v>RMB</v>
          </cell>
        </row>
        <row r="9">
          <cell r="A9" t="str">
            <v>BJ</v>
          </cell>
          <cell r="B9" t="str">
            <v>Savills Property Services (Beijing) Company Limited</v>
          </cell>
          <cell r="C9" t="str">
            <v>RMB</v>
          </cell>
        </row>
        <row r="10">
          <cell r="A10" t="str">
            <v>BJ Val</v>
          </cell>
          <cell r="B10" t="str">
            <v>Savills Valuation and Professional Services Limited</v>
          </cell>
          <cell r="C10" t="str">
            <v>RMB</v>
          </cell>
        </row>
        <row r="11">
          <cell r="A11" t="str">
            <v>SZ</v>
          </cell>
          <cell r="B11" t="str">
            <v>Savills Property Services (Guangzhou) Company Limited Shenzhen Branch</v>
          </cell>
          <cell r="C11" t="str">
            <v>RMB</v>
          </cell>
        </row>
        <row r="12">
          <cell r="A12" t="str">
            <v>GZ</v>
          </cell>
          <cell r="B12" t="str">
            <v>Savills Property Services (Guangzhou) Limited</v>
          </cell>
          <cell r="C12" t="str">
            <v>RMB</v>
          </cell>
        </row>
        <row r="13">
          <cell r="A13" t="str">
            <v>GZ Val</v>
          </cell>
          <cell r="B13" t="str">
            <v>Savills Property Services (Guangzhou) Limited</v>
          </cell>
          <cell r="C13" t="str">
            <v>RMB</v>
          </cell>
        </row>
        <row r="14">
          <cell r="A14" t="str">
            <v>CD</v>
          </cell>
          <cell r="B14" t="str">
            <v>Savills Property Services (Chengdu) Limited</v>
          </cell>
          <cell r="C14" t="str">
            <v>RMB</v>
          </cell>
        </row>
        <row r="15">
          <cell r="A15" t="str">
            <v>TJ</v>
          </cell>
          <cell r="B15" t="str">
            <v>Savills Property Services (Beijing) Co. Ltd. - Tianjin Branch</v>
          </cell>
          <cell r="C15" t="str">
            <v>RMB</v>
          </cell>
        </row>
        <row r="16">
          <cell r="A16" t="str">
            <v>DL</v>
          </cell>
          <cell r="B16" t="str">
            <v>Savills Property Services (Beijing) Co. Ltd. - Dalian Branch</v>
          </cell>
          <cell r="C16" t="str">
            <v>RMB</v>
          </cell>
        </row>
        <row r="17">
          <cell r="A17" t="str">
            <v>CQ</v>
          </cell>
          <cell r="B17" t="str">
            <v>Savills Property Services (Chengdu) Limited Chongqing Branch</v>
          </cell>
          <cell r="C17" t="str">
            <v>RMB</v>
          </cell>
        </row>
        <row r="18">
          <cell r="A18" t="str">
            <v>HZ</v>
          </cell>
          <cell r="B18" t="str">
            <v>Savills Property Services (Shanghai) Company Limited HangZhou</v>
          </cell>
          <cell r="C18" t="str">
            <v>RMB</v>
          </cell>
        </row>
        <row r="19">
          <cell r="A19" t="str">
            <v>XM</v>
          </cell>
          <cell r="B19" t="str">
            <v>Savills Property Services (Guangzhou) Limited - Xiamen Branch</v>
          </cell>
          <cell r="C19" t="str">
            <v>RMB</v>
          </cell>
        </row>
        <row r="20">
          <cell r="A20" t="str">
            <v>SY</v>
          </cell>
          <cell r="B20" t="str">
            <v>Savills Property Services (Beijing) Co. Ltd.- Shenyang Branch</v>
          </cell>
          <cell r="C20" t="str">
            <v>RMB</v>
          </cell>
        </row>
        <row r="21">
          <cell r="A21" t="str">
            <v>ZH</v>
          </cell>
          <cell r="B21" t="str">
            <v>Savills Property Services (Zhuhai) Limited</v>
          </cell>
          <cell r="C21" t="str">
            <v>RMB</v>
          </cell>
        </row>
        <row r="22">
          <cell r="A22" t="str">
            <v>QD</v>
          </cell>
          <cell r="B22" t="str">
            <v>Savills Property Services (Beijing) Co. Ltd. - Qingdao Branch</v>
          </cell>
          <cell r="C22" t="str">
            <v>RMB</v>
          </cell>
        </row>
        <row r="23">
          <cell r="A23" t="str">
            <v>NJ</v>
          </cell>
          <cell r="B23" t="str">
            <v>Savills Property Services (Shanghai) Company Limited Nanjing Branch</v>
          </cell>
          <cell r="C23" t="str">
            <v>RMB</v>
          </cell>
        </row>
        <row r="24">
          <cell r="A24" t="str">
            <v>XA</v>
          </cell>
          <cell r="B24" t="str">
            <v>Savills Property Services (Chengdu) Limited - Xi'an Branch</v>
          </cell>
          <cell r="C24" t="str">
            <v>RMB</v>
          </cell>
        </row>
        <row r="25">
          <cell r="A25" t="str">
            <v>MO</v>
          </cell>
          <cell r="B25" t="str">
            <v>Savills (Macau) Limited</v>
          </cell>
          <cell r="C25" t="str">
            <v>MOP</v>
          </cell>
        </row>
        <row r="26">
          <cell r="A26" t="str">
            <v>JP</v>
          </cell>
          <cell r="B26" t="str">
            <v>Savills Japan K.K.</v>
          </cell>
          <cell r="C26" t="str">
            <v>JPY</v>
          </cell>
        </row>
        <row r="27">
          <cell r="A27" t="str">
            <v>KR</v>
          </cell>
          <cell r="B27" t="str">
            <v>Savills Korea</v>
          </cell>
          <cell r="C27" t="str">
            <v>WON</v>
          </cell>
        </row>
        <row r="28">
          <cell r="A28" t="str">
            <v>SG</v>
          </cell>
          <cell r="B28" t="str">
            <v>Savills Singapore Pte Ltd</v>
          </cell>
          <cell r="C28" t="str">
            <v>SGD</v>
          </cell>
        </row>
        <row r="29">
          <cell r="A29" t="str">
            <v>TH</v>
          </cell>
          <cell r="B29" t="str">
            <v>Savills (Thailand) Limited</v>
          </cell>
          <cell r="C29" t="str">
            <v>THB</v>
          </cell>
        </row>
        <row r="30">
          <cell r="A30" t="str">
            <v>TW</v>
          </cell>
          <cell r="B30" t="str">
            <v>Savills (Taiwan) Limited</v>
          </cell>
          <cell r="C30" t="str">
            <v>TWD</v>
          </cell>
        </row>
        <row r="31">
          <cell r="A31" t="str">
            <v>VN</v>
          </cell>
          <cell r="B31" t="str">
            <v>Savills Vietnam Limited</v>
          </cell>
          <cell r="C31" t="str">
            <v>VND</v>
          </cell>
        </row>
        <row r="32">
          <cell r="A32" t="str">
            <v>ID</v>
          </cell>
          <cell r="C32" t="str">
            <v>INR</v>
          </cell>
        </row>
        <row r="33">
          <cell r="A33" t="str">
            <v>IN</v>
          </cell>
          <cell r="B33" t="str">
            <v>PT. Savills Consultant Indonesia</v>
          </cell>
          <cell r="C33" t="str">
            <v>RUP</v>
          </cell>
        </row>
        <row r="34">
          <cell r="A34" t="str">
            <v>PH</v>
          </cell>
          <cell r="C34" t="str">
            <v>PHP</v>
          </cell>
        </row>
        <row r="35">
          <cell r="A35" t="str">
            <v>MY</v>
          </cell>
          <cell r="B35" t="str">
            <v>Savills Malaysia Limited</v>
          </cell>
          <cell r="C35" t="str">
            <v>MYR</v>
          </cell>
        </row>
      </sheetData>
      <sheetData sheetId="2"/>
      <sheetData sheetId="3">
        <row r="2">
          <cell r="G2">
            <v>2016</v>
          </cell>
        </row>
      </sheetData>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근무"/>
      <sheetName val="견적"/>
      <sheetName val="견적서"/>
      <sheetName val="견적내역"/>
      <sheetName val="산출기준"/>
      <sheetName val="인건"/>
      <sheetName val="소모품"/>
      <sheetName val="PROJECT BRIEF(EX.NEW)"/>
      <sheetName val="Elemental Breakdown-Original"/>
      <sheetName val="Assumptions"/>
      <sheetName val="PJ_Import"/>
      <sheetName val="Prop_Summary"/>
      <sheetName val="I. Assumptions"/>
      <sheetName val="Situation"/>
      <sheetName val="Ext. Stone-P"/>
      <sheetName val="완성차 미수금"/>
      <sheetName val="Sheet5"/>
      <sheetName val="Area"/>
      <sheetName val="15.Op. Activities"/>
      <sheetName val="13.Op. Activities"/>
      <sheetName val="Balance"/>
      <sheetName val="DETBIL"/>
      <sheetName val="General"/>
      <sheetName val="한국중공업보안"/>
      <sheetName val="9-1차이내역"/>
      <sheetName val="Basic_Information"/>
      <sheetName val="조명율표"/>
      <sheetName val="Total-STALLION"/>
      <sheetName val="PROJECT_BRIEF(EX_NEW)"/>
      <sheetName val="Elemental_Breakdown-Original"/>
      <sheetName val="I__Assumptions"/>
      <sheetName val="완성차_미수금"/>
      <sheetName val="Ext__Stone-P"/>
      <sheetName val="15_Op__Activities"/>
      <sheetName val="13_Op__Activities"/>
      <sheetName val="인원계획-미화"/>
      <sheetName val="2.Summary-cash"/>
      <sheetName val="Master Sheet"/>
      <sheetName val="C_Sum(2)"/>
      <sheetName val="P1 Br Overall KPI"/>
      <sheetName val="yakumo"/>
      <sheetName val="Sheet2"/>
      <sheetName val="Cash Flow"/>
      <sheetName val="Source"/>
      <sheetName val="Prices"/>
      <sheetName val="내역"/>
      <sheetName val="Variable"/>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5"/>
      <sheetName val="Sheet3"/>
      <sheetName val="Sheet2"/>
      <sheetName val="Sheet1"/>
      <sheetName val="Sheet4"/>
    </sheetNames>
    <sheetDataSet>
      <sheetData sheetId="0">
        <row r="8">
          <cell r="A8" t="str">
            <v>New Project</v>
          </cell>
          <cell r="B8">
            <v>2014</v>
          </cell>
          <cell r="C8" t="str">
            <v>Infra</v>
          </cell>
          <cell r="D8" t="str">
            <v>HK-MSL</v>
          </cell>
          <cell r="E8">
            <v>0</v>
          </cell>
          <cell r="F8" t="str">
            <v>2-Factor Security (Group under EMS project)</v>
          </cell>
          <cell r="G8" t="str">
            <v>2-Factor Security (EMS Component - MS EMS)</v>
          </cell>
          <cell r="H8" t="str">
            <v>AP Region</v>
          </cell>
          <cell r="I8">
            <v>0</v>
          </cell>
          <cell r="J8" t="str">
            <v>HKD</v>
          </cell>
          <cell r="K8">
            <v>450000</v>
          </cell>
          <cell r="L8" t="str">
            <v>HKD</v>
          </cell>
          <cell r="M8">
            <v>450000</v>
          </cell>
          <cell r="N8">
            <v>3</v>
          </cell>
          <cell r="O8">
            <v>9</v>
          </cell>
          <cell r="P8">
            <v>36</v>
          </cell>
          <cell r="Q8">
            <v>112500</v>
          </cell>
        </row>
        <row r="9">
          <cell r="A9" t="str">
            <v>New Project</v>
          </cell>
          <cell r="B9">
            <v>2016</v>
          </cell>
          <cell r="C9" t="str">
            <v>Peter</v>
          </cell>
          <cell r="D9" t="str">
            <v>CN</v>
          </cell>
          <cell r="E9">
            <v>0</v>
          </cell>
          <cell r="F9" t="str">
            <v>Adobe Software</v>
          </cell>
          <cell r="G9" t="str">
            <v>Adobe Acrobat</v>
          </cell>
          <cell r="H9" t="str">
            <v>CN</v>
          </cell>
          <cell r="I9" t="str">
            <v>SoftwareOne</v>
          </cell>
          <cell r="J9" t="str">
            <v>RMB</v>
          </cell>
          <cell r="K9">
            <v>30000</v>
          </cell>
          <cell r="L9" t="str">
            <v>HKD</v>
          </cell>
          <cell r="M9">
            <v>37455</v>
          </cell>
          <cell r="N9">
            <v>6</v>
          </cell>
          <cell r="O9">
            <v>6</v>
          </cell>
          <cell r="P9">
            <v>36</v>
          </cell>
          <cell r="Q9">
            <v>6242.5</v>
          </cell>
        </row>
        <row r="10">
          <cell r="A10" t="str">
            <v>New Project</v>
          </cell>
          <cell r="B10">
            <v>2016</v>
          </cell>
          <cell r="C10" t="str">
            <v>Peter</v>
          </cell>
          <cell r="D10" t="str">
            <v>CN</v>
          </cell>
          <cell r="E10">
            <v>0</v>
          </cell>
          <cell r="F10" t="str">
            <v>AeroHive Office WiFi</v>
          </cell>
          <cell r="G10" t="str">
            <v>Enterprise level professional WiFi solution</v>
          </cell>
          <cell r="H10" t="str">
            <v>CN</v>
          </cell>
          <cell r="I10" t="str">
            <v>AeroHive</v>
          </cell>
          <cell r="J10" t="str">
            <v>RMB</v>
          </cell>
          <cell r="K10">
            <v>160000</v>
          </cell>
          <cell r="L10" t="str">
            <v>HKD</v>
          </cell>
          <cell r="M10">
            <v>199760</v>
          </cell>
          <cell r="N10">
            <v>3</v>
          </cell>
          <cell r="O10">
            <v>9</v>
          </cell>
          <cell r="P10">
            <v>36</v>
          </cell>
          <cell r="Q10">
            <v>49940</v>
          </cell>
        </row>
        <row r="11">
          <cell r="A11" t="str">
            <v>Refreshment</v>
          </cell>
          <cell r="B11">
            <v>2016</v>
          </cell>
          <cell r="C11" t="str">
            <v>Josh</v>
          </cell>
          <cell r="D11" t="str">
            <v>TW</v>
          </cell>
          <cell r="E11">
            <v>0</v>
          </cell>
          <cell r="F11" t="str">
            <v>APC SUA1000</v>
          </cell>
          <cell r="G11" t="str">
            <v>Battery Replacement (NH)</v>
          </cell>
          <cell r="H11" t="str">
            <v>TW</v>
          </cell>
          <cell r="I11" t="str">
            <v>eTatung</v>
          </cell>
          <cell r="J11" t="str">
            <v>TWD</v>
          </cell>
          <cell r="K11">
            <v>8000</v>
          </cell>
          <cell r="L11" t="str">
            <v>HKD</v>
          </cell>
          <cell r="M11">
            <v>1960</v>
          </cell>
          <cell r="N11">
            <v>8</v>
          </cell>
          <cell r="O11">
            <v>4</v>
          </cell>
          <cell r="P11">
            <v>36</v>
          </cell>
          <cell r="Q11">
            <v>217.77777777777777</v>
          </cell>
        </row>
        <row r="12">
          <cell r="A12" t="str">
            <v>Refreshment</v>
          </cell>
          <cell r="B12">
            <v>2016</v>
          </cell>
          <cell r="C12" t="str">
            <v>Josh</v>
          </cell>
          <cell r="D12" t="str">
            <v>TW</v>
          </cell>
          <cell r="E12">
            <v>0</v>
          </cell>
          <cell r="F12" t="str">
            <v>APC SUA1000</v>
          </cell>
          <cell r="G12" t="str">
            <v>Battery Replacement (DA)</v>
          </cell>
          <cell r="H12" t="str">
            <v>TW</v>
          </cell>
          <cell r="I12" t="str">
            <v>eTatung</v>
          </cell>
          <cell r="J12" t="str">
            <v>TWD</v>
          </cell>
          <cell r="K12">
            <v>8000</v>
          </cell>
          <cell r="L12" t="str">
            <v>HKD</v>
          </cell>
          <cell r="M12">
            <v>1960</v>
          </cell>
          <cell r="N12">
            <v>8</v>
          </cell>
          <cell r="O12">
            <v>4</v>
          </cell>
          <cell r="P12">
            <v>36</v>
          </cell>
          <cell r="Q12">
            <v>217.77777777777777</v>
          </cell>
        </row>
        <row r="13">
          <cell r="A13" t="str">
            <v>Refreshment</v>
          </cell>
          <cell r="B13">
            <v>2016</v>
          </cell>
          <cell r="C13" t="str">
            <v>Josh</v>
          </cell>
          <cell r="D13" t="str">
            <v>TW</v>
          </cell>
          <cell r="E13">
            <v>0</v>
          </cell>
          <cell r="F13" t="str">
            <v>APC UPS 1000UA</v>
          </cell>
          <cell r="G13" t="str">
            <v>Battery Replacement (XY)</v>
          </cell>
          <cell r="H13" t="str">
            <v>TW</v>
          </cell>
          <cell r="I13" t="str">
            <v>eTatung</v>
          </cell>
          <cell r="J13" t="str">
            <v>TWD</v>
          </cell>
          <cell r="K13">
            <v>8000</v>
          </cell>
          <cell r="L13" t="str">
            <v>HKD</v>
          </cell>
          <cell r="M13">
            <v>1960</v>
          </cell>
          <cell r="N13">
            <v>10</v>
          </cell>
          <cell r="O13">
            <v>2</v>
          </cell>
          <cell r="P13">
            <v>36</v>
          </cell>
          <cell r="Q13">
            <v>108.88888888888889</v>
          </cell>
        </row>
        <row r="14">
          <cell r="A14" t="str">
            <v>Refreshment</v>
          </cell>
          <cell r="B14">
            <v>2016</v>
          </cell>
          <cell r="C14" t="str">
            <v>Josh</v>
          </cell>
          <cell r="D14" t="str">
            <v>TW</v>
          </cell>
          <cell r="E14">
            <v>0</v>
          </cell>
          <cell r="F14" t="str">
            <v>APC UPS 1000UA</v>
          </cell>
          <cell r="G14" t="str">
            <v>Battery Replacement (ZS)</v>
          </cell>
          <cell r="H14" t="str">
            <v>TW</v>
          </cell>
          <cell r="I14" t="str">
            <v>eTatung</v>
          </cell>
          <cell r="J14" t="str">
            <v>TWD</v>
          </cell>
          <cell r="K14">
            <v>8000</v>
          </cell>
          <cell r="L14" t="str">
            <v>HKD</v>
          </cell>
          <cell r="M14">
            <v>1960</v>
          </cell>
          <cell r="N14">
            <v>8</v>
          </cell>
          <cell r="O14">
            <v>4</v>
          </cell>
          <cell r="P14">
            <v>36</v>
          </cell>
          <cell r="Q14">
            <v>217.77777777777777</v>
          </cell>
        </row>
        <row r="15">
          <cell r="A15" t="str">
            <v>Refreshment</v>
          </cell>
          <cell r="B15">
            <v>2017</v>
          </cell>
          <cell r="C15" t="str">
            <v>Jess</v>
          </cell>
          <cell r="D15" t="str">
            <v>SG</v>
          </cell>
          <cell r="E15">
            <v>0</v>
          </cell>
          <cell r="F15" t="str">
            <v>Autoloaded Replacement</v>
          </cell>
          <cell r="G15">
            <v>0</v>
          </cell>
          <cell r="H15" t="str">
            <v>SG</v>
          </cell>
          <cell r="I15" t="str">
            <v>HP</v>
          </cell>
          <cell r="J15" t="str">
            <v>SGD</v>
          </cell>
          <cell r="K15">
            <v>18000</v>
          </cell>
          <cell r="L15" t="str">
            <v>HKD</v>
          </cell>
          <cell r="M15">
            <v>101781</v>
          </cell>
          <cell r="N15">
            <v>4</v>
          </cell>
          <cell r="O15">
            <v>8</v>
          </cell>
          <cell r="P15">
            <v>48</v>
          </cell>
          <cell r="Q15">
            <v>16963.5</v>
          </cell>
        </row>
        <row r="16">
          <cell r="A16" t="str">
            <v>New Project</v>
          </cell>
          <cell r="B16">
            <v>2015</v>
          </cell>
          <cell r="C16" t="str">
            <v>Hiroshi</v>
          </cell>
          <cell r="D16" t="str">
            <v>JP</v>
          </cell>
          <cell r="E16">
            <v>0</v>
          </cell>
          <cell r="F16" t="str">
            <v>AX Dynamics ERP</v>
          </cell>
          <cell r="G16">
            <v>0</v>
          </cell>
          <cell r="H16" t="str">
            <v>JP</v>
          </cell>
          <cell r="I16" t="str">
            <v>Microsoft</v>
          </cell>
          <cell r="J16" t="str">
            <v>JPY</v>
          </cell>
          <cell r="K16">
            <v>12347343.979975617</v>
          </cell>
          <cell r="L16" t="str">
            <v>HKD</v>
          </cell>
          <cell r="M16">
            <v>772943.73314647365</v>
          </cell>
          <cell r="N16">
            <v>10</v>
          </cell>
          <cell r="O16">
            <v>2</v>
          </cell>
          <cell r="P16">
            <v>60</v>
          </cell>
          <cell r="Q16">
            <v>25764.791104882454</v>
          </cell>
        </row>
        <row r="17">
          <cell r="A17" t="str">
            <v>Proposed Project</v>
          </cell>
          <cell r="B17">
            <v>2015</v>
          </cell>
          <cell r="C17" t="str">
            <v>Jess</v>
          </cell>
          <cell r="D17" t="str">
            <v>SG</v>
          </cell>
          <cell r="E17">
            <v>0</v>
          </cell>
          <cell r="F17" t="str">
            <v>AX Dynamics ERP</v>
          </cell>
          <cell r="G17" t="str">
            <v>3 License Increases</v>
          </cell>
          <cell r="H17" t="str">
            <v>SG</v>
          </cell>
          <cell r="I17">
            <v>0</v>
          </cell>
          <cell r="J17" t="str">
            <v>SGD</v>
          </cell>
          <cell r="K17">
            <v>3434</v>
          </cell>
          <cell r="L17" t="str">
            <v>HKD</v>
          </cell>
          <cell r="M17">
            <v>19417.553</v>
          </cell>
          <cell r="N17">
            <v>4</v>
          </cell>
          <cell r="O17">
            <v>8</v>
          </cell>
          <cell r="P17">
            <v>60</v>
          </cell>
          <cell r="Q17">
            <v>2589.0070666666666</v>
          </cell>
        </row>
        <row r="18">
          <cell r="A18" t="str">
            <v>Refreshment</v>
          </cell>
          <cell r="B18">
            <v>2016</v>
          </cell>
          <cell r="C18" t="str">
            <v>Hiroshi</v>
          </cell>
          <cell r="D18" t="str">
            <v>JP</v>
          </cell>
          <cell r="E18">
            <v>0</v>
          </cell>
          <cell r="F18" t="str">
            <v>Backup Server</v>
          </cell>
          <cell r="G18" t="str">
            <v>JPDPM2 (Need to Extend 1 year HW maintenance @ 2015)</v>
          </cell>
          <cell r="H18" t="str">
            <v>JP</v>
          </cell>
          <cell r="I18" t="str">
            <v>HP</v>
          </cell>
          <cell r="J18" t="str">
            <v>JPY</v>
          </cell>
          <cell r="K18">
            <v>2566485.1424875818</v>
          </cell>
          <cell r="L18" t="str">
            <v>HKD</v>
          </cell>
          <cell r="M18">
            <v>160661.96991972264</v>
          </cell>
          <cell r="N18">
            <v>2</v>
          </cell>
          <cell r="O18">
            <v>10</v>
          </cell>
          <cell r="P18">
            <v>36</v>
          </cell>
          <cell r="Q18">
            <v>44628.32497770073</v>
          </cell>
        </row>
        <row r="19">
          <cell r="A19" t="str">
            <v>Refreshment</v>
          </cell>
          <cell r="B19">
            <v>2016</v>
          </cell>
          <cell r="C19" t="str">
            <v>Josh</v>
          </cell>
          <cell r="D19" t="str">
            <v>TW</v>
          </cell>
          <cell r="E19">
            <v>0</v>
          </cell>
          <cell r="F19" t="str">
            <v>Backup Server</v>
          </cell>
          <cell r="G19" t="str">
            <v>DPM Server</v>
          </cell>
          <cell r="H19" t="str">
            <v>TW</v>
          </cell>
          <cell r="I19" t="str">
            <v>eTatung</v>
          </cell>
          <cell r="J19" t="str">
            <v>TWD</v>
          </cell>
          <cell r="K19">
            <v>400000</v>
          </cell>
          <cell r="L19" t="str">
            <v>HKD</v>
          </cell>
          <cell r="M19">
            <v>98000</v>
          </cell>
          <cell r="N19">
            <v>10</v>
          </cell>
          <cell r="O19">
            <v>2</v>
          </cell>
          <cell r="P19">
            <v>48</v>
          </cell>
          <cell r="Q19">
            <v>4083.3333333333335</v>
          </cell>
        </row>
        <row r="20">
          <cell r="A20" t="str">
            <v>New Project</v>
          </cell>
          <cell r="B20">
            <v>2014</v>
          </cell>
          <cell r="C20" t="str">
            <v>Ops</v>
          </cell>
          <cell r="D20" t="str">
            <v>HK-SHKL</v>
          </cell>
          <cell r="E20">
            <v>0</v>
          </cell>
          <cell r="F20" t="str">
            <v>Boardroom Presentation Equipment</v>
          </cell>
          <cell r="G20" t="str">
            <v>New purchased Presentation Equipment (Board rooms + Conference rooms) (SHKL)</v>
          </cell>
          <cell r="H20" t="str">
            <v>HKL</v>
          </cell>
          <cell r="I20" t="str">
            <v>UAT</v>
          </cell>
          <cell r="J20" t="str">
            <v>HKD</v>
          </cell>
          <cell r="K20">
            <v>30189</v>
          </cell>
          <cell r="L20" t="str">
            <v>HKD</v>
          </cell>
          <cell r="M20">
            <v>30189</v>
          </cell>
          <cell r="N20">
            <v>6</v>
          </cell>
          <cell r="O20">
            <v>6</v>
          </cell>
          <cell r="P20">
            <v>48</v>
          </cell>
          <cell r="Q20">
            <v>3773.625</v>
          </cell>
        </row>
        <row r="21">
          <cell r="A21" t="str">
            <v>New Project</v>
          </cell>
          <cell r="B21">
            <v>2016</v>
          </cell>
          <cell r="C21" t="str">
            <v>Josh</v>
          </cell>
          <cell r="D21" t="str">
            <v>TW</v>
          </cell>
          <cell r="E21">
            <v>0</v>
          </cell>
          <cell r="F21" t="str">
            <v>BOX Starter</v>
          </cell>
          <cell r="G21" t="str">
            <v>BOX Business version low level, more functions then personal version (License Compliance Check by Josh)</v>
          </cell>
          <cell r="H21" t="str">
            <v>TW</v>
          </cell>
          <cell r="I21" t="str">
            <v>BOX</v>
          </cell>
          <cell r="J21" t="str">
            <v>TWD</v>
          </cell>
          <cell r="K21">
            <v>25000</v>
          </cell>
          <cell r="L21" t="str">
            <v>HKD</v>
          </cell>
          <cell r="M21">
            <v>6125</v>
          </cell>
          <cell r="N21">
            <v>1</v>
          </cell>
          <cell r="O21">
            <v>11</v>
          </cell>
          <cell r="P21">
            <v>12</v>
          </cell>
          <cell r="Q21">
            <v>5614.5833333333339</v>
          </cell>
        </row>
        <row r="22">
          <cell r="A22" t="str">
            <v>Refreshment</v>
          </cell>
          <cell r="B22">
            <v>2015</v>
          </cell>
          <cell r="C22" t="str">
            <v>Hiroshi</v>
          </cell>
          <cell r="D22" t="str">
            <v>JP</v>
          </cell>
          <cell r="E22">
            <v>0</v>
          </cell>
          <cell r="F22" t="str">
            <v>CGSS renewal 3 years (2015-2018)</v>
          </cell>
          <cell r="G22" t="str">
            <v>SonicWall CGSS license</v>
          </cell>
          <cell r="H22" t="str">
            <v>JP</v>
          </cell>
          <cell r="I22" t="str">
            <v>Dell</v>
          </cell>
          <cell r="J22" t="str">
            <v>JPY</v>
          </cell>
          <cell r="K22">
            <v>481215.96421642159</v>
          </cell>
          <cell r="L22" t="str">
            <v>HKD</v>
          </cell>
          <cell r="M22">
            <v>30124.119359947992</v>
          </cell>
          <cell r="N22">
            <v>9</v>
          </cell>
          <cell r="O22">
            <v>3</v>
          </cell>
          <cell r="P22">
            <v>36</v>
          </cell>
          <cell r="Q22">
            <v>2510.3432799956659</v>
          </cell>
        </row>
        <row r="23">
          <cell r="A23" t="str">
            <v>New Project</v>
          </cell>
          <cell r="B23">
            <v>2016</v>
          </cell>
          <cell r="C23" t="str">
            <v>Peter</v>
          </cell>
          <cell r="D23" t="str">
            <v>CN</v>
          </cell>
          <cell r="E23">
            <v>0</v>
          </cell>
          <cell r="F23" t="str">
            <v>China PM CRM</v>
          </cell>
          <cell r="G23" t="str">
            <v>Microsoft CRM Phase 1- Implemenation/Development/Customization</v>
          </cell>
          <cell r="H23" t="str">
            <v>China PM</v>
          </cell>
          <cell r="I23" t="str">
            <v>Wikresoft</v>
          </cell>
          <cell r="J23" t="str">
            <v>RMB</v>
          </cell>
          <cell r="K23">
            <v>672000</v>
          </cell>
          <cell r="L23" t="str">
            <v>HKD</v>
          </cell>
          <cell r="M23">
            <v>838992</v>
          </cell>
          <cell r="N23">
            <v>1</v>
          </cell>
          <cell r="O23">
            <v>11</v>
          </cell>
          <cell r="P23">
            <v>48</v>
          </cell>
          <cell r="Q23">
            <v>192269</v>
          </cell>
        </row>
        <row r="24">
          <cell r="A24" t="str">
            <v>New Project</v>
          </cell>
          <cell r="B24">
            <v>2016</v>
          </cell>
          <cell r="C24" t="str">
            <v>Peter</v>
          </cell>
          <cell r="D24" t="str">
            <v>CN</v>
          </cell>
          <cell r="E24">
            <v>0</v>
          </cell>
          <cell r="F24" t="str">
            <v>China PM CRM</v>
          </cell>
          <cell r="G24" t="str">
            <v>Microsoft CRM Phase 2- Implemenation/Development/Customization</v>
          </cell>
          <cell r="H24" t="str">
            <v>China PM</v>
          </cell>
          <cell r="I24" t="str">
            <v>Wikresoft</v>
          </cell>
          <cell r="J24" t="str">
            <v>RMB</v>
          </cell>
          <cell r="K24">
            <v>975000</v>
          </cell>
          <cell r="L24" t="str">
            <v>HKD</v>
          </cell>
          <cell r="M24">
            <v>1217287.5</v>
          </cell>
          <cell r="N24">
            <v>6</v>
          </cell>
          <cell r="O24">
            <v>6</v>
          </cell>
          <cell r="P24">
            <v>48</v>
          </cell>
          <cell r="Q24">
            <v>152160.9375</v>
          </cell>
        </row>
        <row r="25">
          <cell r="A25" t="str">
            <v>New Project</v>
          </cell>
          <cell r="B25">
            <v>2016</v>
          </cell>
          <cell r="C25" t="str">
            <v>Peter</v>
          </cell>
          <cell r="D25" t="str">
            <v>CN</v>
          </cell>
          <cell r="E25">
            <v>0</v>
          </cell>
          <cell r="F25" t="str">
            <v>China PM CRM</v>
          </cell>
          <cell r="G25" t="str">
            <v>Microsoft CRM - User license Cost, Pro Cal - 53 License</v>
          </cell>
          <cell r="H25" t="str">
            <v>China PM</v>
          </cell>
          <cell r="I25" t="str">
            <v>SoftwareOne</v>
          </cell>
          <cell r="J25" t="str">
            <v>RMB</v>
          </cell>
          <cell r="K25">
            <v>177465.86</v>
          </cell>
          <cell r="L25" t="str">
            <v>HKD</v>
          </cell>
          <cell r="M25">
            <v>221566.12620999996</v>
          </cell>
          <cell r="N25">
            <v>6</v>
          </cell>
          <cell r="O25">
            <v>6</v>
          </cell>
          <cell r="P25">
            <v>36</v>
          </cell>
          <cell r="Q25">
            <v>36927.687701666662</v>
          </cell>
        </row>
        <row r="26">
          <cell r="A26" t="str">
            <v>New Project</v>
          </cell>
          <cell r="B26">
            <v>2016</v>
          </cell>
          <cell r="C26" t="str">
            <v>Peter</v>
          </cell>
          <cell r="D26" t="str">
            <v>CN</v>
          </cell>
          <cell r="E26">
            <v>0</v>
          </cell>
          <cell r="F26" t="str">
            <v>China PM CRM</v>
          </cell>
          <cell r="G26" t="str">
            <v>Microsoft CRM - User license Cost, Basic Cal - 76 License</v>
          </cell>
          <cell r="H26" t="str">
            <v>China PM</v>
          </cell>
          <cell r="I26" t="str">
            <v>SoftwareOne</v>
          </cell>
          <cell r="J26" t="str">
            <v>RMB</v>
          </cell>
          <cell r="K26">
            <v>85086.49</v>
          </cell>
          <cell r="L26" t="str">
            <v>HKD</v>
          </cell>
          <cell r="M26">
            <v>106230.48276500001</v>
          </cell>
          <cell r="N26">
            <v>6</v>
          </cell>
          <cell r="O26">
            <v>6</v>
          </cell>
          <cell r="P26">
            <v>36</v>
          </cell>
          <cell r="Q26">
            <v>17705.080460833335</v>
          </cell>
        </row>
        <row r="27">
          <cell r="A27" t="str">
            <v>New Project</v>
          </cell>
          <cell r="B27">
            <v>2016</v>
          </cell>
          <cell r="C27" t="str">
            <v>Peter</v>
          </cell>
          <cell r="D27" t="str">
            <v>CN</v>
          </cell>
          <cell r="E27">
            <v>0</v>
          </cell>
          <cell r="F27" t="str">
            <v>China PM CRM</v>
          </cell>
          <cell r="G27" t="str">
            <v>Microsoft CRM - User license Cost, Essential Cal - 204 License</v>
          </cell>
          <cell r="H27" t="str">
            <v>China PM</v>
          </cell>
          <cell r="I27" t="str">
            <v>SoftwareOne</v>
          </cell>
          <cell r="J27" t="str">
            <v>RMB</v>
          </cell>
          <cell r="K27">
            <v>52587.66</v>
          </cell>
          <cell r="L27" t="str">
            <v>HKD</v>
          </cell>
          <cell r="M27">
            <v>65655.693509999997</v>
          </cell>
          <cell r="N27">
            <v>6</v>
          </cell>
          <cell r="O27">
            <v>6</v>
          </cell>
          <cell r="P27">
            <v>36</v>
          </cell>
          <cell r="Q27">
            <v>10942.615585</v>
          </cell>
        </row>
        <row r="28">
          <cell r="A28" t="str">
            <v>New Project</v>
          </cell>
          <cell r="B28">
            <v>2016</v>
          </cell>
          <cell r="C28" t="str">
            <v>Peter</v>
          </cell>
          <cell r="D28" t="str">
            <v>CN</v>
          </cell>
          <cell r="E28">
            <v>0</v>
          </cell>
          <cell r="F28" t="str">
            <v>China PM CRM</v>
          </cell>
          <cell r="G28" t="str">
            <v>Microsoft CRM - Server license Cost, 1 License</v>
          </cell>
          <cell r="H28" t="str">
            <v>China PM</v>
          </cell>
          <cell r="I28" t="str">
            <v>SoftwareOne</v>
          </cell>
          <cell r="J28" t="str">
            <v>RMB</v>
          </cell>
          <cell r="K28">
            <v>16929.66</v>
          </cell>
          <cell r="L28" t="str">
            <v>HKD</v>
          </cell>
          <cell r="M28">
            <v>21136.680509999998</v>
          </cell>
          <cell r="N28">
            <v>1</v>
          </cell>
          <cell r="O28">
            <v>11</v>
          </cell>
          <cell r="P28">
            <v>36</v>
          </cell>
          <cell r="Q28">
            <v>6458.4301558333318</v>
          </cell>
        </row>
        <row r="29">
          <cell r="A29" t="str">
            <v>New Project</v>
          </cell>
          <cell r="B29">
            <v>2017</v>
          </cell>
          <cell r="C29" t="str">
            <v>Peter</v>
          </cell>
          <cell r="D29" t="str">
            <v>CN</v>
          </cell>
          <cell r="E29">
            <v>0</v>
          </cell>
          <cell r="F29" t="str">
            <v>China PM CRM</v>
          </cell>
          <cell r="G29" t="str">
            <v>Microsoft CRM Phase 3- Implemenation/Development/Customization</v>
          </cell>
          <cell r="H29" t="str">
            <v>China PM</v>
          </cell>
          <cell r="I29" t="str">
            <v>Wikresoft</v>
          </cell>
          <cell r="J29" t="str">
            <v>RMB</v>
          </cell>
          <cell r="K29">
            <v>468000</v>
          </cell>
          <cell r="L29" t="str">
            <v>HKD</v>
          </cell>
          <cell r="M29">
            <v>584298</v>
          </cell>
          <cell r="N29">
            <v>11</v>
          </cell>
          <cell r="O29">
            <v>1</v>
          </cell>
          <cell r="P29">
            <v>48</v>
          </cell>
          <cell r="Q29">
            <v>12172.875</v>
          </cell>
        </row>
        <row r="30">
          <cell r="A30" t="str">
            <v>Refreshment</v>
          </cell>
          <cell r="B30">
            <v>2017</v>
          </cell>
          <cell r="C30" t="str">
            <v>Infra</v>
          </cell>
          <cell r="D30" t="str">
            <v>HK-MSL</v>
          </cell>
          <cell r="E30">
            <v>0</v>
          </cell>
          <cell r="F30" t="str">
            <v>Citrix license expansion</v>
          </cell>
          <cell r="G30" t="str">
            <v>Citrix license increase (10%)</v>
          </cell>
          <cell r="H30" t="str">
            <v>HK All</v>
          </cell>
          <cell r="I30">
            <v>0</v>
          </cell>
          <cell r="J30" t="str">
            <v>HKD</v>
          </cell>
          <cell r="K30">
            <v>400000</v>
          </cell>
          <cell r="L30" t="str">
            <v>HKD</v>
          </cell>
          <cell r="M30">
            <v>400000</v>
          </cell>
          <cell r="N30">
            <v>9</v>
          </cell>
          <cell r="O30">
            <v>3</v>
          </cell>
          <cell r="P30">
            <v>36</v>
          </cell>
          <cell r="Q30">
            <v>33333.333333333336</v>
          </cell>
        </row>
        <row r="31">
          <cell r="A31" t="str">
            <v>Refreshment</v>
          </cell>
          <cell r="B31">
            <v>2016</v>
          </cell>
          <cell r="C31" t="str">
            <v>Infra</v>
          </cell>
          <cell r="D31" t="str">
            <v>HK-MSL</v>
          </cell>
          <cell r="E31">
            <v>0</v>
          </cell>
          <cell r="F31" t="str">
            <v xml:space="preserve">Citrix Provisioning Project            </v>
          </cell>
          <cell r="G31" t="str">
            <v xml:space="preserve">Citrix Provisioning Project            </v>
          </cell>
          <cell r="H31" t="str">
            <v>MSL</v>
          </cell>
          <cell r="I31">
            <v>0</v>
          </cell>
          <cell r="J31" t="str">
            <v>HKD</v>
          </cell>
          <cell r="K31">
            <v>1100000</v>
          </cell>
          <cell r="L31" t="str">
            <v>HKD</v>
          </cell>
          <cell r="M31">
            <v>1100000</v>
          </cell>
          <cell r="N31">
            <v>1</v>
          </cell>
          <cell r="O31">
            <v>11</v>
          </cell>
          <cell r="P31">
            <v>36</v>
          </cell>
          <cell r="Q31">
            <v>336111.11111111112</v>
          </cell>
        </row>
        <row r="32">
          <cell r="A32" t="str">
            <v>New Project</v>
          </cell>
          <cell r="B32">
            <v>2016</v>
          </cell>
          <cell r="C32" t="str">
            <v>Infra</v>
          </cell>
          <cell r="D32" t="str">
            <v>HK-MSL</v>
          </cell>
          <cell r="E32">
            <v>0</v>
          </cell>
          <cell r="F32" t="str">
            <v>Citrix Workspace Suite - BYOD</v>
          </cell>
          <cell r="G32" t="str">
            <v>Citrix Workspace Suite - BYOD (MS EMS Replacement)</v>
          </cell>
          <cell r="H32" t="str">
            <v>HK All</v>
          </cell>
          <cell r="I32">
            <v>0</v>
          </cell>
          <cell r="J32" t="str">
            <v>HKD</v>
          </cell>
          <cell r="K32">
            <v>600000</v>
          </cell>
          <cell r="L32" t="str">
            <v>HKD</v>
          </cell>
          <cell r="M32">
            <v>600000</v>
          </cell>
          <cell r="N32">
            <v>1</v>
          </cell>
          <cell r="O32">
            <v>11</v>
          </cell>
          <cell r="P32">
            <v>36</v>
          </cell>
          <cell r="Q32">
            <v>183333.33333333334</v>
          </cell>
        </row>
        <row r="33">
          <cell r="A33" t="str">
            <v>Expansion</v>
          </cell>
          <cell r="B33">
            <v>2015</v>
          </cell>
          <cell r="C33" t="str">
            <v>Infra</v>
          </cell>
          <cell r="D33" t="str">
            <v>HK-MSL</v>
          </cell>
          <cell r="E33">
            <v>0</v>
          </cell>
          <cell r="F33" t="str">
            <v>Citrix Xenapp License expansion</v>
          </cell>
          <cell r="G33" t="str">
            <v>Citrix XenApp Enterprise - x1 Concurrent User Connection with Subscription Advantage (50 unit)</v>
          </cell>
          <cell r="H33" t="str">
            <v>HK All</v>
          </cell>
          <cell r="I33">
            <v>0</v>
          </cell>
          <cell r="J33" t="str">
            <v>HKD</v>
          </cell>
          <cell r="K33">
            <v>175500</v>
          </cell>
          <cell r="L33" t="str">
            <v>HKD</v>
          </cell>
          <cell r="M33">
            <v>175500</v>
          </cell>
          <cell r="N33">
            <v>9</v>
          </cell>
          <cell r="O33">
            <v>3</v>
          </cell>
          <cell r="P33">
            <v>48</v>
          </cell>
          <cell r="Q33">
            <v>10968.75</v>
          </cell>
        </row>
        <row r="34">
          <cell r="A34" t="str">
            <v>Expansion</v>
          </cell>
          <cell r="B34">
            <v>2015</v>
          </cell>
          <cell r="C34" t="str">
            <v>Infra</v>
          </cell>
          <cell r="D34" t="str">
            <v>HK-MSL</v>
          </cell>
          <cell r="E34">
            <v>0</v>
          </cell>
          <cell r="F34" t="str">
            <v>Citrix Xenapp License expansion</v>
          </cell>
          <cell r="G34" t="str">
            <v>Citrix XenApp Platinum Edition - x1 Concurrent User Connection License with Subscription Advantage(50 unit)</v>
          </cell>
          <cell r="H34" t="str">
            <v>HK All</v>
          </cell>
          <cell r="I34">
            <v>0</v>
          </cell>
          <cell r="J34" t="str">
            <v>HKD</v>
          </cell>
          <cell r="K34">
            <v>234000</v>
          </cell>
          <cell r="L34" t="str">
            <v>HKD</v>
          </cell>
          <cell r="M34">
            <v>234000</v>
          </cell>
          <cell r="N34">
            <v>9</v>
          </cell>
          <cell r="O34">
            <v>3</v>
          </cell>
          <cell r="P34">
            <v>48</v>
          </cell>
          <cell r="Q34">
            <v>14625</v>
          </cell>
        </row>
        <row r="35">
          <cell r="A35" t="str">
            <v>New Project</v>
          </cell>
          <cell r="B35">
            <v>2014</v>
          </cell>
          <cell r="C35" t="str">
            <v>Infra</v>
          </cell>
          <cell r="D35" t="str">
            <v>HK-MSL</v>
          </cell>
          <cell r="E35">
            <v>0</v>
          </cell>
          <cell r="F35" t="str">
            <v xml:space="preserve">Cloud Management </v>
          </cell>
          <cell r="G35" t="str">
            <v>New Host Server for ADFS+CA+ Cloud management (Hybrid Mode)</v>
          </cell>
          <cell r="H35" t="str">
            <v>AP Region</v>
          </cell>
          <cell r="I35">
            <v>0</v>
          </cell>
          <cell r="J35" t="str">
            <v>HKD</v>
          </cell>
          <cell r="K35">
            <v>170000</v>
          </cell>
          <cell r="L35" t="str">
            <v>HKD</v>
          </cell>
          <cell r="M35">
            <v>170000</v>
          </cell>
          <cell r="N35">
            <v>2</v>
          </cell>
          <cell r="O35">
            <v>10</v>
          </cell>
          <cell r="P35">
            <v>48</v>
          </cell>
          <cell r="Q35">
            <v>35416.666666666664</v>
          </cell>
        </row>
        <row r="36">
          <cell r="A36" t="str">
            <v>New Project</v>
          </cell>
          <cell r="B36">
            <v>2016</v>
          </cell>
          <cell r="C36" t="str">
            <v>Allen</v>
          </cell>
          <cell r="D36" t="str">
            <v>HK-SHKL</v>
          </cell>
          <cell r="E36">
            <v>0</v>
          </cell>
          <cell r="F36" t="str">
            <v>Commission Management System - Hardware &amp; Hosting</v>
          </cell>
          <cell r="G36" t="str">
            <v>Commission system - For Server usage</v>
          </cell>
          <cell r="H36" t="str">
            <v>HKL</v>
          </cell>
          <cell r="I36">
            <v>0</v>
          </cell>
          <cell r="J36" t="str">
            <v>HKD</v>
          </cell>
          <cell r="K36">
            <v>300000</v>
          </cell>
          <cell r="L36" t="str">
            <v>HKD</v>
          </cell>
          <cell r="M36">
            <v>300000</v>
          </cell>
          <cell r="N36">
            <v>1</v>
          </cell>
          <cell r="O36">
            <v>11</v>
          </cell>
          <cell r="P36">
            <v>60</v>
          </cell>
          <cell r="Q36">
            <v>55000</v>
          </cell>
        </row>
        <row r="37">
          <cell r="A37" t="str">
            <v>New Project</v>
          </cell>
          <cell r="B37">
            <v>2016</v>
          </cell>
          <cell r="C37" t="str">
            <v>Allen</v>
          </cell>
          <cell r="D37" t="str">
            <v>HK-SHKL</v>
          </cell>
          <cell r="E37">
            <v>0</v>
          </cell>
          <cell r="F37" t="str">
            <v>Commission Management System - Software &amp; Maintenance</v>
          </cell>
          <cell r="G37" t="str">
            <v>Requirement change cost - annual budget</v>
          </cell>
          <cell r="H37" t="str">
            <v>HKL</v>
          </cell>
          <cell r="I37">
            <v>0</v>
          </cell>
          <cell r="J37" t="str">
            <v>HKD</v>
          </cell>
          <cell r="K37">
            <v>120000</v>
          </cell>
          <cell r="L37" t="str">
            <v>HKD</v>
          </cell>
          <cell r="M37">
            <v>120000</v>
          </cell>
          <cell r="N37">
            <v>1</v>
          </cell>
          <cell r="O37">
            <v>11</v>
          </cell>
          <cell r="P37">
            <v>12</v>
          </cell>
          <cell r="Q37">
            <v>110000</v>
          </cell>
        </row>
        <row r="38">
          <cell r="A38" t="str">
            <v>Refreshment</v>
          </cell>
          <cell r="B38">
            <v>2015</v>
          </cell>
          <cell r="C38" t="str">
            <v>Infra</v>
          </cell>
          <cell r="D38" t="str">
            <v>HK-MSL</v>
          </cell>
          <cell r="E38">
            <v>0</v>
          </cell>
          <cell r="F38" t="str">
            <v>Core Switch refreshment</v>
          </cell>
          <cell r="G38" t="str">
            <v>DC Core Switches (HA) Replacement and Installation</v>
          </cell>
          <cell r="H38" t="str">
            <v>HK All</v>
          </cell>
          <cell r="I38">
            <v>0</v>
          </cell>
          <cell r="J38" t="str">
            <v>HKD</v>
          </cell>
          <cell r="K38">
            <v>1000000</v>
          </cell>
          <cell r="L38" t="str">
            <v>HKD</v>
          </cell>
          <cell r="M38">
            <v>1000000</v>
          </cell>
          <cell r="N38">
            <v>3</v>
          </cell>
          <cell r="O38">
            <v>9</v>
          </cell>
          <cell r="P38">
            <v>48</v>
          </cell>
          <cell r="Q38">
            <v>187500</v>
          </cell>
        </row>
        <row r="39">
          <cell r="A39" t="str">
            <v>New Project</v>
          </cell>
          <cell r="B39">
            <v>2016</v>
          </cell>
          <cell r="C39" t="str">
            <v>Allen</v>
          </cell>
          <cell r="D39" t="str">
            <v>HK-MSL</v>
          </cell>
          <cell r="E39">
            <v>0</v>
          </cell>
          <cell r="F39" t="str">
            <v>Corporate Account System - Project Implementation</v>
          </cell>
          <cell r="G39" t="str">
            <v>AX Implementation (MSL)</v>
          </cell>
          <cell r="H39" t="str">
            <v>MSL</v>
          </cell>
          <cell r="I39">
            <v>0</v>
          </cell>
          <cell r="J39" t="str">
            <v>HKD</v>
          </cell>
          <cell r="K39">
            <v>2175845</v>
          </cell>
          <cell r="L39" t="str">
            <v>HKD</v>
          </cell>
          <cell r="M39">
            <v>2175845</v>
          </cell>
          <cell r="N39">
            <v>1</v>
          </cell>
          <cell r="O39">
            <v>11</v>
          </cell>
          <cell r="P39">
            <v>60</v>
          </cell>
          <cell r="Q39">
            <v>398904.91666666669</v>
          </cell>
        </row>
        <row r="40">
          <cell r="A40" t="str">
            <v>New Project</v>
          </cell>
          <cell r="B40">
            <v>2016</v>
          </cell>
          <cell r="C40" t="str">
            <v>Allen</v>
          </cell>
          <cell r="D40" t="str">
            <v>KR</v>
          </cell>
          <cell r="E40">
            <v>0</v>
          </cell>
          <cell r="F40" t="str">
            <v>Corporate Account System - Project Implementation</v>
          </cell>
          <cell r="G40" t="str">
            <v>AX Implementation (KR)</v>
          </cell>
          <cell r="H40" t="str">
            <v>KR</v>
          </cell>
          <cell r="I40">
            <v>0</v>
          </cell>
          <cell r="J40" t="str">
            <v>HKD</v>
          </cell>
          <cell r="K40">
            <v>999642</v>
          </cell>
          <cell r="L40" t="str">
            <v>HKD</v>
          </cell>
          <cell r="M40">
            <v>999642</v>
          </cell>
          <cell r="N40">
            <v>1</v>
          </cell>
          <cell r="O40">
            <v>11</v>
          </cell>
          <cell r="P40">
            <v>60</v>
          </cell>
          <cell r="Q40">
            <v>183267.7</v>
          </cell>
        </row>
        <row r="41">
          <cell r="A41" t="str">
            <v>New Project</v>
          </cell>
          <cell r="B41">
            <v>2016</v>
          </cell>
          <cell r="C41" t="str">
            <v>Allen</v>
          </cell>
          <cell r="D41" t="str">
            <v>JP</v>
          </cell>
          <cell r="E41">
            <v>0</v>
          </cell>
          <cell r="F41" t="str">
            <v>Corporate Account System - Project Implementation</v>
          </cell>
          <cell r="G41" t="str">
            <v>AX Implementation (JP)</v>
          </cell>
          <cell r="H41" t="str">
            <v>JP</v>
          </cell>
          <cell r="I41">
            <v>0</v>
          </cell>
          <cell r="J41" t="str">
            <v>HKD</v>
          </cell>
          <cell r="K41">
            <v>819843</v>
          </cell>
          <cell r="L41" t="str">
            <v>HKD</v>
          </cell>
          <cell r="M41">
            <v>819843</v>
          </cell>
          <cell r="N41">
            <v>1</v>
          </cell>
          <cell r="O41">
            <v>11</v>
          </cell>
          <cell r="P41">
            <v>60</v>
          </cell>
          <cell r="Q41">
            <v>150304.54999999999</v>
          </cell>
        </row>
        <row r="42">
          <cell r="A42" t="str">
            <v>New Project</v>
          </cell>
          <cell r="B42">
            <v>2016</v>
          </cell>
          <cell r="C42" t="str">
            <v>Allen</v>
          </cell>
          <cell r="D42" t="str">
            <v>HK-SHKL</v>
          </cell>
          <cell r="E42">
            <v>0</v>
          </cell>
          <cell r="F42" t="str">
            <v>Corporate Account System - Project Implementation</v>
          </cell>
          <cell r="G42" t="str">
            <v>AX Implementation (HK)</v>
          </cell>
          <cell r="H42" t="str">
            <v>HKL</v>
          </cell>
          <cell r="I42">
            <v>0</v>
          </cell>
          <cell r="J42" t="str">
            <v>HKD</v>
          </cell>
          <cell r="K42">
            <v>1188814</v>
          </cell>
          <cell r="L42" t="str">
            <v>HKD</v>
          </cell>
          <cell r="M42">
            <v>1188814</v>
          </cell>
          <cell r="N42">
            <v>1</v>
          </cell>
          <cell r="O42">
            <v>11</v>
          </cell>
          <cell r="P42">
            <v>60</v>
          </cell>
          <cell r="Q42">
            <v>217949.23333333334</v>
          </cell>
        </row>
        <row r="43">
          <cell r="A43" t="str">
            <v>New Project</v>
          </cell>
          <cell r="B43">
            <v>2016</v>
          </cell>
          <cell r="C43" t="str">
            <v>Allen</v>
          </cell>
          <cell r="D43" t="str">
            <v>HK-SHKL</v>
          </cell>
          <cell r="E43">
            <v>0</v>
          </cell>
          <cell r="F43" t="str">
            <v>Corporate Tenancy System</v>
          </cell>
          <cell r="G43" t="str">
            <v>To replace current Pivotal CT System (7 years+)</v>
          </cell>
          <cell r="H43" t="str">
            <v>HKL</v>
          </cell>
          <cell r="I43">
            <v>0</v>
          </cell>
          <cell r="J43" t="str">
            <v>HKD</v>
          </cell>
          <cell r="K43">
            <v>500000</v>
          </cell>
          <cell r="L43" t="str">
            <v>HKD</v>
          </cell>
          <cell r="M43">
            <v>500000</v>
          </cell>
          <cell r="N43">
            <v>1</v>
          </cell>
          <cell r="O43">
            <v>11</v>
          </cell>
          <cell r="P43">
            <v>60</v>
          </cell>
          <cell r="Q43">
            <v>91666.666666666672</v>
          </cell>
        </row>
        <row r="44">
          <cell r="A44" t="str">
            <v>New Project</v>
          </cell>
          <cell r="B44">
            <v>2016</v>
          </cell>
          <cell r="C44" t="str">
            <v>John</v>
          </cell>
          <cell r="D44" t="str">
            <v>HK-GPML</v>
          </cell>
          <cell r="E44">
            <v>0</v>
          </cell>
          <cell r="F44" t="str">
            <v>Corporate Website Migration</v>
          </cell>
          <cell r="G44" t="str">
            <v>Migrate to global corporate website platform</v>
          </cell>
          <cell r="H44" t="str">
            <v>GPML</v>
          </cell>
          <cell r="I44" t="str">
            <v>Savills plc</v>
          </cell>
          <cell r="J44" t="str">
            <v>GBP</v>
          </cell>
          <cell r="K44">
            <v>3500</v>
          </cell>
          <cell r="L44" t="str">
            <v>HKD</v>
          </cell>
          <cell r="M44">
            <v>42395.5</v>
          </cell>
          <cell r="N44">
            <v>1</v>
          </cell>
          <cell r="O44">
            <v>11</v>
          </cell>
          <cell r="P44">
            <v>36</v>
          </cell>
          <cell r="Q44">
            <v>12954.180555555557</v>
          </cell>
        </row>
        <row r="45">
          <cell r="A45" t="str">
            <v>New Project</v>
          </cell>
          <cell r="B45">
            <v>2016</v>
          </cell>
          <cell r="C45" t="str">
            <v>Allen</v>
          </cell>
          <cell r="D45" t="str">
            <v>HK-SHKL</v>
          </cell>
          <cell r="E45">
            <v>0</v>
          </cell>
          <cell r="F45" t="str">
            <v>CRM OnLine</v>
          </cell>
          <cell r="G45" t="str">
            <v>client tracking system - Frank Marriott</v>
          </cell>
          <cell r="H45" t="str">
            <v>HKL</v>
          </cell>
          <cell r="I45">
            <v>0</v>
          </cell>
          <cell r="J45" t="str">
            <v>HKD</v>
          </cell>
          <cell r="K45">
            <v>200000</v>
          </cell>
          <cell r="L45" t="str">
            <v>HKD</v>
          </cell>
          <cell r="M45">
            <v>200000</v>
          </cell>
          <cell r="N45">
            <v>1</v>
          </cell>
          <cell r="O45">
            <v>11</v>
          </cell>
          <cell r="P45">
            <v>60</v>
          </cell>
          <cell r="Q45">
            <v>36666.666666666672</v>
          </cell>
        </row>
        <row r="46">
          <cell r="A46" t="str">
            <v>Refreshment</v>
          </cell>
          <cell r="B46">
            <v>2015</v>
          </cell>
          <cell r="C46" t="str">
            <v>Hiroshi</v>
          </cell>
          <cell r="D46" t="str">
            <v>JP</v>
          </cell>
          <cell r="E46">
            <v>0</v>
          </cell>
          <cell r="F46" t="str">
            <v>Desktop Refreshment</v>
          </cell>
          <cell r="G46" t="str">
            <v>10 x HP PC</v>
          </cell>
          <cell r="H46" t="str">
            <v>JP</v>
          </cell>
          <cell r="I46" t="str">
            <v>HP</v>
          </cell>
          <cell r="J46" t="str">
            <v>JPY</v>
          </cell>
          <cell r="K46">
            <v>1486780</v>
          </cell>
          <cell r="L46" t="str">
            <v>HKD</v>
          </cell>
          <cell r="M46">
            <v>93072.428</v>
          </cell>
          <cell r="N46">
            <v>10</v>
          </cell>
          <cell r="O46">
            <v>2</v>
          </cell>
          <cell r="P46">
            <v>48</v>
          </cell>
          <cell r="Q46">
            <v>3878.0178333333333</v>
          </cell>
        </row>
        <row r="47">
          <cell r="A47" t="str">
            <v>Refreshment</v>
          </cell>
          <cell r="B47">
            <v>2015</v>
          </cell>
          <cell r="C47">
            <v>0</v>
          </cell>
          <cell r="D47" t="str">
            <v>MO</v>
          </cell>
          <cell r="E47">
            <v>0</v>
          </cell>
          <cell r="F47" t="str">
            <v>Desktop Refreshment</v>
          </cell>
          <cell r="G47" t="str">
            <v xml:space="preserve">PC Replacement </v>
          </cell>
          <cell r="H47" t="str">
            <v>MO</v>
          </cell>
          <cell r="I47">
            <v>0</v>
          </cell>
          <cell r="J47" t="str">
            <v>HKD</v>
          </cell>
          <cell r="K47">
            <v>62872</v>
          </cell>
          <cell r="L47" t="str">
            <v>HKD</v>
          </cell>
          <cell r="M47">
            <v>62872</v>
          </cell>
          <cell r="N47">
            <v>9</v>
          </cell>
          <cell r="O47">
            <v>3</v>
          </cell>
          <cell r="P47">
            <v>48</v>
          </cell>
          <cell r="Q47">
            <v>3929.5</v>
          </cell>
        </row>
        <row r="48">
          <cell r="A48" t="str">
            <v>Refreshment</v>
          </cell>
          <cell r="B48">
            <v>2015</v>
          </cell>
          <cell r="C48">
            <v>0</v>
          </cell>
          <cell r="D48" t="str">
            <v>MO</v>
          </cell>
          <cell r="E48">
            <v>0</v>
          </cell>
          <cell r="F48" t="str">
            <v>Desktop Refreshment</v>
          </cell>
          <cell r="G48" t="str">
            <v>PC Software Upgrade</v>
          </cell>
          <cell r="H48" t="str">
            <v>MO</v>
          </cell>
          <cell r="I48">
            <v>0</v>
          </cell>
          <cell r="J48" t="str">
            <v>HKD</v>
          </cell>
          <cell r="K48">
            <v>10000</v>
          </cell>
          <cell r="L48" t="str">
            <v>HKD</v>
          </cell>
          <cell r="M48">
            <v>10000</v>
          </cell>
          <cell r="N48">
            <v>9</v>
          </cell>
          <cell r="O48">
            <v>3</v>
          </cell>
          <cell r="P48">
            <v>48</v>
          </cell>
          <cell r="Q48">
            <v>625</v>
          </cell>
        </row>
        <row r="49">
          <cell r="A49" t="str">
            <v>Refreshment</v>
          </cell>
          <cell r="B49">
            <v>2015</v>
          </cell>
          <cell r="C49" t="str">
            <v>Jess</v>
          </cell>
          <cell r="D49" t="str">
            <v>SG</v>
          </cell>
          <cell r="E49">
            <v>0</v>
          </cell>
          <cell r="F49" t="str">
            <v>Desktop Refreshment</v>
          </cell>
          <cell r="G49" t="str">
            <v>Purchase 13 units for PT</v>
          </cell>
          <cell r="H49" t="str">
            <v>SG</v>
          </cell>
          <cell r="I49" t="str">
            <v>HP</v>
          </cell>
          <cell r="J49" t="str">
            <v>SGD</v>
          </cell>
          <cell r="K49">
            <v>9558</v>
          </cell>
          <cell r="L49" t="str">
            <v>HKD</v>
          </cell>
          <cell r="M49">
            <v>54045.710999999996</v>
          </cell>
          <cell r="N49">
            <v>4</v>
          </cell>
          <cell r="O49">
            <v>8</v>
          </cell>
          <cell r="P49">
            <v>48</v>
          </cell>
          <cell r="Q49">
            <v>9007.6184999999987</v>
          </cell>
        </row>
        <row r="50">
          <cell r="A50" t="str">
            <v>Refreshment</v>
          </cell>
          <cell r="B50">
            <v>2015</v>
          </cell>
          <cell r="C50" t="str">
            <v>Jess</v>
          </cell>
          <cell r="D50" t="str">
            <v>SG</v>
          </cell>
          <cell r="E50">
            <v>0</v>
          </cell>
          <cell r="F50" t="str">
            <v>Desktop Refreshment</v>
          </cell>
          <cell r="G50" t="str">
            <v>Purchase 29 units for CKH</v>
          </cell>
          <cell r="H50" t="str">
            <v>SG</v>
          </cell>
          <cell r="I50" t="str">
            <v>HP</v>
          </cell>
          <cell r="J50" t="str">
            <v>SGD</v>
          </cell>
          <cell r="K50">
            <v>21031</v>
          </cell>
          <cell r="L50" t="str">
            <v>HKD</v>
          </cell>
          <cell r="M50">
            <v>118919.7895</v>
          </cell>
          <cell r="N50">
            <v>6</v>
          </cell>
          <cell r="O50">
            <v>6</v>
          </cell>
          <cell r="P50">
            <v>48</v>
          </cell>
          <cell r="Q50">
            <v>14864.973687500002</v>
          </cell>
        </row>
        <row r="51">
          <cell r="A51" t="str">
            <v>Refreshment</v>
          </cell>
          <cell r="B51">
            <v>2015</v>
          </cell>
          <cell r="C51" t="str">
            <v>Edmond</v>
          </cell>
          <cell r="D51" t="str">
            <v>TH</v>
          </cell>
          <cell r="E51">
            <v>0</v>
          </cell>
          <cell r="F51" t="str">
            <v>Desktop Refreshment</v>
          </cell>
          <cell r="G51" t="str">
            <v>New set of PC (5)</v>
          </cell>
          <cell r="H51" t="str">
            <v>TH</v>
          </cell>
          <cell r="I51">
            <v>0</v>
          </cell>
          <cell r="J51" t="str">
            <v>HKD</v>
          </cell>
          <cell r="K51">
            <v>28896</v>
          </cell>
          <cell r="L51" t="str">
            <v>HKD</v>
          </cell>
          <cell r="M51">
            <v>28896</v>
          </cell>
          <cell r="N51">
            <v>6</v>
          </cell>
          <cell r="O51">
            <v>6</v>
          </cell>
          <cell r="P51">
            <v>48</v>
          </cell>
          <cell r="Q51">
            <v>3612</v>
          </cell>
        </row>
        <row r="52">
          <cell r="A52" t="str">
            <v>Refreshment</v>
          </cell>
          <cell r="B52">
            <v>2016</v>
          </cell>
          <cell r="C52" t="str">
            <v>Hiroshi</v>
          </cell>
          <cell r="D52" t="str">
            <v>JP</v>
          </cell>
          <cell r="E52">
            <v>0</v>
          </cell>
          <cell r="F52" t="str">
            <v>Desktop Refreshment</v>
          </cell>
          <cell r="G52" t="str">
            <v>10 x HP PC</v>
          </cell>
          <cell r="H52" t="str">
            <v>JP</v>
          </cell>
          <cell r="I52" t="str">
            <v>HP</v>
          </cell>
          <cell r="J52" t="str">
            <v>JPY</v>
          </cell>
          <cell r="K52">
            <v>743390</v>
          </cell>
          <cell r="L52" t="str">
            <v>HKD</v>
          </cell>
          <cell r="M52">
            <v>46536.214</v>
          </cell>
          <cell r="N52">
            <v>1</v>
          </cell>
          <cell r="O52">
            <v>11</v>
          </cell>
          <cell r="P52">
            <v>48</v>
          </cell>
          <cell r="Q52">
            <v>10664.549041666667</v>
          </cell>
        </row>
        <row r="53">
          <cell r="A53" t="str">
            <v>Refreshment</v>
          </cell>
          <cell r="B53">
            <v>2016</v>
          </cell>
          <cell r="C53" t="str">
            <v>Kim</v>
          </cell>
          <cell r="D53" t="str">
            <v>KR</v>
          </cell>
          <cell r="E53">
            <v>0</v>
          </cell>
          <cell r="F53" t="str">
            <v>Desktop Refreshment</v>
          </cell>
          <cell r="G53" t="str">
            <v>Purchase Desktop 38 units, Laptop 6 units, Monitor 22" 16 units</v>
          </cell>
          <cell r="H53" t="str">
            <v>KR</v>
          </cell>
          <cell r="I53" t="str">
            <v xml:space="preserve">HP </v>
          </cell>
          <cell r="J53" t="str">
            <v>WON</v>
          </cell>
          <cell r="K53">
            <v>32000000</v>
          </cell>
          <cell r="L53" t="str">
            <v>HKD</v>
          </cell>
          <cell r="M53">
            <v>214400</v>
          </cell>
          <cell r="N53">
            <v>9</v>
          </cell>
          <cell r="O53">
            <v>3</v>
          </cell>
          <cell r="P53">
            <v>48</v>
          </cell>
          <cell r="Q53">
            <v>13400</v>
          </cell>
        </row>
        <row r="54">
          <cell r="A54" t="str">
            <v>Refreshment</v>
          </cell>
          <cell r="B54">
            <v>2016</v>
          </cell>
          <cell r="C54">
            <v>0</v>
          </cell>
          <cell r="D54" t="str">
            <v>MO</v>
          </cell>
          <cell r="E54">
            <v>0</v>
          </cell>
          <cell r="F54" t="str">
            <v>Desktop Refreshment</v>
          </cell>
          <cell r="G54" t="str">
            <v>PC Replacement</v>
          </cell>
          <cell r="H54" t="str">
            <v>MO</v>
          </cell>
          <cell r="I54">
            <v>0</v>
          </cell>
          <cell r="J54" t="str">
            <v>HKD</v>
          </cell>
          <cell r="K54">
            <v>62872</v>
          </cell>
          <cell r="L54" t="str">
            <v>HKD</v>
          </cell>
          <cell r="M54">
            <v>62872</v>
          </cell>
          <cell r="N54">
            <v>3</v>
          </cell>
          <cell r="O54">
            <v>9</v>
          </cell>
          <cell r="P54">
            <v>48</v>
          </cell>
          <cell r="Q54">
            <v>11788.5</v>
          </cell>
        </row>
        <row r="55">
          <cell r="A55" t="str">
            <v>Refreshment</v>
          </cell>
          <cell r="B55">
            <v>2016</v>
          </cell>
          <cell r="C55">
            <v>0</v>
          </cell>
          <cell r="D55" t="str">
            <v>MO</v>
          </cell>
          <cell r="E55">
            <v>0</v>
          </cell>
          <cell r="F55" t="str">
            <v>Desktop Refreshment</v>
          </cell>
          <cell r="G55" t="str">
            <v>PC Software Upgrade</v>
          </cell>
          <cell r="H55" t="str">
            <v>MO</v>
          </cell>
          <cell r="I55">
            <v>0</v>
          </cell>
          <cell r="J55" t="str">
            <v>HKD</v>
          </cell>
          <cell r="K55">
            <v>10000</v>
          </cell>
          <cell r="L55" t="str">
            <v>HKD</v>
          </cell>
          <cell r="M55">
            <v>10000</v>
          </cell>
          <cell r="N55">
            <v>3</v>
          </cell>
          <cell r="O55">
            <v>9</v>
          </cell>
          <cell r="P55">
            <v>48</v>
          </cell>
          <cell r="Q55">
            <v>1875</v>
          </cell>
        </row>
        <row r="56">
          <cell r="A56" t="str">
            <v>Refreshment</v>
          </cell>
          <cell r="B56">
            <v>2016</v>
          </cell>
          <cell r="C56" t="str">
            <v>Jess</v>
          </cell>
          <cell r="D56" t="str">
            <v>SG</v>
          </cell>
          <cell r="E56">
            <v>0</v>
          </cell>
          <cell r="F56" t="str">
            <v>Desktop Refreshment</v>
          </cell>
          <cell r="G56" t="str">
            <v>Purchase 14 units for PT</v>
          </cell>
          <cell r="H56" t="str">
            <v>SG</v>
          </cell>
          <cell r="I56" t="str">
            <v>HP</v>
          </cell>
          <cell r="J56" t="str">
            <v>SGD</v>
          </cell>
          <cell r="K56">
            <v>11369</v>
          </cell>
          <cell r="L56" t="str">
            <v>HKD</v>
          </cell>
          <cell r="M56">
            <v>64286.010499999997</v>
          </cell>
          <cell r="N56">
            <v>4</v>
          </cell>
          <cell r="O56">
            <v>8</v>
          </cell>
          <cell r="P56">
            <v>48</v>
          </cell>
          <cell r="Q56">
            <v>10714.335083333333</v>
          </cell>
        </row>
        <row r="57">
          <cell r="A57" t="str">
            <v>Refreshment</v>
          </cell>
          <cell r="B57">
            <v>2016</v>
          </cell>
          <cell r="C57" t="str">
            <v>Peter</v>
          </cell>
          <cell r="D57" t="str">
            <v>CN</v>
          </cell>
          <cell r="E57">
            <v>0</v>
          </cell>
          <cell r="F57" t="str">
            <v>Desktop Refreshment</v>
          </cell>
          <cell r="G57" t="str">
            <v>63 set PC</v>
          </cell>
          <cell r="H57" t="str">
            <v>SH</v>
          </cell>
          <cell r="I57" t="str">
            <v>HP</v>
          </cell>
          <cell r="J57" t="str">
            <v>RMB</v>
          </cell>
          <cell r="K57">
            <v>264600</v>
          </cell>
          <cell r="L57" t="str">
            <v>HKD</v>
          </cell>
          <cell r="M57">
            <v>330353.09999999998</v>
          </cell>
          <cell r="N57">
            <v>6</v>
          </cell>
          <cell r="O57">
            <v>6</v>
          </cell>
          <cell r="P57">
            <v>48</v>
          </cell>
          <cell r="Q57">
            <v>41294.137499999997</v>
          </cell>
        </row>
        <row r="58">
          <cell r="A58" t="str">
            <v>Refreshment</v>
          </cell>
          <cell r="B58">
            <v>2016</v>
          </cell>
          <cell r="C58" t="str">
            <v>Peter</v>
          </cell>
          <cell r="D58" t="str">
            <v>CN</v>
          </cell>
          <cell r="E58">
            <v>0</v>
          </cell>
          <cell r="F58" t="str">
            <v>Desktop Refreshment</v>
          </cell>
          <cell r="G58" t="str">
            <v>0 set PC</v>
          </cell>
          <cell r="H58" t="str">
            <v>HZ</v>
          </cell>
          <cell r="I58" t="str">
            <v>HP</v>
          </cell>
          <cell r="J58" t="str">
            <v>RMB</v>
          </cell>
          <cell r="K58">
            <v>0</v>
          </cell>
          <cell r="L58" t="str">
            <v>HKD</v>
          </cell>
          <cell r="M58">
            <v>0</v>
          </cell>
          <cell r="N58">
            <v>6</v>
          </cell>
          <cell r="O58">
            <v>6</v>
          </cell>
          <cell r="P58">
            <v>48</v>
          </cell>
          <cell r="Q58">
            <v>0</v>
          </cell>
        </row>
        <row r="59">
          <cell r="A59" t="str">
            <v>Refreshment</v>
          </cell>
          <cell r="B59">
            <v>2016</v>
          </cell>
          <cell r="C59" t="str">
            <v>Peter</v>
          </cell>
          <cell r="D59" t="str">
            <v>CN</v>
          </cell>
          <cell r="E59">
            <v>0</v>
          </cell>
          <cell r="F59" t="str">
            <v>Desktop Refreshment</v>
          </cell>
          <cell r="G59" t="str">
            <v>0 set PC</v>
          </cell>
          <cell r="H59" t="str">
            <v>NJ</v>
          </cell>
          <cell r="I59" t="str">
            <v>HP</v>
          </cell>
          <cell r="J59" t="str">
            <v>RMB</v>
          </cell>
          <cell r="K59">
            <v>0</v>
          </cell>
          <cell r="L59" t="str">
            <v>HKD</v>
          </cell>
          <cell r="M59">
            <v>0</v>
          </cell>
          <cell r="N59">
            <v>6</v>
          </cell>
          <cell r="O59">
            <v>6</v>
          </cell>
          <cell r="P59">
            <v>48</v>
          </cell>
          <cell r="Q59">
            <v>0</v>
          </cell>
        </row>
        <row r="60">
          <cell r="A60" t="str">
            <v>Refreshment</v>
          </cell>
          <cell r="B60">
            <v>2016</v>
          </cell>
          <cell r="C60" t="str">
            <v>Peter</v>
          </cell>
          <cell r="D60" t="str">
            <v>CN</v>
          </cell>
          <cell r="E60">
            <v>0</v>
          </cell>
          <cell r="F60" t="str">
            <v>Desktop Refreshment</v>
          </cell>
          <cell r="G60" t="str">
            <v>26 set PC</v>
          </cell>
          <cell r="H60" t="str">
            <v>BJ</v>
          </cell>
          <cell r="I60" t="str">
            <v>HP</v>
          </cell>
          <cell r="J60" t="str">
            <v>RMB</v>
          </cell>
          <cell r="K60">
            <v>109200</v>
          </cell>
          <cell r="L60" t="str">
            <v>HKD</v>
          </cell>
          <cell r="M60">
            <v>136336.19999999998</v>
          </cell>
          <cell r="N60">
            <v>6</v>
          </cell>
          <cell r="O60">
            <v>6</v>
          </cell>
          <cell r="P60">
            <v>48</v>
          </cell>
          <cell r="Q60">
            <v>17042.024999999998</v>
          </cell>
        </row>
        <row r="61">
          <cell r="A61" t="str">
            <v>Refreshment</v>
          </cell>
          <cell r="B61">
            <v>2016</v>
          </cell>
          <cell r="C61" t="str">
            <v>Peter</v>
          </cell>
          <cell r="D61" t="str">
            <v>CN</v>
          </cell>
          <cell r="E61">
            <v>0</v>
          </cell>
          <cell r="F61" t="str">
            <v>Desktop Refreshment</v>
          </cell>
          <cell r="G61" t="str">
            <v>3 set PC</v>
          </cell>
          <cell r="H61" t="str">
            <v>TJ</v>
          </cell>
          <cell r="I61" t="str">
            <v>HP</v>
          </cell>
          <cell r="J61" t="str">
            <v>RMB</v>
          </cell>
          <cell r="K61">
            <v>12600</v>
          </cell>
          <cell r="L61" t="str">
            <v>HKD</v>
          </cell>
          <cell r="M61">
            <v>15731.099999999999</v>
          </cell>
          <cell r="N61">
            <v>6</v>
          </cell>
          <cell r="O61">
            <v>6</v>
          </cell>
          <cell r="P61">
            <v>48</v>
          </cell>
          <cell r="Q61">
            <v>1966.3874999999998</v>
          </cell>
        </row>
        <row r="62">
          <cell r="A62" t="str">
            <v>Refreshment</v>
          </cell>
          <cell r="B62">
            <v>2016</v>
          </cell>
          <cell r="C62" t="str">
            <v>Peter</v>
          </cell>
          <cell r="D62" t="str">
            <v>CN</v>
          </cell>
          <cell r="E62">
            <v>0</v>
          </cell>
          <cell r="F62" t="str">
            <v>Desktop Refreshment</v>
          </cell>
          <cell r="G62" t="str">
            <v>3 set PC</v>
          </cell>
          <cell r="H62" t="str">
            <v>DL</v>
          </cell>
          <cell r="I62" t="str">
            <v>HP</v>
          </cell>
          <cell r="J62" t="str">
            <v>RMB</v>
          </cell>
          <cell r="K62">
            <v>12600</v>
          </cell>
          <cell r="L62" t="str">
            <v>HKD</v>
          </cell>
          <cell r="M62">
            <v>15731.099999999999</v>
          </cell>
          <cell r="N62">
            <v>6</v>
          </cell>
          <cell r="O62">
            <v>6</v>
          </cell>
          <cell r="P62">
            <v>48</v>
          </cell>
          <cell r="Q62">
            <v>1966.3874999999998</v>
          </cell>
        </row>
        <row r="63">
          <cell r="A63" t="str">
            <v>Refreshment</v>
          </cell>
          <cell r="B63">
            <v>2016</v>
          </cell>
          <cell r="C63" t="str">
            <v>Peter</v>
          </cell>
          <cell r="D63" t="str">
            <v>CN</v>
          </cell>
          <cell r="E63">
            <v>0</v>
          </cell>
          <cell r="F63" t="str">
            <v>Desktop Refreshment</v>
          </cell>
          <cell r="G63" t="str">
            <v>11 set PC</v>
          </cell>
          <cell r="H63" t="str">
            <v>SY</v>
          </cell>
          <cell r="I63" t="str">
            <v>HP</v>
          </cell>
          <cell r="J63" t="str">
            <v>RMB</v>
          </cell>
          <cell r="K63">
            <v>46200</v>
          </cell>
          <cell r="L63" t="str">
            <v>HKD</v>
          </cell>
          <cell r="M63">
            <v>57680.7</v>
          </cell>
          <cell r="N63">
            <v>6</v>
          </cell>
          <cell r="O63">
            <v>6</v>
          </cell>
          <cell r="P63">
            <v>48</v>
          </cell>
          <cell r="Q63">
            <v>7210.0874999999996</v>
          </cell>
        </row>
        <row r="64">
          <cell r="A64" t="str">
            <v>Refreshment</v>
          </cell>
          <cell r="B64">
            <v>2016</v>
          </cell>
          <cell r="C64" t="str">
            <v>Peter</v>
          </cell>
          <cell r="D64" t="str">
            <v>CN</v>
          </cell>
          <cell r="E64">
            <v>0</v>
          </cell>
          <cell r="F64" t="str">
            <v>Desktop Refreshment</v>
          </cell>
          <cell r="G64" t="str">
            <v>0 set PC</v>
          </cell>
          <cell r="H64" t="str">
            <v>QD</v>
          </cell>
          <cell r="I64" t="str">
            <v>HP</v>
          </cell>
          <cell r="J64" t="str">
            <v>RMB</v>
          </cell>
          <cell r="K64">
            <v>0</v>
          </cell>
          <cell r="L64" t="str">
            <v>HKD</v>
          </cell>
          <cell r="M64">
            <v>0</v>
          </cell>
          <cell r="N64">
            <v>6</v>
          </cell>
          <cell r="O64">
            <v>6</v>
          </cell>
          <cell r="P64">
            <v>48</v>
          </cell>
          <cell r="Q64">
            <v>0</v>
          </cell>
        </row>
        <row r="65">
          <cell r="A65" t="str">
            <v>Refreshment</v>
          </cell>
          <cell r="B65">
            <v>2016</v>
          </cell>
          <cell r="C65" t="str">
            <v>Peter</v>
          </cell>
          <cell r="D65" t="str">
            <v>CN</v>
          </cell>
          <cell r="E65">
            <v>0</v>
          </cell>
          <cell r="F65" t="str">
            <v>Desktop Refreshment</v>
          </cell>
          <cell r="G65" t="str">
            <v>19 set PC</v>
          </cell>
          <cell r="H65" t="str">
            <v>GZ</v>
          </cell>
          <cell r="I65" t="str">
            <v>HP</v>
          </cell>
          <cell r="J65" t="str">
            <v>RMB</v>
          </cell>
          <cell r="K65">
            <v>79800</v>
          </cell>
          <cell r="L65" t="str">
            <v>HKD</v>
          </cell>
          <cell r="M65">
            <v>99630.299999999988</v>
          </cell>
          <cell r="N65">
            <v>6</v>
          </cell>
          <cell r="O65">
            <v>6</v>
          </cell>
          <cell r="P65">
            <v>48</v>
          </cell>
          <cell r="Q65">
            <v>12453.787499999999</v>
          </cell>
        </row>
        <row r="66">
          <cell r="A66" t="str">
            <v>Refreshment</v>
          </cell>
          <cell r="B66">
            <v>2016</v>
          </cell>
          <cell r="C66" t="str">
            <v>Peter</v>
          </cell>
          <cell r="D66" t="str">
            <v>CN</v>
          </cell>
          <cell r="E66">
            <v>0</v>
          </cell>
          <cell r="F66" t="str">
            <v>Desktop Refreshment</v>
          </cell>
          <cell r="G66" t="str">
            <v>2 set PC</v>
          </cell>
          <cell r="H66" t="str">
            <v>SZ</v>
          </cell>
          <cell r="I66" t="str">
            <v>HP</v>
          </cell>
          <cell r="J66" t="str">
            <v>RMB</v>
          </cell>
          <cell r="K66">
            <v>8400</v>
          </cell>
          <cell r="L66" t="str">
            <v>HKD</v>
          </cell>
          <cell r="M66">
            <v>10487.4</v>
          </cell>
          <cell r="N66">
            <v>6</v>
          </cell>
          <cell r="O66">
            <v>6</v>
          </cell>
          <cell r="P66">
            <v>48</v>
          </cell>
          <cell r="Q66">
            <v>1310.925</v>
          </cell>
        </row>
        <row r="67">
          <cell r="A67" t="str">
            <v>Refreshment</v>
          </cell>
          <cell r="B67">
            <v>2016</v>
          </cell>
          <cell r="C67" t="str">
            <v>Peter</v>
          </cell>
          <cell r="D67" t="str">
            <v>CN</v>
          </cell>
          <cell r="E67">
            <v>0</v>
          </cell>
          <cell r="F67" t="str">
            <v>Desktop Refreshment</v>
          </cell>
          <cell r="G67" t="str">
            <v>7 set PC</v>
          </cell>
          <cell r="H67" t="str">
            <v>XA</v>
          </cell>
          <cell r="I67" t="str">
            <v>HP</v>
          </cell>
          <cell r="J67" t="str">
            <v>RMB</v>
          </cell>
          <cell r="K67">
            <v>29400</v>
          </cell>
          <cell r="L67" t="str">
            <v>HKD</v>
          </cell>
          <cell r="M67">
            <v>36705.9</v>
          </cell>
          <cell r="N67">
            <v>6</v>
          </cell>
          <cell r="O67">
            <v>6</v>
          </cell>
          <cell r="P67">
            <v>48</v>
          </cell>
          <cell r="Q67">
            <v>4588.2375000000002</v>
          </cell>
        </row>
        <row r="68">
          <cell r="A68" t="str">
            <v>Refreshment</v>
          </cell>
          <cell r="B68">
            <v>2016</v>
          </cell>
          <cell r="C68" t="str">
            <v>Peter</v>
          </cell>
          <cell r="D68" t="str">
            <v>CN</v>
          </cell>
          <cell r="E68">
            <v>0</v>
          </cell>
          <cell r="F68" t="str">
            <v>Desktop Refreshment</v>
          </cell>
          <cell r="G68" t="str">
            <v>0 set PC</v>
          </cell>
          <cell r="H68" t="str">
            <v>ZH</v>
          </cell>
          <cell r="I68" t="str">
            <v>HP</v>
          </cell>
          <cell r="J68" t="str">
            <v>RMB</v>
          </cell>
          <cell r="K68">
            <v>0</v>
          </cell>
          <cell r="L68" t="str">
            <v>HKD</v>
          </cell>
          <cell r="M68">
            <v>0</v>
          </cell>
          <cell r="N68">
            <v>6</v>
          </cell>
          <cell r="O68">
            <v>6</v>
          </cell>
          <cell r="P68">
            <v>48</v>
          </cell>
          <cell r="Q68">
            <v>0</v>
          </cell>
        </row>
        <row r="69">
          <cell r="A69" t="str">
            <v>Refreshment</v>
          </cell>
          <cell r="B69">
            <v>2016</v>
          </cell>
          <cell r="C69" t="str">
            <v>Peter</v>
          </cell>
          <cell r="D69" t="str">
            <v>CN</v>
          </cell>
          <cell r="E69">
            <v>0</v>
          </cell>
          <cell r="F69" t="str">
            <v>Desktop Refreshment</v>
          </cell>
          <cell r="G69" t="str">
            <v>10 set PC</v>
          </cell>
          <cell r="H69" t="str">
            <v>CD</v>
          </cell>
          <cell r="I69" t="str">
            <v>HP</v>
          </cell>
          <cell r="J69" t="str">
            <v>RMB</v>
          </cell>
          <cell r="K69">
            <v>42000</v>
          </cell>
          <cell r="L69" t="str">
            <v>HKD</v>
          </cell>
          <cell r="M69">
            <v>52437</v>
          </cell>
          <cell r="N69">
            <v>6</v>
          </cell>
          <cell r="O69">
            <v>6</v>
          </cell>
          <cell r="P69">
            <v>48</v>
          </cell>
          <cell r="Q69">
            <v>6554.625</v>
          </cell>
        </row>
        <row r="70">
          <cell r="A70" t="str">
            <v>Refreshment</v>
          </cell>
          <cell r="B70">
            <v>2016</v>
          </cell>
          <cell r="C70" t="str">
            <v>Peter</v>
          </cell>
          <cell r="D70" t="str">
            <v>CN</v>
          </cell>
          <cell r="E70">
            <v>0</v>
          </cell>
          <cell r="F70" t="str">
            <v>Desktop Refreshment</v>
          </cell>
          <cell r="G70" t="str">
            <v>0 set PC</v>
          </cell>
          <cell r="H70" t="str">
            <v>CQ</v>
          </cell>
          <cell r="I70" t="str">
            <v>HP</v>
          </cell>
          <cell r="J70" t="str">
            <v>RMB</v>
          </cell>
          <cell r="K70">
            <v>0</v>
          </cell>
          <cell r="L70" t="str">
            <v>HKD</v>
          </cell>
          <cell r="M70">
            <v>0</v>
          </cell>
          <cell r="N70">
            <v>6</v>
          </cell>
          <cell r="O70">
            <v>6</v>
          </cell>
          <cell r="P70">
            <v>48</v>
          </cell>
          <cell r="Q70">
            <v>0</v>
          </cell>
        </row>
        <row r="71">
          <cell r="A71" t="str">
            <v>Refreshment</v>
          </cell>
          <cell r="B71">
            <v>2016</v>
          </cell>
          <cell r="C71" t="str">
            <v>Peter</v>
          </cell>
          <cell r="D71" t="str">
            <v>CN</v>
          </cell>
          <cell r="E71">
            <v>0</v>
          </cell>
          <cell r="F71" t="str">
            <v>Desktop Refreshment</v>
          </cell>
          <cell r="G71" t="str">
            <v>0 set PC</v>
          </cell>
          <cell r="H71" t="str">
            <v>XA</v>
          </cell>
          <cell r="I71" t="str">
            <v>HP</v>
          </cell>
          <cell r="J71" t="str">
            <v>RMB</v>
          </cell>
          <cell r="K71">
            <v>0</v>
          </cell>
          <cell r="L71" t="str">
            <v>HKD</v>
          </cell>
          <cell r="M71">
            <v>0</v>
          </cell>
          <cell r="N71">
            <v>6</v>
          </cell>
          <cell r="O71">
            <v>6</v>
          </cell>
          <cell r="P71">
            <v>48</v>
          </cell>
          <cell r="Q71">
            <v>0</v>
          </cell>
        </row>
        <row r="72">
          <cell r="A72" t="str">
            <v>Refreshment</v>
          </cell>
          <cell r="B72">
            <v>2016</v>
          </cell>
          <cell r="C72" t="str">
            <v>Peter</v>
          </cell>
          <cell r="D72" t="str">
            <v>CN</v>
          </cell>
          <cell r="E72">
            <v>0</v>
          </cell>
          <cell r="F72" t="str">
            <v>Desktop Refreshment</v>
          </cell>
          <cell r="G72" t="str">
            <v>0 set Laptop</v>
          </cell>
          <cell r="H72" t="str">
            <v>SH</v>
          </cell>
          <cell r="I72" t="str">
            <v>HP</v>
          </cell>
          <cell r="J72" t="str">
            <v>RMB</v>
          </cell>
          <cell r="K72">
            <v>0</v>
          </cell>
          <cell r="L72" t="str">
            <v>HKD</v>
          </cell>
          <cell r="M72">
            <v>0</v>
          </cell>
          <cell r="N72">
            <v>6</v>
          </cell>
          <cell r="O72">
            <v>6</v>
          </cell>
          <cell r="P72">
            <v>48</v>
          </cell>
          <cell r="Q72">
            <v>0</v>
          </cell>
        </row>
        <row r="73">
          <cell r="A73" t="str">
            <v>Refreshment</v>
          </cell>
          <cell r="B73">
            <v>2016</v>
          </cell>
          <cell r="C73" t="str">
            <v>Peter</v>
          </cell>
          <cell r="D73" t="str">
            <v>CN</v>
          </cell>
          <cell r="E73">
            <v>0</v>
          </cell>
          <cell r="F73" t="str">
            <v>Desktop Refreshment</v>
          </cell>
          <cell r="G73" t="str">
            <v>1 set Laptop</v>
          </cell>
          <cell r="H73" t="str">
            <v>HZ</v>
          </cell>
          <cell r="I73" t="str">
            <v>HP</v>
          </cell>
          <cell r="J73" t="str">
            <v>RMB</v>
          </cell>
          <cell r="K73">
            <v>8000</v>
          </cell>
          <cell r="L73" t="str">
            <v>HKD</v>
          </cell>
          <cell r="M73">
            <v>9988</v>
          </cell>
          <cell r="N73">
            <v>6</v>
          </cell>
          <cell r="O73">
            <v>6</v>
          </cell>
          <cell r="P73">
            <v>48</v>
          </cell>
          <cell r="Q73">
            <v>1248.5</v>
          </cell>
        </row>
        <row r="74">
          <cell r="A74" t="str">
            <v>Refreshment</v>
          </cell>
          <cell r="B74">
            <v>2016</v>
          </cell>
          <cell r="C74" t="str">
            <v>Peter</v>
          </cell>
          <cell r="D74" t="str">
            <v>CN</v>
          </cell>
          <cell r="E74">
            <v>0</v>
          </cell>
          <cell r="F74" t="str">
            <v>Desktop Refreshment</v>
          </cell>
          <cell r="G74" t="str">
            <v>0 set Laptop</v>
          </cell>
          <cell r="H74" t="str">
            <v>NJ</v>
          </cell>
          <cell r="I74" t="str">
            <v>HP</v>
          </cell>
          <cell r="J74" t="str">
            <v>RMB</v>
          </cell>
          <cell r="K74">
            <v>0</v>
          </cell>
          <cell r="L74" t="str">
            <v>HKD</v>
          </cell>
          <cell r="M74">
            <v>0</v>
          </cell>
          <cell r="N74">
            <v>6</v>
          </cell>
          <cell r="O74">
            <v>6</v>
          </cell>
          <cell r="P74">
            <v>48</v>
          </cell>
          <cell r="Q74">
            <v>0</v>
          </cell>
        </row>
        <row r="75">
          <cell r="A75" t="str">
            <v>Refreshment</v>
          </cell>
          <cell r="B75">
            <v>2016</v>
          </cell>
          <cell r="C75" t="str">
            <v>Peter</v>
          </cell>
          <cell r="D75" t="str">
            <v>CN</v>
          </cell>
          <cell r="E75">
            <v>0</v>
          </cell>
          <cell r="F75" t="str">
            <v>Desktop Refreshment</v>
          </cell>
          <cell r="G75" t="str">
            <v>5 set Laptop</v>
          </cell>
          <cell r="H75" t="str">
            <v>BJ</v>
          </cell>
          <cell r="I75" t="str">
            <v>HP</v>
          </cell>
          <cell r="J75" t="str">
            <v>RMB</v>
          </cell>
          <cell r="K75">
            <v>40000</v>
          </cell>
          <cell r="L75" t="str">
            <v>HKD</v>
          </cell>
          <cell r="M75">
            <v>49940</v>
          </cell>
          <cell r="N75">
            <v>6</v>
          </cell>
          <cell r="O75">
            <v>6</v>
          </cell>
          <cell r="P75">
            <v>48</v>
          </cell>
          <cell r="Q75">
            <v>6242.5</v>
          </cell>
        </row>
        <row r="76">
          <cell r="A76" t="str">
            <v>Refreshment</v>
          </cell>
          <cell r="B76">
            <v>2016</v>
          </cell>
          <cell r="C76" t="str">
            <v>Peter</v>
          </cell>
          <cell r="D76" t="str">
            <v>CN</v>
          </cell>
          <cell r="E76">
            <v>0</v>
          </cell>
          <cell r="F76" t="str">
            <v>Desktop Refreshment</v>
          </cell>
          <cell r="G76" t="str">
            <v>1 set Laptop</v>
          </cell>
          <cell r="H76" t="str">
            <v>TJ</v>
          </cell>
          <cell r="I76" t="str">
            <v>HP</v>
          </cell>
          <cell r="J76" t="str">
            <v>RMB</v>
          </cell>
          <cell r="K76">
            <v>8000</v>
          </cell>
          <cell r="L76" t="str">
            <v>HKD</v>
          </cell>
          <cell r="M76">
            <v>9988</v>
          </cell>
          <cell r="N76">
            <v>6</v>
          </cell>
          <cell r="O76">
            <v>6</v>
          </cell>
          <cell r="P76">
            <v>48</v>
          </cell>
          <cell r="Q76">
            <v>1248.5</v>
          </cell>
        </row>
        <row r="77">
          <cell r="A77" t="str">
            <v>Refreshment</v>
          </cell>
          <cell r="B77">
            <v>2016</v>
          </cell>
          <cell r="C77" t="str">
            <v>Peter</v>
          </cell>
          <cell r="D77" t="str">
            <v>CN</v>
          </cell>
          <cell r="E77">
            <v>0</v>
          </cell>
          <cell r="F77" t="str">
            <v>Desktop Refreshment</v>
          </cell>
          <cell r="G77" t="str">
            <v>1 set Laptop</v>
          </cell>
          <cell r="H77" t="str">
            <v>DL</v>
          </cell>
          <cell r="I77" t="str">
            <v>HP</v>
          </cell>
          <cell r="J77" t="str">
            <v>RMB</v>
          </cell>
          <cell r="K77">
            <v>8000</v>
          </cell>
          <cell r="L77" t="str">
            <v>HKD</v>
          </cell>
          <cell r="M77">
            <v>9988</v>
          </cell>
          <cell r="N77">
            <v>6</v>
          </cell>
          <cell r="O77">
            <v>6</v>
          </cell>
          <cell r="P77">
            <v>48</v>
          </cell>
          <cell r="Q77">
            <v>1248.5</v>
          </cell>
        </row>
        <row r="78">
          <cell r="A78" t="str">
            <v>Refreshment</v>
          </cell>
          <cell r="B78">
            <v>2016</v>
          </cell>
          <cell r="C78" t="str">
            <v>Peter</v>
          </cell>
          <cell r="D78" t="str">
            <v>CN</v>
          </cell>
          <cell r="E78">
            <v>0</v>
          </cell>
          <cell r="F78" t="str">
            <v>Desktop Refreshment</v>
          </cell>
          <cell r="G78" t="str">
            <v>2 set Laptop</v>
          </cell>
          <cell r="H78" t="str">
            <v>SY</v>
          </cell>
          <cell r="I78" t="str">
            <v>HP</v>
          </cell>
          <cell r="J78" t="str">
            <v>RMB</v>
          </cell>
          <cell r="K78">
            <v>16000</v>
          </cell>
          <cell r="L78" t="str">
            <v>HKD</v>
          </cell>
          <cell r="M78">
            <v>19976</v>
          </cell>
          <cell r="N78">
            <v>6</v>
          </cell>
          <cell r="O78">
            <v>6</v>
          </cell>
          <cell r="P78">
            <v>48</v>
          </cell>
          <cell r="Q78">
            <v>2497</v>
          </cell>
        </row>
        <row r="79">
          <cell r="A79" t="str">
            <v>Refreshment</v>
          </cell>
          <cell r="B79">
            <v>2016</v>
          </cell>
          <cell r="C79" t="str">
            <v>Peter</v>
          </cell>
          <cell r="D79" t="str">
            <v>CN</v>
          </cell>
          <cell r="E79">
            <v>0</v>
          </cell>
          <cell r="F79" t="str">
            <v>Desktop Refreshment</v>
          </cell>
          <cell r="G79" t="str">
            <v>0 set Laptop</v>
          </cell>
          <cell r="H79" t="str">
            <v>QD</v>
          </cell>
          <cell r="I79" t="str">
            <v>HP</v>
          </cell>
          <cell r="J79" t="str">
            <v>RMB</v>
          </cell>
          <cell r="K79">
            <v>0</v>
          </cell>
          <cell r="L79" t="str">
            <v>HKD</v>
          </cell>
          <cell r="M79">
            <v>0</v>
          </cell>
          <cell r="N79">
            <v>6</v>
          </cell>
          <cell r="O79">
            <v>6</v>
          </cell>
          <cell r="P79">
            <v>48</v>
          </cell>
          <cell r="Q79">
            <v>0</v>
          </cell>
        </row>
        <row r="80">
          <cell r="A80" t="str">
            <v>Refreshment</v>
          </cell>
          <cell r="B80">
            <v>2016</v>
          </cell>
          <cell r="C80" t="str">
            <v>Peter</v>
          </cell>
          <cell r="D80" t="str">
            <v>CN</v>
          </cell>
          <cell r="E80">
            <v>0</v>
          </cell>
          <cell r="F80" t="str">
            <v>Desktop Refreshment</v>
          </cell>
          <cell r="G80" t="str">
            <v>2 set Laptop</v>
          </cell>
          <cell r="H80" t="str">
            <v>GZ</v>
          </cell>
          <cell r="I80" t="str">
            <v>HP</v>
          </cell>
          <cell r="J80" t="str">
            <v>RMB</v>
          </cell>
          <cell r="K80">
            <v>16000</v>
          </cell>
          <cell r="L80" t="str">
            <v>HKD</v>
          </cell>
          <cell r="M80">
            <v>19976</v>
          </cell>
          <cell r="N80">
            <v>6</v>
          </cell>
          <cell r="O80">
            <v>6</v>
          </cell>
          <cell r="P80">
            <v>48</v>
          </cell>
          <cell r="Q80">
            <v>2497</v>
          </cell>
        </row>
        <row r="81">
          <cell r="A81" t="str">
            <v>Refreshment</v>
          </cell>
          <cell r="B81">
            <v>2016</v>
          </cell>
          <cell r="C81" t="str">
            <v>Peter</v>
          </cell>
          <cell r="D81" t="str">
            <v>CN</v>
          </cell>
          <cell r="E81">
            <v>0</v>
          </cell>
          <cell r="F81" t="str">
            <v>Desktop Refreshment</v>
          </cell>
          <cell r="G81" t="str">
            <v>2 set Laptop</v>
          </cell>
          <cell r="H81" t="str">
            <v>SZ</v>
          </cell>
          <cell r="I81" t="str">
            <v>HP</v>
          </cell>
          <cell r="J81" t="str">
            <v>RMB</v>
          </cell>
          <cell r="K81">
            <v>16000</v>
          </cell>
          <cell r="L81" t="str">
            <v>HKD</v>
          </cell>
          <cell r="M81">
            <v>19976</v>
          </cell>
          <cell r="N81">
            <v>6</v>
          </cell>
          <cell r="O81">
            <v>6</v>
          </cell>
          <cell r="P81">
            <v>48</v>
          </cell>
          <cell r="Q81">
            <v>2497</v>
          </cell>
        </row>
        <row r="82">
          <cell r="A82" t="str">
            <v>Refreshment</v>
          </cell>
          <cell r="B82">
            <v>2016</v>
          </cell>
          <cell r="C82" t="str">
            <v>Peter</v>
          </cell>
          <cell r="D82" t="str">
            <v>CN</v>
          </cell>
          <cell r="E82">
            <v>0</v>
          </cell>
          <cell r="F82" t="str">
            <v>Desktop Refreshment</v>
          </cell>
          <cell r="G82" t="str">
            <v>0 set Laptop</v>
          </cell>
          <cell r="H82" t="str">
            <v>XA</v>
          </cell>
          <cell r="I82" t="str">
            <v>HP</v>
          </cell>
          <cell r="J82" t="str">
            <v>RMB</v>
          </cell>
          <cell r="K82">
            <v>0</v>
          </cell>
          <cell r="L82" t="str">
            <v>HKD</v>
          </cell>
          <cell r="M82">
            <v>0</v>
          </cell>
          <cell r="N82">
            <v>6</v>
          </cell>
          <cell r="O82">
            <v>6</v>
          </cell>
          <cell r="P82">
            <v>48</v>
          </cell>
          <cell r="Q82">
            <v>0</v>
          </cell>
        </row>
        <row r="83">
          <cell r="A83" t="str">
            <v>Refreshment</v>
          </cell>
          <cell r="B83">
            <v>2016</v>
          </cell>
          <cell r="C83" t="str">
            <v>Peter</v>
          </cell>
          <cell r="D83" t="str">
            <v>CN</v>
          </cell>
          <cell r="E83">
            <v>0</v>
          </cell>
          <cell r="F83" t="str">
            <v>Desktop Refreshment</v>
          </cell>
          <cell r="G83" t="str">
            <v>0 set Laptop</v>
          </cell>
          <cell r="H83" t="str">
            <v>ZH</v>
          </cell>
          <cell r="I83" t="str">
            <v>HP</v>
          </cell>
          <cell r="J83" t="str">
            <v>RMB</v>
          </cell>
          <cell r="K83">
            <v>0</v>
          </cell>
          <cell r="L83" t="str">
            <v>HKD</v>
          </cell>
          <cell r="M83">
            <v>0</v>
          </cell>
          <cell r="N83">
            <v>6</v>
          </cell>
          <cell r="O83">
            <v>6</v>
          </cell>
          <cell r="P83">
            <v>48</v>
          </cell>
          <cell r="Q83">
            <v>0</v>
          </cell>
        </row>
        <row r="84">
          <cell r="A84" t="str">
            <v>Refreshment</v>
          </cell>
          <cell r="B84">
            <v>2016</v>
          </cell>
          <cell r="C84" t="str">
            <v>Peter</v>
          </cell>
          <cell r="D84" t="str">
            <v>CN</v>
          </cell>
          <cell r="E84">
            <v>0</v>
          </cell>
          <cell r="F84" t="str">
            <v>Desktop Refreshment</v>
          </cell>
          <cell r="G84" t="str">
            <v>0 set Laptop</v>
          </cell>
          <cell r="H84" t="str">
            <v>CD</v>
          </cell>
          <cell r="I84" t="str">
            <v>HP</v>
          </cell>
          <cell r="J84" t="str">
            <v>RMB</v>
          </cell>
          <cell r="K84">
            <v>0</v>
          </cell>
          <cell r="L84" t="str">
            <v>HKD</v>
          </cell>
          <cell r="M84">
            <v>0</v>
          </cell>
          <cell r="N84">
            <v>6</v>
          </cell>
          <cell r="O84">
            <v>6</v>
          </cell>
          <cell r="P84">
            <v>48</v>
          </cell>
          <cell r="Q84">
            <v>0</v>
          </cell>
        </row>
        <row r="85">
          <cell r="A85" t="str">
            <v>Refreshment</v>
          </cell>
          <cell r="B85">
            <v>2016</v>
          </cell>
          <cell r="C85" t="str">
            <v>Peter</v>
          </cell>
          <cell r="D85" t="str">
            <v>CN</v>
          </cell>
          <cell r="E85">
            <v>0</v>
          </cell>
          <cell r="F85" t="str">
            <v>Desktop Refreshment</v>
          </cell>
          <cell r="G85" t="str">
            <v>0 set Laptop</v>
          </cell>
          <cell r="H85" t="str">
            <v>CQ</v>
          </cell>
          <cell r="I85" t="str">
            <v>HP</v>
          </cell>
          <cell r="J85" t="str">
            <v>RMB</v>
          </cell>
          <cell r="K85">
            <v>0</v>
          </cell>
          <cell r="L85" t="str">
            <v>HKD</v>
          </cell>
          <cell r="M85">
            <v>0</v>
          </cell>
          <cell r="N85">
            <v>6</v>
          </cell>
          <cell r="O85">
            <v>6</v>
          </cell>
          <cell r="P85">
            <v>48</v>
          </cell>
          <cell r="Q85">
            <v>0</v>
          </cell>
        </row>
        <row r="86">
          <cell r="A86" t="str">
            <v>Refreshment</v>
          </cell>
          <cell r="B86">
            <v>2016</v>
          </cell>
          <cell r="C86" t="str">
            <v>Peter</v>
          </cell>
          <cell r="D86" t="str">
            <v>CN</v>
          </cell>
          <cell r="E86">
            <v>0</v>
          </cell>
          <cell r="F86" t="str">
            <v>Desktop Refreshment</v>
          </cell>
          <cell r="G86" t="str">
            <v>0 set Laptop</v>
          </cell>
          <cell r="H86" t="str">
            <v>XA</v>
          </cell>
          <cell r="I86" t="str">
            <v>HP</v>
          </cell>
          <cell r="J86" t="str">
            <v>RMB</v>
          </cell>
          <cell r="K86">
            <v>0</v>
          </cell>
          <cell r="L86" t="str">
            <v>HKD</v>
          </cell>
          <cell r="M86">
            <v>0</v>
          </cell>
          <cell r="N86">
            <v>6</v>
          </cell>
          <cell r="O86">
            <v>6</v>
          </cell>
          <cell r="P86">
            <v>48</v>
          </cell>
          <cell r="Q86">
            <v>0</v>
          </cell>
        </row>
        <row r="87">
          <cell r="A87" t="str">
            <v>Refreshment</v>
          </cell>
          <cell r="B87">
            <v>2017</v>
          </cell>
          <cell r="C87" t="str">
            <v>Hiroshi</v>
          </cell>
          <cell r="D87" t="str">
            <v>JP</v>
          </cell>
          <cell r="E87">
            <v>0</v>
          </cell>
          <cell r="F87" t="str">
            <v>Desktop Refreshment</v>
          </cell>
          <cell r="G87" t="str">
            <v>10 x HP PC</v>
          </cell>
          <cell r="H87" t="str">
            <v>JP</v>
          </cell>
          <cell r="I87" t="str">
            <v>HP</v>
          </cell>
          <cell r="J87" t="str">
            <v>JPY</v>
          </cell>
          <cell r="K87">
            <v>743390</v>
          </cell>
          <cell r="L87" t="str">
            <v>HKD</v>
          </cell>
          <cell r="M87">
            <v>46536.214</v>
          </cell>
          <cell r="N87">
            <v>1</v>
          </cell>
          <cell r="O87">
            <v>11</v>
          </cell>
          <cell r="P87">
            <v>48</v>
          </cell>
          <cell r="Q87">
            <v>10664.549041666667</v>
          </cell>
        </row>
        <row r="88">
          <cell r="A88" t="str">
            <v>Refreshment</v>
          </cell>
          <cell r="B88">
            <v>2017</v>
          </cell>
          <cell r="C88" t="str">
            <v>Kim</v>
          </cell>
          <cell r="D88" t="str">
            <v>KR</v>
          </cell>
          <cell r="E88">
            <v>0</v>
          </cell>
          <cell r="F88" t="str">
            <v>Desktop Refreshment</v>
          </cell>
          <cell r="G88" t="str">
            <v>PC &amp; Montiro Replacement</v>
          </cell>
          <cell r="H88" t="str">
            <v>KR</v>
          </cell>
          <cell r="I88" t="str">
            <v>HP</v>
          </cell>
          <cell r="J88" t="str">
            <v>WON</v>
          </cell>
          <cell r="K88">
            <v>31000000</v>
          </cell>
          <cell r="L88" t="str">
            <v>HKD</v>
          </cell>
          <cell r="M88">
            <v>207700</v>
          </cell>
          <cell r="N88">
            <v>9</v>
          </cell>
          <cell r="O88">
            <v>3</v>
          </cell>
          <cell r="P88">
            <v>48</v>
          </cell>
          <cell r="Q88">
            <v>12981.25</v>
          </cell>
        </row>
        <row r="89">
          <cell r="A89" t="str">
            <v>Refreshment</v>
          </cell>
          <cell r="B89">
            <v>2017</v>
          </cell>
          <cell r="C89">
            <v>0</v>
          </cell>
          <cell r="D89" t="str">
            <v>MO</v>
          </cell>
          <cell r="E89">
            <v>0</v>
          </cell>
          <cell r="F89" t="str">
            <v>Desktop Refreshment</v>
          </cell>
          <cell r="G89" t="str">
            <v>PC Replacement</v>
          </cell>
          <cell r="H89" t="str">
            <v>MO</v>
          </cell>
          <cell r="I89">
            <v>0</v>
          </cell>
          <cell r="J89" t="str">
            <v>HKD</v>
          </cell>
          <cell r="K89">
            <v>62872</v>
          </cell>
          <cell r="L89" t="str">
            <v>HKD</v>
          </cell>
          <cell r="M89">
            <v>62872</v>
          </cell>
          <cell r="N89">
            <v>10</v>
          </cell>
          <cell r="O89">
            <v>2</v>
          </cell>
          <cell r="P89">
            <v>48</v>
          </cell>
          <cell r="Q89">
            <v>2619.6666666666665</v>
          </cell>
        </row>
        <row r="90">
          <cell r="A90" t="str">
            <v>Refreshment</v>
          </cell>
          <cell r="B90">
            <v>2017</v>
          </cell>
          <cell r="C90">
            <v>0</v>
          </cell>
          <cell r="D90" t="str">
            <v>MO</v>
          </cell>
          <cell r="E90">
            <v>0</v>
          </cell>
          <cell r="F90" t="str">
            <v>Desktop Refreshment</v>
          </cell>
          <cell r="G90" t="str">
            <v>PC Software Upgrade</v>
          </cell>
          <cell r="H90" t="str">
            <v>MO</v>
          </cell>
          <cell r="I90">
            <v>0</v>
          </cell>
          <cell r="J90" t="str">
            <v>HKD</v>
          </cell>
          <cell r="K90">
            <v>10000</v>
          </cell>
          <cell r="L90" t="str">
            <v>HKD</v>
          </cell>
          <cell r="M90">
            <v>10000</v>
          </cell>
          <cell r="N90">
            <v>10</v>
          </cell>
          <cell r="O90">
            <v>2</v>
          </cell>
          <cell r="P90">
            <v>48</v>
          </cell>
          <cell r="Q90">
            <v>416.66666666666669</v>
          </cell>
        </row>
        <row r="91">
          <cell r="A91" t="str">
            <v>Refreshment</v>
          </cell>
          <cell r="B91">
            <v>2017</v>
          </cell>
          <cell r="C91" t="str">
            <v>Edmond</v>
          </cell>
          <cell r="D91" t="str">
            <v>TH</v>
          </cell>
          <cell r="E91">
            <v>0</v>
          </cell>
          <cell r="F91" t="str">
            <v>Desktop Refreshment</v>
          </cell>
          <cell r="G91" t="str">
            <v>PC Replacement (3)</v>
          </cell>
          <cell r="H91" t="str">
            <v>TH</v>
          </cell>
          <cell r="I91">
            <v>0</v>
          </cell>
          <cell r="J91" t="str">
            <v>HKD</v>
          </cell>
          <cell r="K91">
            <v>17338</v>
          </cell>
          <cell r="L91" t="str">
            <v>HKD</v>
          </cell>
          <cell r="M91">
            <v>17338</v>
          </cell>
          <cell r="N91">
            <v>3</v>
          </cell>
          <cell r="O91">
            <v>9</v>
          </cell>
          <cell r="P91">
            <v>48</v>
          </cell>
          <cell r="Q91">
            <v>3250.875</v>
          </cell>
        </row>
        <row r="92">
          <cell r="A92" t="str">
            <v>Refreshment</v>
          </cell>
          <cell r="B92">
            <v>2017</v>
          </cell>
          <cell r="C92" t="str">
            <v>Peter</v>
          </cell>
          <cell r="D92" t="str">
            <v>CN</v>
          </cell>
          <cell r="E92">
            <v>0</v>
          </cell>
          <cell r="F92" t="str">
            <v>Desktop Refreshment</v>
          </cell>
          <cell r="G92" t="str">
            <v>40 set PC</v>
          </cell>
          <cell r="H92" t="str">
            <v>SH</v>
          </cell>
          <cell r="I92" t="str">
            <v>HP</v>
          </cell>
          <cell r="J92" t="str">
            <v>RMB</v>
          </cell>
          <cell r="K92">
            <v>168000</v>
          </cell>
          <cell r="L92" t="str">
            <v>HKD</v>
          </cell>
          <cell r="M92">
            <v>209748</v>
          </cell>
          <cell r="N92">
            <v>6</v>
          </cell>
          <cell r="O92">
            <v>6</v>
          </cell>
          <cell r="P92">
            <v>48</v>
          </cell>
          <cell r="Q92">
            <v>26218.5</v>
          </cell>
        </row>
        <row r="93">
          <cell r="A93" t="str">
            <v>Refreshment</v>
          </cell>
          <cell r="B93">
            <v>2017</v>
          </cell>
          <cell r="C93" t="str">
            <v>Peter</v>
          </cell>
          <cell r="D93" t="str">
            <v>CN</v>
          </cell>
          <cell r="E93">
            <v>0</v>
          </cell>
          <cell r="F93" t="str">
            <v>Desktop Refreshment</v>
          </cell>
          <cell r="G93" t="str">
            <v>0 set PC</v>
          </cell>
          <cell r="H93" t="str">
            <v>HZ</v>
          </cell>
          <cell r="I93" t="str">
            <v>HP</v>
          </cell>
          <cell r="J93" t="str">
            <v>RMB</v>
          </cell>
          <cell r="K93">
            <v>0</v>
          </cell>
          <cell r="L93" t="str">
            <v>HKD</v>
          </cell>
          <cell r="M93">
            <v>0</v>
          </cell>
          <cell r="N93">
            <v>6</v>
          </cell>
          <cell r="O93">
            <v>6</v>
          </cell>
          <cell r="P93">
            <v>48</v>
          </cell>
          <cell r="Q93">
            <v>0</v>
          </cell>
        </row>
        <row r="94">
          <cell r="A94" t="str">
            <v>Refreshment</v>
          </cell>
          <cell r="B94">
            <v>2017</v>
          </cell>
          <cell r="C94" t="str">
            <v>Peter</v>
          </cell>
          <cell r="D94" t="str">
            <v>CN</v>
          </cell>
          <cell r="E94">
            <v>0</v>
          </cell>
          <cell r="F94" t="str">
            <v>Desktop Refreshment</v>
          </cell>
          <cell r="G94" t="str">
            <v>0 set PC</v>
          </cell>
          <cell r="H94" t="str">
            <v>NJ</v>
          </cell>
          <cell r="I94" t="str">
            <v>HP</v>
          </cell>
          <cell r="J94" t="str">
            <v>RMB</v>
          </cell>
          <cell r="K94">
            <v>0</v>
          </cell>
          <cell r="L94" t="str">
            <v>HKD</v>
          </cell>
          <cell r="M94">
            <v>0</v>
          </cell>
          <cell r="N94">
            <v>6</v>
          </cell>
          <cell r="O94">
            <v>6</v>
          </cell>
          <cell r="P94">
            <v>48</v>
          </cell>
          <cell r="Q94">
            <v>0</v>
          </cell>
        </row>
        <row r="95">
          <cell r="A95" t="str">
            <v>Refreshment</v>
          </cell>
          <cell r="B95">
            <v>2017</v>
          </cell>
          <cell r="C95" t="str">
            <v>Peter</v>
          </cell>
          <cell r="D95" t="str">
            <v>CN</v>
          </cell>
          <cell r="E95">
            <v>0</v>
          </cell>
          <cell r="F95" t="str">
            <v>Desktop Refreshment</v>
          </cell>
          <cell r="G95" t="str">
            <v>27 set PC</v>
          </cell>
          <cell r="H95" t="str">
            <v>BJ</v>
          </cell>
          <cell r="I95" t="str">
            <v>HP</v>
          </cell>
          <cell r="J95" t="str">
            <v>RMB</v>
          </cell>
          <cell r="K95">
            <v>113400</v>
          </cell>
          <cell r="L95" t="str">
            <v>HKD</v>
          </cell>
          <cell r="M95">
            <v>141579.9</v>
          </cell>
          <cell r="N95">
            <v>6</v>
          </cell>
          <cell r="O95">
            <v>6</v>
          </cell>
          <cell r="P95">
            <v>48</v>
          </cell>
          <cell r="Q95">
            <v>17697.487499999999</v>
          </cell>
        </row>
        <row r="96">
          <cell r="A96" t="str">
            <v>Refreshment</v>
          </cell>
          <cell r="B96">
            <v>2017</v>
          </cell>
          <cell r="C96" t="str">
            <v>Peter</v>
          </cell>
          <cell r="D96" t="str">
            <v>CN</v>
          </cell>
          <cell r="E96">
            <v>0</v>
          </cell>
          <cell r="F96" t="str">
            <v>Desktop Refreshment</v>
          </cell>
          <cell r="G96" t="str">
            <v>4 set PC</v>
          </cell>
          <cell r="H96" t="str">
            <v>TJ</v>
          </cell>
          <cell r="I96" t="str">
            <v>HP</v>
          </cell>
          <cell r="J96" t="str">
            <v>RMB</v>
          </cell>
          <cell r="K96">
            <v>16800</v>
          </cell>
          <cell r="L96" t="str">
            <v>HKD</v>
          </cell>
          <cell r="M96">
            <v>20974.799999999999</v>
          </cell>
          <cell r="N96">
            <v>6</v>
          </cell>
          <cell r="O96">
            <v>6</v>
          </cell>
          <cell r="P96">
            <v>48</v>
          </cell>
          <cell r="Q96">
            <v>2621.85</v>
          </cell>
        </row>
        <row r="97">
          <cell r="A97" t="str">
            <v>Refreshment</v>
          </cell>
          <cell r="B97">
            <v>2017</v>
          </cell>
          <cell r="C97" t="str">
            <v>Peter</v>
          </cell>
          <cell r="D97" t="str">
            <v>CN</v>
          </cell>
          <cell r="E97">
            <v>0</v>
          </cell>
          <cell r="F97" t="str">
            <v>Desktop Refreshment</v>
          </cell>
          <cell r="G97" t="str">
            <v>7 set PC</v>
          </cell>
          <cell r="H97" t="str">
            <v>DL</v>
          </cell>
          <cell r="I97" t="str">
            <v>HP</v>
          </cell>
          <cell r="J97" t="str">
            <v>RMB</v>
          </cell>
          <cell r="K97">
            <v>29400</v>
          </cell>
          <cell r="L97" t="str">
            <v>HKD</v>
          </cell>
          <cell r="M97">
            <v>36705.9</v>
          </cell>
          <cell r="N97">
            <v>6</v>
          </cell>
          <cell r="O97">
            <v>6</v>
          </cell>
          <cell r="P97">
            <v>48</v>
          </cell>
          <cell r="Q97">
            <v>4588.2375000000002</v>
          </cell>
        </row>
        <row r="98">
          <cell r="A98" t="str">
            <v>Refreshment</v>
          </cell>
          <cell r="B98">
            <v>2017</v>
          </cell>
          <cell r="C98" t="str">
            <v>Peter</v>
          </cell>
          <cell r="D98" t="str">
            <v>CN</v>
          </cell>
          <cell r="E98">
            <v>0</v>
          </cell>
          <cell r="F98" t="str">
            <v>Desktop Refreshment</v>
          </cell>
          <cell r="G98" t="str">
            <v>0 set PC</v>
          </cell>
          <cell r="H98" t="str">
            <v>SY</v>
          </cell>
          <cell r="I98" t="str">
            <v>HP</v>
          </cell>
          <cell r="J98" t="str">
            <v>RMB</v>
          </cell>
          <cell r="K98">
            <v>0</v>
          </cell>
          <cell r="L98" t="str">
            <v>HKD</v>
          </cell>
          <cell r="M98">
            <v>0</v>
          </cell>
          <cell r="N98">
            <v>6</v>
          </cell>
          <cell r="O98">
            <v>6</v>
          </cell>
          <cell r="P98">
            <v>48</v>
          </cell>
          <cell r="Q98">
            <v>0</v>
          </cell>
        </row>
        <row r="99">
          <cell r="A99" t="str">
            <v>Refreshment</v>
          </cell>
          <cell r="B99">
            <v>2017</v>
          </cell>
          <cell r="C99" t="str">
            <v>Peter</v>
          </cell>
          <cell r="D99" t="str">
            <v>CN</v>
          </cell>
          <cell r="E99">
            <v>0</v>
          </cell>
          <cell r="F99" t="str">
            <v>Desktop Refreshment</v>
          </cell>
          <cell r="G99" t="str">
            <v>5 set PC</v>
          </cell>
          <cell r="H99" t="str">
            <v>QD</v>
          </cell>
          <cell r="I99" t="str">
            <v>HP</v>
          </cell>
          <cell r="J99" t="str">
            <v>RMB</v>
          </cell>
          <cell r="K99">
            <v>21000</v>
          </cell>
          <cell r="L99" t="str">
            <v>HKD</v>
          </cell>
          <cell r="M99">
            <v>26218.5</v>
          </cell>
          <cell r="N99">
            <v>6</v>
          </cell>
          <cell r="O99">
            <v>6</v>
          </cell>
          <cell r="P99">
            <v>48</v>
          </cell>
          <cell r="Q99">
            <v>3277.3125</v>
          </cell>
        </row>
        <row r="100">
          <cell r="A100" t="str">
            <v>Refreshment</v>
          </cell>
          <cell r="B100">
            <v>2017</v>
          </cell>
          <cell r="C100" t="str">
            <v>Peter</v>
          </cell>
          <cell r="D100" t="str">
            <v>CN</v>
          </cell>
          <cell r="E100">
            <v>0</v>
          </cell>
          <cell r="F100" t="str">
            <v>Desktop Refreshment</v>
          </cell>
          <cell r="G100" t="str">
            <v>32 set PC</v>
          </cell>
          <cell r="H100" t="str">
            <v>GZ</v>
          </cell>
          <cell r="I100" t="str">
            <v>HP</v>
          </cell>
          <cell r="J100" t="str">
            <v>RMB</v>
          </cell>
          <cell r="K100">
            <v>134400</v>
          </cell>
          <cell r="L100" t="str">
            <v>HKD</v>
          </cell>
          <cell r="M100">
            <v>167798.39999999999</v>
          </cell>
          <cell r="N100">
            <v>6</v>
          </cell>
          <cell r="O100">
            <v>6</v>
          </cell>
          <cell r="P100">
            <v>48</v>
          </cell>
          <cell r="Q100">
            <v>20974.799999999999</v>
          </cell>
        </row>
        <row r="101">
          <cell r="A101" t="str">
            <v>Refreshment</v>
          </cell>
          <cell r="B101">
            <v>2017</v>
          </cell>
          <cell r="C101" t="str">
            <v>Peter</v>
          </cell>
          <cell r="D101" t="str">
            <v>CN</v>
          </cell>
          <cell r="E101">
            <v>0</v>
          </cell>
          <cell r="F101" t="str">
            <v>Desktop Refreshment</v>
          </cell>
          <cell r="G101" t="str">
            <v>19 set PC</v>
          </cell>
          <cell r="H101" t="str">
            <v>SZ</v>
          </cell>
          <cell r="I101" t="str">
            <v>HP</v>
          </cell>
          <cell r="J101" t="str">
            <v>RMB</v>
          </cell>
          <cell r="K101">
            <v>79800</v>
          </cell>
          <cell r="L101" t="str">
            <v>HKD</v>
          </cell>
          <cell r="M101">
            <v>99630.299999999988</v>
          </cell>
          <cell r="N101">
            <v>6</v>
          </cell>
          <cell r="O101">
            <v>6</v>
          </cell>
          <cell r="P101">
            <v>48</v>
          </cell>
          <cell r="Q101">
            <v>12453.787499999999</v>
          </cell>
        </row>
        <row r="102">
          <cell r="A102" t="str">
            <v>Refreshment</v>
          </cell>
          <cell r="B102">
            <v>2017</v>
          </cell>
          <cell r="C102" t="str">
            <v>Peter</v>
          </cell>
          <cell r="D102" t="str">
            <v>CN</v>
          </cell>
          <cell r="E102">
            <v>0</v>
          </cell>
          <cell r="F102" t="str">
            <v>Desktop Refreshment</v>
          </cell>
          <cell r="G102" t="str">
            <v>0 set PC</v>
          </cell>
          <cell r="H102" t="str">
            <v>XA</v>
          </cell>
          <cell r="I102" t="str">
            <v>HP</v>
          </cell>
          <cell r="J102" t="str">
            <v>RMB</v>
          </cell>
          <cell r="K102">
            <v>0</v>
          </cell>
          <cell r="L102" t="str">
            <v>HKD</v>
          </cell>
          <cell r="M102">
            <v>0</v>
          </cell>
          <cell r="N102">
            <v>6</v>
          </cell>
          <cell r="O102">
            <v>6</v>
          </cell>
          <cell r="P102">
            <v>48</v>
          </cell>
          <cell r="Q102">
            <v>0</v>
          </cell>
        </row>
        <row r="103">
          <cell r="A103" t="str">
            <v>Refreshment</v>
          </cell>
          <cell r="B103">
            <v>2017</v>
          </cell>
          <cell r="C103" t="str">
            <v>Peter</v>
          </cell>
          <cell r="D103" t="str">
            <v>CN</v>
          </cell>
          <cell r="E103">
            <v>0</v>
          </cell>
          <cell r="F103" t="str">
            <v>Desktop Refreshment</v>
          </cell>
          <cell r="G103" t="str">
            <v>0 set PC</v>
          </cell>
          <cell r="H103" t="str">
            <v>ZH</v>
          </cell>
          <cell r="I103" t="str">
            <v>HP</v>
          </cell>
          <cell r="J103" t="str">
            <v>RMB</v>
          </cell>
          <cell r="K103">
            <v>0</v>
          </cell>
          <cell r="L103" t="str">
            <v>HKD</v>
          </cell>
          <cell r="M103">
            <v>0</v>
          </cell>
          <cell r="N103">
            <v>6</v>
          </cell>
          <cell r="O103">
            <v>6</v>
          </cell>
          <cell r="P103">
            <v>48</v>
          </cell>
          <cell r="Q103">
            <v>0</v>
          </cell>
        </row>
        <row r="104">
          <cell r="A104" t="str">
            <v>Refreshment</v>
          </cell>
          <cell r="B104">
            <v>2017</v>
          </cell>
          <cell r="C104" t="str">
            <v>Peter</v>
          </cell>
          <cell r="D104" t="str">
            <v>CN</v>
          </cell>
          <cell r="E104">
            <v>0</v>
          </cell>
          <cell r="F104" t="str">
            <v>Desktop Refreshment</v>
          </cell>
          <cell r="G104" t="str">
            <v>26 set PC</v>
          </cell>
          <cell r="H104" t="str">
            <v>CD</v>
          </cell>
          <cell r="I104" t="str">
            <v>HP</v>
          </cell>
          <cell r="J104" t="str">
            <v>RMB</v>
          </cell>
          <cell r="K104">
            <v>109200</v>
          </cell>
          <cell r="L104" t="str">
            <v>HKD</v>
          </cell>
          <cell r="M104">
            <v>136336.19999999998</v>
          </cell>
          <cell r="N104">
            <v>6</v>
          </cell>
          <cell r="O104">
            <v>6</v>
          </cell>
          <cell r="P104">
            <v>48</v>
          </cell>
          <cell r="Q104">
            <v>17042.024999999998</v>
          </cell>
        </row>
        <row r="105">
          <cell r="A105" t="str">
            <v>Refreshment</v>
          </cell>
          <cell r="B105">
            <v>2017</v>
          </cell>
          <cell r="C105" t="str">
            <v>Peter</v>
          </cell>
          <cell r="D105" t="str">
            <v>CN</v>
          </cell>
          <cell r="E105">
            <v>0</v>
          </cell>
          <cell r="F105" t="str">
            <v>Desktop Refreshment</v>
          </cell>
          <cell r="G105" t="str">
            <v>11 set PC</v>
          </cell>
          <cell r="H105" t="str">
            <v>CQ</v>
          </cell>
          <cell r="I105" t="str">
            <v>HP</v>
          </cell>
          <cell r="J105" t="str">
            <v>RMB</v>
          </cell>
          <cell r="K105">
            <v>46200</v>
          </cell>
          <cell r="L105" t="str">
            <v>HKD</v>
          </cell>
          <cell r="M105">
            <v>57680.7</v>
          </cell>
          <cell r="N105">
            <v>6</v>
          </cell>
          <cell r="O105">
            <v>6</v>
          </cell>
          <cell r="P105">
            <v>48</v>
          </cell>
          <cell r="Q105">
            <v>7210.0874999999996</v>
          </cell>
        </row>
        <row r="106">
          <cell r="A106" t="str">
            <v>Refreshment</v>
          </cell>
          <cell r="B106">
            <v>2017</v>
          </cell>
          <cell r="C106" t="str">
            <v>Peter</v>
          </cell>
          <cell r="D106" t="str">
            <v>CN</v>
          </cell>
          <cell r="E106">
            <v>0</v>
          </cell>
          <cell r="F106" t="str">
            <v>Desktop Refreshment</v>
          </cell>
          <cell r="G106" t="str">
            <v>0 set PC</v>
          </cell>
          <cell r="H106" t="str">
            <v>XA</v>
          </cell>
          <cell r="I106" t="str">
            <v>HP</v>
          </cell>
          <cell r="J106" t="str">
            <v>RMB</v>
          </cell>
          <cell r="K106">
            <v>0</v>
          </cell>
          <cell r="L106" t="str">
            <v>HKD</v>
          </cell>
          <cell r="M106">
            <v>0</v>
          </cell>
          <cell r="N106">
            <v>6</v>
          </cell>
          <cell r="O106">
            <v>6</v>
          </cell>
          <cell r="P106">
            <v>48</v>
          </cell>
          <cell r="Q106">
            <v>0</v>
          </cell>
        </row>
        <row r="107">
          <cell r="A107" t="str">
            <v>Refreshment</v>
          </cell>
          <cell r="B107">
            <v>2017</v>
          </cell>
          <cell r="C107" t="str">
            <v>Peter</v>
          </cell>
          <cell r="D107" t="str">
            <v>CN</v>
          </cell>
          <cell r="E107">
            <v>0</v>
          </cell>
          <cell r="F107" t="str">
            <v>Desktop Refreshment</v>
          </cell>
          <cell r="G107" t="str">
            <v>1 set Laptop</v>
          </cell>
          <cell r="H107" t="str">
            <v>SH</v>
          </cell>
          <cell r="I107" t="str">
            <v>HP</v>
          </cell>
          <cell r="J107" t="str">
            <v>RMB</v>
          </cell>
          <cell r="K107">
            <v>8000</v>
          </cell>
          <cell r="L107" t="str">
            <v>HKD</v>
          </cell>
          <cell r="M107">
            <v>9988</v>
          </cell>
          <cell r="N107">
            <v>6</v>
          </cell>
          <cell r="O107">
            <v>6</v>
          </cell>
          <cell r="P107">
            <v>48</v>
          </cell>
          <cell r="Q107">
            <v>1248.5</v>
          </cell>
        </row>
        <row r="108">
          <cell r="A108" t="str">
            <v>Refreshment</v>
          </cell>
          <cell r="B108">
            <v>2017</v>
          </cell>
          <cell r="C108" t="str">
            <v>Peter</v>
          </cell>
          <cell r="D108" t="str">
            <v>CN</v>
          </cell>
          <cell r="E108">
            <v>0</v>
          </cell>
          <cell r="F108" t="str">
            <v>Desktop Refreshment</v>
          </cell>
          <cell r="G108" t="str">
            <v>0 set Laptop</v>
          </cell>
          <cell r="H108" t="str">
            <v>HZ</v>
          </cell>
          <cell r="I108" t="str">
            <v>HP</v>
          </cell>
          <cell r="J108" t="str">
            <v>RMB</v>
          </cell>
          <cell r="K108">
            <v>0</v>
          </cell>
          <cell r="L108" t="str">
            <v>HKD</v>
          </cell>
          <cell r="M108">
            <v>0</v>
          </cell>
          <cell r="N108">
            <v>6</v>
          </cell>
          <cell r="O108">
            <v>6</v>
          </cell>
          <cell r="P108">
            <v>48</v>
          </cell>
          <cell r="Q108">
            <v>0</v>
          </cell>
        </row>
        <row r="109">
          <cell r="A109" t="str">
            <v>Refreshment</v>
          </cell>
          <cell r="B109">
            <v>2017</v>
          </cell>
          <cell r="C109" t="str">
            <v>Peter</v>
          </cell>
          <cell r="D109" t="str">
            <v>CN</v>
          </cell>
          <cell r="E109">
            <v>0</v>
          </cell>
          <cell r="F109" t="str">
            <v>Desktop Refreshment</v>
          </cell>
          <cell r="G109" t="str">
            <v>0 set Laptop</v>
          </cell>
          <cell r="H109" t="str">
            <v>NJ</v>
          </cell>
          <cell r="I109" t="str">
            <v>HP</v>
          </cell>
          <cell r="J109" t="str">
            <v>RMB</v>
          </cell>
          <cell r="K109">
            <v>0</v>
          </cell>
          <cell r="L109" t="str">
            <v>HKD</v>
          </cell>
          <cell r="M109">
            <v>0</v>
          </cell>
          <cell r="N109">
            <v>6</v>
          </cell>
          <cell r="O109">
            <v>6</v>
          </cell>
          <cell r="P109">
            <v>48</v>
          </cell>
          <cell r="Q109">
            <v>0</v>
          </cell>
        </row>
        <row r="110">
          <cell r="A110" t="str">
            <v>Refreshment</v>
          </cell>
          <cell r="B110">
            <v>2017</v>
          </cell>
          <cell r="C110" t="str">
            <v>Peter</v>
          </cell>
          <cell r="D110" t="str">
            <v>CN</v>
          </cell>
          <cell r="E110">
            <v>0</v>
          </cell>
          <cell r="F110" t="str">
            <v>Desktop Refreshment</v>
          </cell>
          <cell r="G110" t="str">
            <v>4 set Laptop</v>
          </cell>
          <cell r="H110" t="str">
            <v>BJ</v>
          </cell>
          <cell r="I110" t="str">
            <v>HP</v>
          </cell>
          <cell r="J110" t="str">
            <v>RMB</v>
          </cell>
          <cell r="K110">
            <v>32000</v>
          </cell>
          <cell r="L110" t="str">
            <v>HKD</v>
          </cell>
          <cell r="M110">
            <v>39952</v>
          </cell>
          <cell r="N110">
            <v>6</v>
          </cell>
          <cell r="O110">
            <v>6</v>
          </cell>
          <cell r="P110">
            <v>48</v>
          </cell>
          <cell r="Q110">
            <v>4994</v>
          </cell>
        </row>
        <row r="111">
          <cell r="A111" t="str">
            <v>Refreshment</v>
          </cell>
          <cell r="B111">
            <v>2017</v>
          </cell>
          <cell r="C111" t="str">
            <v>Peter</v>
          </cell>
          <cell r="D111" t="str">
            <v>CN</v>
          </cell>
          <cell r="E111">
            <v>0</v>
          </cell>
          <cell r="F111" t="str">
            <v>Desktop Refreshment</v>
          </cell>
          <cell r="G111" t="str">
            <v>0 set Laptop</v>
          </cell>
          <cell r="H111" t="str">
            <v>TJ</v>
          </cell>
          <cell r="I111" t="str">
            <v>HP</v>
          </cell>
          <cell r="J111" t="str">
            <v>RMB</v>
          </cell>
          <cell r="K111">
            <v>0</v>
          </cell>
          <cell r="L111" t="str">
            <v>HKD</v>
          </cell>
          <cell r="M111">
            <v>0</v>
          </cell>
          <cell r="N111">
            <v>6</v>
          </cell>
          <cell r="O111">
            <v>6</v>
          </cell>
          <cell r="P111">
            <v>48</v>
          </cell>
          <cell r="Q111">
            <v>0</v>
          </cell>
        </row>
        <row r="112">
          <cell r="A112" t="str">
            <v>Refreshment</v>
          </cell>
          <cell r="B112">
            <v>2017</v>
          </cell>
          <cell r="C112" t="str">
            <v>Peter</v>
          </cell>
          <cell r="D112" t="str">
            <v>CN</v>
          </cell>
          <cell r="E112">
            <v>0</v>
          </cell>
          <cell r="F112" t="str">
            <v>Desktop Refreshment</v>
          </cell>
          <cell r="G112" t="str">
            <v>0 set Laptop</v>
          </cell>
          <cell r="H112" t="str">
            <v>DL</v>
          </cell>
          <cell r="I112" t="str">
            <v>HP</v>
          </cell>
          <cell r="J112" t="str">
            <v>RMB</v>
          </cell>
          <cell r="K112">
            <v>0</v>
          </cell>
          <cell r="L112" t="str">
            <v>HKD</v>
          </cell>
          <cell r="M112">
            <v>0</v>
          </cell>
          <cell r="N112">
            <v>6</v>
          </cell>
          <cell r="O112">
            <v>6</v>
          </cell>
          <cell r="P112">
            <v>48</v>
          </cell>
          <cell r="Q112">
            <v>0</v>
          </cell>
        </row>
        <row r="113">
          <cell r="A113" t="str">
            <v>Refreshment</v>
          </cell>
          <cell r="B113">
            <v>2017</v>
          </cell>
          <cell r="C113" t="str">
            <v>Peter</v>
          </cell>
          <cell r="D113" t="str">
            <v>CN</v>
          </cell>
          <cell r="E113">
            <v>0</v>
          </cell>
          <cell r="F113" t="str">
            <v>Desktop Refreshment</v>
          </cell>
          <cell r="G113" t="str">
            <v>0 set Laptop</v>
          </cell>
          <cell r="H113" t="str">
            <v>SY</v>
          </cell>
          <cell r="I113" t="str">
            <v>HP</v>
          </cell>
          <cell r="J113" t="str">
            <v>RMB</v>
          </cell>
          <cell r="K113">
            <v>0</v>
          </cell>
          <cell r="L113" t="str">
            <v>HKD</v>
          </cell>
          <cell r="M113">
            <v>0</v>
          </cell>
          <cell r="N113">
            <v>6</v>
          </cell>
          <cell r="O113">
            <v>6</v>
          </cell>
          <cell r="P113">
            <v>48</v>
          </cell>
          <cell r="Q113">
            <v>0</v>
          </cell>
        </row>
        <row r="114">
          <cell r="A114" t="str">
            <v>Refreshment</v>
          </cell>
          <cell r="B114">
            <v>2017</v>
          </cell>
          <cell r="C114" t="str">
            <v>Peter</v>
          </cell>
          <cell r="D114" t="str">
            <v>CN</v>
          </cell>
          <cell r="E114">
            <v>0</v>
          </cell>
          <cell r="F114" t="str">
            <v>Desktop Refreshment</v>
          </cell>
          <cell r="G114" t="str">
            <v>1 set Laptop</v>
          </cell>
          <cell r="H114" t="str">
            <v>QD</v>
          </cell>
          <cell r="I114" t="str">
            <v>HP</v>
          </cell>
          <cell r="J114" t="str">
            <v>RMB</v>
          </cell>
          <cell r="K114">
            <v>8000</v>
          </cell>
          <cell r="L114" t="str">
            <v>HKD</v>
          </cell>
          <cell r="M114">
            <v>9988</v>
          </cell>
          <cell r="N114">
            <v>6</v>
          </cell>
          <cell r="O114">
            <v>6</v>
          </cell>
          <cell r="P114">
            <v>48</v>
          </cell>
          <cell r="Q114">
            <v>1248.5</v>
          </cell>
        </row>
        <row r="115">
          <cell r="A115" t="str">
            <v>Refreshment</v>
          </cell>
          <cell r="B115">
            <v>2017</v>
          </cell>
          <cell r="C115" t="str">
            <v>Peter</v>
          </cell>
          <cell r="D115" t="str">
            <v>CN</v>
          </cell>
          <cell r="E115">
            <v>0</v>
          </cell>
          <cell r="F115" t="str">
            <v>Desktop Refreshment</v>
          </cell>
          <cell r="G115" t="str">
            <v>3 set Laptop</v>
          </cell>
          <cell r="H115" t="str">
            <v>GZ</v>
          </cell>
          <cell r="I115" t="str">
            <v>HP</v>
          </cell>
          <cell r="J115" t="str">
            <v>RMB</v>
          </cell>
          <cell r="K115">
            <v>24000</v>
          </cell>
          <cell r="L115" t="str">
            <v>HKD</v>
          </cell>
          <cell r="M115">
            <v>29964</v>
          </cell>
          <cell r="N115">
            <v>6</v>
          </cell>
          <cell r="O115">
            <v>6</v>
          </cell>
          <cell r="P115">
            <v>48</v>
          </cell>
          <cell r="Q115">
            <v>3745.5</v>
          </cell>
        </row>
        <row r="116">
          <cell r="A116" t="str">
            <v>Refreshment</v>
          </cell>
          <cell r="B116">
            <v>2017</v>
          </cell>
          <cell r="C116" t="str">
            <v>Peter</v>
          </cell>
          <cell r="D116" t="str">
            <v>CN</v>
          </cell>
          <cell r="E116">
            <v>0</v>
          </cell>
          <cell r="F116" t="str">
            <v>Desktop Refreshment</v>
          </cell>
          <cell r="G116" t="str">
            <v>3 set Laptop</v>
          </cell>
          <cell r="H116" t="str">
            <v>SZ</v>
          </cell>
          <cell r="I116" t="str">
            <v>HP</v>
          </cell>
          <cell r="J116" t="str">
            <v>RMB</v>
          </cell>
          <cell r="K116">
            <v>24000</v>
          </cell>
          <cell r="L116" t="str">
            <v>HKD</v>
          </cell>
          <cell r="M116">
            <v>29964</v>
          </cell>
          <cell r="N116">
            <v>6</v>
          </cell>
          <cell r="O116">
            <v>6</v>
          </cell>
          <cell r="P116">
            <v>48</v>
          </cell>
          <cell r="Q116">
            <v>3745.5</v>
          </cell>
        </row>
        <row r="117">
          <cell r="A117" t="str">
            <v>Refreshment</v>
          </cell>
          <cell r="B117">
            <v>2017</v>
          </cell>
          <cell r="C117" t="str">
            <v>Peter</v>
          </cell>
          <cell r="D117" t="str">
            <v>CN</v>
          </cell>
          <cell r="E117">
            <v>0</v>
          </cell>
          <cell r="F117" t="str">
            <v>Desktop Refreshment</v>
          </cell>
          <cell r="G117" t="str">
            <v>1 set Laptop</v>
          </cell>
          <cell r="H117" t="str">
            <v>XA</v>
          </cell>
          <cell r="I117" t="str">
            <v>HP</v>
          </cell>
          <cell r="J117" t="str">
            <v>RMB</v>
          </cell>
          <cell r="K117">
            <v>8000</v>
          </cell>
          <cell r="L117" t="str">
            <v>HKD</v>
          </cell>
          <cell r="M117">
            <v>9988</v>
          </cell>
          <cell r="N117">
            <v>6</v>
          </cell>
          <cell r="O117">
            <v>6</v>
          </cell>
          <cell r="P117">
            <v>48</v>
          </cell>
          <cell r="Q117">
            <v>1248.5</v>
          </cell>
        </row>
        <row r="118">
          <cell r="A118" t="str">
            <v>Refreshment</v>
          </cell>
          <cell r="B118">
            <v>2017</v>
          </cell>
          <cell r="C118" t="str">
            <v>Peter</v>
          </cell>
          <cell r="D118" t="str">
            <v>CN</v>
          </cell>
          <cell r="E118">
            <v>0</v>
          </cell>
          <cell r="F118" t="str">
            <v>Desktop Refreshment</v>
          </cell>
          <cell r="G118" t="str">
            <v>0 set Laptop</v>
          </cell>
          <cell r="H118" t="str">
            <v>ZH</v>
          </cell>
          <cell r="I118" t="str">
            <v>HP</v>
          </cell>
          <cell r="J118" t="str">
            <v>RMB</v>
          </cell>
          <cell r="K118">
            <v>0</v>
          </cell>
          <cell r="L118" t="str">
            <v>HKD</v>
          </cell>
          <cell r="M118">
            <v>0</v>
          </cell>
          <cell r="N118">
            <v>6</v>
          </cell>
          <cell r="O118">
            <v>6</v>
          </cell>
          <cell r="P118">
            <v>48</v>
          </cell>
          <cell r="Q118">
            <v>0</v>
          </cell>
        </row>
        <row r="119">
          <cell r="A119" t="str">
            <v>Refreshment</v>
          </cell>
          <cell r="B119">
            <v>2017</v>
          </cell>
          <cell r="C119" t="str">
            <v>Peter</v>
          </cell>
          <cell r="D119" t="str">
            <v>CN</v>
          </cell>
          <cell r="E119">
            <v>0</v>
          </cell>
          <cell r="F119" t="str">
            <v>Desktop Refreshment</v>
          </cell>
          <cell r="G119" t="str">
            <v>0 set Laptop</v>
          </cell>
          <cell r="H119" t="str">
            <v>CD</v>
          </cell>
          <cell r="I119" t="str">
            <v>HP</v>
          </cell>
          <cell r="J119" t="str">
            <v>RMB</v>
          </cell>
          <cell r="K119">
            <v>0</v>
          </cell>
          <cell r="L119" t="str">
            <v>HKD</v>
          </cell>
          <cell r="M119">
            <v>0</v>
          </cell>
          <cell r="N119">
            <v>6</v>
          </cell>
          <cell r="O119">
            <v>6</v>
          </cell>
          <cell r="P119">
            <v>48</v>
          </cell>
          <cell r="Q119">
            <v>0</v>
          </cell>
        </row>
        <row r="120">
          <cell r="A120" t="str">
            <v>Refreshment</v>
          </cell>
          <cell r="B120">
            <v>2017</v>
          </cell>
          <cell r="C120" t="str">
            <v>Peter</v>
          </cell>
          <cell r="D120" t="str">
            <v>CN</v>
          </cell>
          <cell r="E120">
            <v>0</v>
          </cell>
          <cell r="F120" t="str">
            <v>Desktop Refreshment</v>
          </cell>
          <cell r="G120" t="str">
            <v>0 set Laptop</v>
          </cell>
          <cell r="H120" t="str">
            <v>CQ</v>
          </cell>
          <cell r="I120" t="str">
            <v>HP</v>
          </cell>
          <cell r="J120" t="str">
            <v>RMB</v>
          </cell>
          <cell r="K120">
            <v>0</v>
          </cell>
          <cell r="L120" t="str">
            <v>HKD</v>
          </cell>
          <cell r="M120">
            <v>0</v>
          </cell>
          <cell r="N120">
            <v>6</v>
          </cell>
          <cell r="O120">
            <v>6</v>
          </cell>
          <cell r="P120">
            <v>48</v>
          </cell>
          <cell r="Q120">
            <v>0</v>
          </cell>
        </row>
        <row r="121">
          <cell r="A121" t="str">
            <v>Refreshment</v>
          </cell>
          <cell r="B121">
            <v>2017</v>
          </cell>
          <cell r="C121" t="str">
            <v>Peter</v>
          </cell>
          <cell r="D121" t="str">
            <v>CN</v>
          </cell>
          <cell r="E121">
            <v>0</v>
          </cell>
          <cell r="F121" t="str">
            <v>Desktop Refreshment</v>
          </cell>
          <cell r="G121" t="str">
            <v>0 set Laptop</v>
          </cell>
          <cell r="H121" t="str">
            <v>XA</v>
          </cell>
          <cell r="I121" t="str">
            <v>HP</v>
          </cell>
          <cell r="J121" t="str">
            <v>RMB</v>
          </cell>
          <cell r="K121">
            <v>0</v>
          </cell>
          <cell r="L121" t="str">
            <v>HKD</v>
          </cell>
          <cell r="M121">
            <v>0</v>
          </cell>
          <cell r="N121">
            <v>6</v>
          </cell>
          <cell r="O121">
            <v>6</v>
          </cell>
          <cell r="P121">
            <v>48</v>
          </cell>
          <cell r="Q121">
            <v>0</v>
          </cell>
        </row>
        <row r="122">
          <cell r="A122" t="str">
            <v>Refreshment</v>
          </cell>
          <cell r="B122">
            <v>2018</v>
          </cell>
          <cell r="C122" t="str">
            <v>Hiroshi</v>
          </cell>
          <cell r="D122" t="str">
            <v>JP</v>
          </cell>
          <cell r="E122">
            <v>0</v>
          </cell>
          <cell r="F122" t="str">
            <v>Desktop Refreshment</v>
          </cell>
          <cell r="G122" t="str">
            <v>10 x HP PC</v>
          </cell>
          <cell r="H122" t="str">
            <v>JP</v>
          </cell>
          <cell r="I122" t="str">
            <v>HP</v>
          </cell>
          <cell r="J122" t="str">
            <v>JPY</v>
          </cell>
          <cell r="K122">
            <v>743390</v>
          </cell>
          <cell r="L122" t="str">
            <v>HKD</v>
          </cell>
          <cell r="M122">
            <v>46536.214</v>
          </cell>
          <cell r="N122">
            <v>1</v>
          </cell>
          <cell r="O122">
            <v>11</v>
          </cell>
          <cell r="P122">
            <v>48</v>
          </cell>
          <cell r="Q122">
            <v>10664.549041666667</v>
          </cell>
        </row>
        <row r="123">
          <cell r="A123" t="str">
            <v>Refreshment</v>
          </cell>
          <cell r="B123">
            <v>2018</v>
          </cell>
          <cell r="C123" t="str">
            <v>Kim</v>
          </cell>
          <cell r="D123" t="str">
            <v>KR</v>
          </cell>
          <cell r="E123">
            <v>0</v>
          </cell>
          <cell r="F123" t="str">
            <v>Desktop Refreshment</v>
          </cell>
          <cell r="G123" t="str">
            <v xml:space="preserve">PC &amp; Monitor Replacement </v>
          </cell>
          <cell r="H123" t="str">
            <v>KR</v>
          </cell>
          <cell r="I123" t="str">
            <v>HP</v>
          </cell>
          <cell r="J123" t="str">
            <v>WON</v>
          </cell>
          <cell r="K123">
            <v>32000000</v>
          </cell>
          <cell r="L123" t="str">
            <v>HKD</v>
          </cell>
          <cell r="M123">
            <v>214400</v>
          </cell>
          <cell r="N123">
            <v>9</v>
          </cell>
          <cell r="O123">
            <v>3</v>
          </cell>
          <cell r="P123">
            <v>48</v>
          </cell>
          <cell r="Q123">
            <v>13400</v>
          </cell>
        </row>
        <row r="124">
          <cell r="A124" t="str">
            <v>Refreshment</v>
          </cell>
          <cell r="B124">
            <v>2018</v>
          </cell>
          <cell r="C124">
            <v>0</v>
          </cell>
          <cell r="D124" t="str">
            <v>MO</v>
          </cell>
          <cell r="E124">
            <v>0</v>
          </cell>
          <cell r="F124" t="str">
            <v>Desktop Refreshment</v>
          </cell>
          <cell r="G124" t="str">
            <v>PC Replacement</v>
          </cell>
          <cell r="H124" t="str">
            <v>MO</v>
          </cell>
          <cell r="I124">
            <v>0</v>
          </cell>
          <cell r="J124" t="str">
            <v>HKD</v>
          </cell>
          <cell r="K124">
            <v>50296</v>
          </cell>
          <cell r="L124" t="str">
            <v>HKD</v>
          </cell>
          <cell r="M124">
            <v>50296</v>
          </cell>
          <cell r="N124">
            <v>7</v>
          </cell>
          <cell r="O124">
            <v>5</v>
          </cell>
          <cell r="P124">
            <v>48</v>
          </cell>
          <cell r="Q124">
            <v>5239.1666666666661</v>
          </cell>
        </row>
        <row r="125">
          <cell r="A125" t="str">
            <v>Refreshment</v>
          </cell>
          <cell r="B125">
            <v>2018</v>
          </cell>
          <cell r="C125">
            <v>0</v>
          </cell>
          <cell r="D125" t="str">
            <v>MO</v>
          </cell>
          <cell r="E125">
            <v>0</v>
          </cell>
          <cell r="F125" t="str">
            <v>Desktop Refreshment</v>
          </cell>
          <cell r="G125" t="str">
            <v>Monitor Replacement</v>
          </cell>
          <cell r="H125" t="str">
            <v>MO</v>
          </cell>
          <cell r="I125">
            <v>0</v>
          </cell>
          <cell r="J125" t="str">
            <v>HKD</v>
          </cell>
          <cell r="K125">
            <v>6240</v>
          </cell>
          <cell r="L125" t="str">
            <v>HKD</v>
          </cell>
          <cell r="M125">
            <v>6240</v>
          </cell>
          <cell r="N125">
            <v>7</v>
          </cell>
          <cell r="O125">
            <v>5</v>
          </cell>
          <cell r="P125">
            <v>48</v>
          </cell>
          <cell r="Q125">
            <v>650</v>
          </cell>
        </row>
        <row r="126">
          <cell r="A126" t="str">
            <v>Refreshment</v>
          </cell>
          <cell r="B126">
            <v>2018</v>
          </cell>
          <cell r="C126">
            <v>0</v>
          </cell>
          <cell r="D126" t="str">
            <v>MO</v>
          </cell>
          <cell r="E126">
            <v>0</v>
          </cell>
          <cell r="F126" t="str">
            <v>Desktop Refreshment</v>
          </cell>
          <cell r="G126" t="str">
            <v>PC Software Upgrade</v>
          </cell>
          <cell r="H126" t="str">
            <v>MO</v>
          </cell>
          <cell r="I126">
            <v>0</v>
          </cell>
          <cell r="J126" t="str">
            <v>HKD</v>
          </cell>
          <cell r="K126">
            <v>10000</v>
          </cell>
          <cell r="L126" t="str">
            <v>HKD</v>
          </cell>
          <cell r="M126">
            <v>10000</v>
          </cell>
          <cell r="N126">
            <v>7</v>
          </cell>
          <cell r="O126">
            <v>5</v>
          </cell>
          <cell r="P126">
            <v>48</v>
          </cell>
          <cell r="Q126">
            <v>1041.6666666666667</v>
          </cell>
        </row>
        <row r="127">
          <cell r="A127" t="str">
            <v>Refreshment</v>
          </cell>
          <cell r="B127">
            <v>2018</v>
          </cell>
          <cell r="C127" t="str">
            <v>Jess</v>
          </cell>
          <cell r="D127" t="str">
            <v>SG</v>
          </cell>
          <cell r="E127">
            <v>0</v>
          </cell>
          <cell r="F127" t="str">
            <v>Desktop Refreshment</v>
          </cell>
          <cell r="G127" t="str">
            <v>D10 - 15, CKH - 15</v>
          </cell>
          <cell r="H127" t="str">
            <v>SG</v>
          </cell>
          <cell r="I127" t="str">
            <v>HP</v>
          </cell>
          <cell r="J127" t="str">
            <v>SGD</v>
          </cell>
          <cell r="K127">
            <v>24362</v>
          </cell>
          <cell r="L127" t="str">
            <v>HKD</v>
          </cell>
          <cell r="M127">
            <v>137754.929</v>
          </cell>
          <cell r="N127">
            <v>6</v>
          </cell>
          <cell r="O127">
            <v>6</v>
          </cell>
          <cell r="P127">
            <v>48</v>
          </cell>
          <cell r="Q127">
            <v>17219.366125</v>
          </cell>
        </row>
        <row r="128">
          <cell r="A128" t="str">
            <v>Refreshment</v>
          </cell>
          <cell r="B128">
            <v>2018</v>
          </cell>
          <cell r="C128" t="str">
            <v>Edmond</v>
          </cell>
          <cell r="D128" t="str">
            <v>TH</v>
          </cell>
          <cell r="E128">
            <v>0</v>
          </cell>
          <cell r="F128" t="str">
            <v>Desktop Refreshment</v>
          </cell>
          <cell r="G128" t="str">
            <v>PC Replacement (16)</v>
          </cell>
          <cell r="H128" t="str">
            <v>TH</v>
          </cell>
          <cell r="I128">
            <v>0</v>
          </cell>
          <cell r="J128" t="str">
            <v>HKD</v>
          </cell>
          <cell r="K128">
            <v>92470</v>
          </cell>
          <cell r="L128" t="str">
            <v>HKD</v>
          </cell>
          <cell r="M128">
            <v>92470</v>
          </cell>
          <cell r="N128">
            <v>3</v>
          </cell>
          <cell r="O128">
            <v>9</v>
          </cell>
          <cell r="P128">
            <v>48</v>
          </cell>
          <cell r="Q128">
            <v>17338.125</v>
          </cell>
        </row>
        <row r="129">
          <cell r="A129" t="str">
            <v>Refreshment</v>
          </cell>
          <cell r="B129">
            <v>2018</v>
          </cell>
          <cell r="C129" t="str">
            <v>Peter</v>
          </cell>
          <cell r="D129" t="str">
            <v>CN</v>
          </cell>
          <cell r="E129">
            <v>0</v>
          </cell>
          <cell r="F129" t="str">
            <v>Desktop Refreshment</v>
          </cell>
          <cell r="G129" t="str">
            <v>64 set PC</v>
          </cell>
          <cell r="H129" t="str">
            <v>SH</v>
          </cell>
          <cell r="I129" t="str">
            <v>HP</v>
          </cell>
          <cell r="J129" t="str">
            <v>RMB</v>
          </cell>
          <cell r="K129">
            <v>268800</v>
          </cell>
          <cell r="L129" t="str">
            <v>HKD</v>
          </cell>
          <cell r="M129">
            <v>335596.79999999999</v>
          </cell>
          <cell r="N129">
            <v>6</v>
          </cell>
          <cell r="O129">
            <v>6</v>
          </cell>
          <cell r="P129">
            <v>48</v>
          </cell>
          <cell r="Q129">
            <v>41949.599999999999</v>
          </cell>
        </row>
        <row r="130">
          <cell r="A130" t="str">
            <v>Refreshment</v>
          </cell>
          <cell r="B130">
            <v>2018</v>
          </cell>
          <cell r="C130" t="str">
            <v>Peter</v>
          </cell>
          <cell r="D130" t="str">
            <v>CN</v>
          </cell>
          <cell r="E130">
            <v>0</v>
          </cell>
          <cell r="F130" t="str">
            <v>Desktop Refreshment</v>
          </cell>
          <cell r="G130" t="str">
            <v>0 set PC</v>
          </cell>
          <cell r="H130" t="str">
            <v>HZ</v>
          </cell>
          <cell r="I130" t="str">
            <v>HP</v>
          </cell>
          <cell r="J130" t="str">
            <v>RMB</v>
          </cell>
          <cell r="K130">
            <v>0</v>
          </cell>
          <cell r="L130" t="str">
            <v>HKD</v>
          </cell>
          <cell r="M130">
            <v>0</v>
          </cell>
          <cell r="N130">
            <v>6</v>
          </cell>
          <cell r="O130">
            <v>6</v>
          </cell>
          <cell r="P130">
            <v>48</v>
          </cell>
          <cell r="Q130">
            <v>0</v>
          </cell>
        </row>
        <row r="131">
          <cell r="A131" t="str">
            <v>Refreshment</v>
          </cell>
          <cell r="B131">
            <v>2018</v>
          </cell>
          <cell r="C131" t="str">
            <v>Peter</v>
          </cell>
          <cell r="D131" t="str">
            <v>CN</v>
          </cell>
          <cell r="E131">
            <v>0</v>
          </cell>
          <cell r="F131" t="str">
            <v>Desktop Refreshment</v>
          </cell>
          <cell r="G131" t="str">
            <v>9 set PC</v>
          </cell>
          <cell r="H131" t="str">
            <v>NJ</v>
          </cell>
          <cell r="I131" t="str">
            <v>HP</v>
          </cell>
          <cell r="J131" t="str">
            <v>RMB</v>
          </cell>
          <cell r="K131">
            <v>37800</v>
          </cell>
          <cell r="L131" t="str">
            <v>HKD</v>
          </cell>
          <cell r="M131">
            <v>47193.299999999996</v>
          </cell>
          <cell r="N131">
            <v>6</v>
          </cell>
          <cell r="O131">
            <v>6</v>
          </cell>
          <cell r="P131">
            <v>48</v>
          </cell>
          <cell r="Q131">
            <v>5899.1624999999995</v>
          </cell>
        </row>
        <row r="132">
          <cell r="A132" t="str">
            <v>Refreshment</v>
          </cell>
          <cell r="B132">
            <v>2018</v>
          </cell>
          <cell r="C132" t="str">
            <v>Peter</v>
          </cell>
          <cell r="D132" t="str">
            <v>CN</v>
          </cell>
          <cell r="E132">
            <v>0</v>
          </cell>
          <cell r="F132" t="str">
            <v>Desktop Refreshment</v>
          </cell>
          <cell r="G132" t="str">
            <v>26 set PC</v>
          </cell>
          <cell r="H132" t="str">
            <v>BJ</v>
          </cell>
          <cell r="I132" t="str">
            <v>HP</v>
          </cell>
          <cell r="J132" t="str">
            <v>RMB</v>
          </cell>
          <cell r="K132">
            <v>109200</v>
          </cell>
          <cell r="L132" t="str">
            <v>HKD</v>
          </cell>
          <cell r="M132">
            <v>136336.19999999998</v>
          </cell>
          <cell r="N132">
            <v>6</v>
          </cell>
          <cell r="O132">
            <v>6</v>
          </cell>
          <cell r="P132">
            <v>48</v>
          </cell>
          <cell r="Q132">
            <v>17042.024999999998</v>
          </cell>
        </row>
        <row r="133">
          <cell r="A133" t="str">
            <v>Refreshment</v>
          </cell>
          <cell r="B133">
            <v>2018</v>
          </cell>
          <cell r="C133" t="str">
            <v>Peter</v>
          </cell>
          <cell r="D133" t="str">
            <v>CN</v>
          </cell>
          <cell r="E133">
            <v>0</v>
          </cell>
          <cell r="F133" t="str">
            <v>Desktop Refreshment</v>
          </cell>
          <cell r="G133" t="str">
            <v>14 set PC</v>
          </cell>
          <cell r="H133" t="str">
            <v>TJ</v>
          </cell>
          <cell r="I133" t="str">
            <v>HP</v>
          </cell>
          <cell r="J133" t="str">
            <v>RMB</v>
          </cell>
          <cell r="K133">
            <v>58800</v>
          </cell>
          <cell r="L133" t="str">
            <v>HKD</v>
          </cell>
          <cell r="M133">
            <v>73411.8</v>
          </cell>
          <cell r="N133">
            <v>6</v>
          </cell>
          <cell r="O133">
            <v>6</v>
          </cell>
          <cell r="P133">
            <v>48</v>
          </cell>
          <cell r="Q133">
            <v>9176.4750000000004</v>
          </cell>
        </row>
        <row r="134">
          <cell r="A134" t="str">
            <v>Refreshment</v>
          </cell>
          <cell r="B134">
            <v>2018</v>
          </cell>
          <cell r="C134" t="str">
            <v>Peter</v>
          </cell>
          <cell r="D134" t="str">
            <v>CN</v>
          </cell>
          <cell r="E134">
            <v>0</v>
          </cell>
          <cell r="F134" t="str">
            <v>Desktop Refreshment</v>
          </cell>
          <cell r="G134" t="str">
            <v>0 set PC</v>
          </cell>
          <cell r="H134" t="str">
            <v>DL</v>
          </cell>
          <cell r="I134" t="str">
            <v>HP</v>
          </cell>
          <cell r="J134" t="str">
            <v>RMB</v>
          </cell>
          <cell r="K134">
            <v>0</v>
          </cell>
          <cell r="L134" t="str">
            <v>HKD</v>
          </cell>
          <cell r="M134">
            <v>0</v>
          </cell>
          <cell r="N134">
            <v>6</v>
          </cell>
          <cell r="O134">
            <v>6</v>
          </cell>
          <cell r="P134">
            <v>48</v>
          </cell>
          <cell r="Q134">
            <v>0</v>
          </cell>
        </row>
        <row r="135">
          <cell r="A135" t="str">
            <v>Refreshment</v>
          </cell>
          <cell r="B135">
            <v>2018</v>
          </cell>
          <cell r="C135" t="str">
            <v>Peter</v>
          </cell>
          <cell r="D135" t="str">
            <v>CN</v>
          </cell>
          <cell r="E135">
            <v>0</v>
          </cell>
          <cell r="F135" t="str">
            <v>Desktop Refreshment</v>
          </cell>
          <cell r="G135" t="str">
            <v>6 set PC</v>
          </cell>
          <cell r="H135" t="str">
            <v>SY</v>
          </cell>
          <cell r="I135" t="str">
            <v>HP</v>
          </cell>
          <cell r="J135" t="str">
            <v>RMB</v>
          </cell>
          <cell r="K135">
            <v>25200</v>
          </cell>
          <cell r="L135" t="str">
            <v>HKD</v>
          </cell>
          <cell r="M135">
            <v>31462.199999999997</v>
          </cell>
          <cell r="N135">
            <v>6</v>
          </cell>
          <cell r="O135">
            <v>6</v>
          </cell>
          <cell r="P135">
            <v>48</v>
          </cell>
          <cell r="Q135">
            <v>3932.7749999999996</v>
          </cell>
        </row>
        <row r="136">
          <cell r="A136" t="str">
            <v>Refreshment</v>
          </cell>
          <cell r="B136">
            <v>2018</v>
          </cell>
          <cell r="C136" t="str">
            <v>Peter</v>
          </cell>
          <cell r="D136" t="str">
            <v>CN</v>
          </cell>
          <cell r="E136">
            <v>0</v>
          </cell>
          <cell r="F136" t="str">
            <v>Desktop Refreshment</v>
          </cell>
          <cell r="G136" t="str">
            <v>0 set PC</v>
          </cell>
          <cell r="H136" t="str">
            <v>QD</v>
          </cell>
          <cell r="I136" t="str">
            <v>HP</v>
          </cell>
          <cell r="J136" t="str">
            <v>RMB</v>
          </cell>
          <cell r="K136">
            <v>0</v>
          </cell>
          <cell r="L136" t="str">
            <v>HKD</v>
          </cell>
          <cell r="M136">
            <v>0</v>
          </cell>
          <cell r="N136">
            <v>6</v>
          </cell>
          <cell r="O136">
            <v>6</v>
          </cell>
          <cell r="P136">
            <v>48</v>
          </cell>
          <cell r="Q136">
            <v>0</v>
          </cell>
        </row>
        <row r="137">
          <cell r="A137" t="str">
            <v>Refreshment</v>
          </cell>
          <cell r="B137">
            <v>2018</v>
          </cell>
          <cell r="C137" t="str">
            <v>Peter</v>
          </cell>
          <cell r="D137" t="str">
            <v>CN</v>
          </cell>
          <cell r="E137">
            <v>0</v>
          </cell>
          <cell r="F137" t="str">
            <v>Desktop Refreshment</v>
          </cell>
          <cell r="G137" t="str">
            <v>29 set PC</v>
          </cell>
          <cell r="H137" t="str">
            <v>GZ</v>
          </cell>
          <cell r="I137" t="str">
            <v>HP</v>
          </cell>
          <cell r="J137" t="str">
            <v>RMB</v>
          </cell>
          <cell r="K137">
            <v>121800</v>
          </cell>
          <cell r="L137" t="str">
            <v>HKD</v>
          </cell>
          <cell r="M137">
            <v>152067.29999999999</v>
          </cell>
          <cell r="N137">
            <v>6</v>
          </cell>
          <cell r="O137">
            <v>6</v>
          </cell>
          <cell r="P137">
            <v>48</v>
          </cell>
          <cell r="Q137">
            <v>19008.412499999999</v>
          </cell>
        </row>
        <row r="138">
          <cell r="A138" t="str">
            <v>Refreshment</v>
          </cell>
          <cell r="B138">
            <v>2018</v>
          </cell>
          <cell r="C138" t="str">
            <v>Peter</v>
          </cell>
          <cell r="D138" t="str">
            <v>CN</v>
          </cell>
          <cell r="E138">
            <v>0</v>
          </cell>
          <cell r="F138" t="str">
            <v>Desktop Refreshment</v>
          </cell>
          <cell r="G138" t="str">
            <v>18 set PC</v>
          </cell>
          <cell r="H138" t="str">
            <v>SZ</v>
          </cell>
          <cell r="I138" t="str">
            <v>HP</v>
          </cell>
          <cell r="J138" t="str">
            <v>RMB</v>
          </cell>
          <cell r="K138">
            <v>75600</v>
          </cell>
          <cell r="L138" t="str">
            <v>HKD</v>
          </cell>
          <cell r="M138">
            <v>94386.599999999991</v>
          </cell>
          <cell r="N138">
            <v>6</v>
          </cell>
          <cell r="O138">
            <v>6</v>
          </cell>
          <cell r="P138">
            <v>48</v>
          </cell>
          <cell r="Q138">
            <v>11798.324999999999</v>
          </cell>
        </row>
        <row r="139">
          <cell r="A139" t="str">
            <v>Refreshment</v>
          </cell>
          <cell r="B139">
            <v>2018</v>
          </cell>
          <cell r="C139" t="str">
            <v>Peter</v>
          </cell>
          <cell r="D139" t="str">
            <v>CN</v>
          </cell>
          <cell r="E139">
            <v>0</v>
          </cell>
          <cell r="F139" t="str">
            <v>Desktop Refreshment</v>
          </cell>
          <cell r="G139" t="str">
            <v>4 set PC</v>
          </cell>
          <cell r="H139" t="str">
            <v>XA</v>
          </cell>
          <cell r="I139" t="str">
            <v>HP</v>
          </cell>
          <cell r="J139" t="str">
            <v>RMB</v>
          </cell>
          <cell r="K139">
            <v>16800</v>
          </cell>
          <cell r="L139" t="str">
            <v>HKD</v>
          </cell>
          <cell r="M139">
            <v>20974.799999999999</v>
          </cell>
          <cell r="N139">
            <v>6</v>
          </cell>
          <cell r="O139">
            <v>6</v>
          </cell>
          <cell r="P139">
            <v>48</v>
          </cell>
          <cell r="Q139">
            <v>2621.85</v>
          </cell>
        </row>
        <row r="140">
          <cell r="A140" t="str">
            <v>Refreshment</v>
          </cell>
          <cell r="B140">
            <v>2018</v>
          </cell>
          <cell r="C140" t="str">
            <v>Peter</v>
          </cell>
          <cell r="D140" t="str">
            <v>CN</v>
          </cell>
          <cell r="E140">
            <v>0</v>
          </cell>
          <cell r="F140" t="str">
            <v>Desktop Refreshment</v>
          </cell>
          <cell r="G140" t="str">
            <v>0 set PC</v>
          </cell>
          <cell r="H140" t="str">
            <v>ZH</v>
          </cell>
          <cell r="I140" t="str">
            <v>HP</v>
          </cell>
          <cell r="J140" t="str">
            <v>RMB</v>
          </cell>
          <cell r="K140">
            <v>0</v>
          </cell>
          <cell r="L140" t="str">
            <v>HKD</v>
          </cell>
          <cell r="M140">
            <v>0</v>
          </cell>
          <cell r="N140">
            <v>6</v>
          </cell>
          <cell r="O140">
            <v>6</v>
          </cell>
          <cell r="P140">
            <v>48</v>
          </cell>
          <cell r="Q140">
            <v>0</v>
          </cell>
        </row>
        <row r="141">
          <cell r="A141" t="str">
            <v>Refreshment</v>
          </cell>
          <cell r="B141">
            <v>2018</v>
          </cell>
          <cell r="C141" t="str">
            <v>Peter</v>
          </cell>
          <cell r="D141" t="str">
            <v>CN</v>
          </cell>
          <cell r="E141">
            <v>0</v>
          </cell>
          <cell r="F141" t="str">
            <v>Desktop Refreshment</v>
          </cell>
          <cell r="G141" t="str">
            <v>31 set PC</v>
          </cell>
          <cell r="H141" t="str">
            <v>CD</v>
          </cell>
          <cell r="I141" t="str">
            <v>HP</v>
          </cell>
          <cell r="J141" t="str">
            <v>RMB</v>
          </cell>
          <cell r="K141">
            <v>130200</v>
          </cell>
          <cell r="L141" t="str">
            <v>HKD</v>
          </cell>
          <cell r="M141">
            <v>162554.69999999998</v>
          </cell>
          <cell r="N141">
            <v>6</v>
          </cell>
          <cell r="O141">
            <v>6</v>
          </cell>
          <cell r="P141">
            <v>48</v>
          </cell>
          <cell r="Q141">
            <v>20319.337499999998</v>
          </cell>
        </row>
        <row r="142">
          <cell r="A142" t="str">
            <v>Refreshment</v>
          </cell>
          <cell r="B142">
            <v>2018</v>
          </cell>
          <cell r="C142" t="str">
            <v>Peter</v>
          </cell>
          <cell r="D142" t="str">
            <v>CN</v>
          </cell>
          <cell r="E142">
            <v>0</v>
          </cell>
          <cell r="F142" t="str">
            <v>Desktop Refreshment</v>
          </cell>
          <cell r="G142" t="str">
            <v>16 set PC</v>
          </cell>
          <cell r="H142" t="str">
            <v>CQ</v>
          </cell>
          <cell r="I142" t="str">
            <v>HP</v>
          </cell>
          <cell r="J142" t="str">
            <v>RMB</v>
          </cell>
          <cell r="K142">
            <v>67200</v>
          </cell>
          <cell r="L142" t="str">
            <v>HKD</v>
          </cell>
          <cell r="M142">
            <v>83899.199999999997</v>
          </cell>
          <cell r="N142">
            <v>6</v>
          </cell>
          <cell r="O142">
            <v>6</v>
          </cell>
          <cell r="P142">
            <v>48</v>
          </cell>
          <cell r="Q142">
            <v>10487.4</v>
          </cell>
        </row>
        <row r="143">
          <cell r="A143" t="str">
            <v>Refreshment</v>
          </cell>
          <cell r="B143">
            <v>2018</v>
          </cell>
          <cell r="C143" t="str">
            <v>Peter</v>
          </cell>
          <cell r="D143" t="str">
            <v>CN</v>
          </cell>
          <cell r="E143">
            <v>0</v>
          </cell>
          <cell r="F143" t="str">
            <v>Desktop Refreshment</v>
          </cell>
          <cell r="G143" t="str">
            <v>0 set PC</v>
          </cell>
          <cell r="H143" t="str">
            <v>XA</v>
          </cell>
          <cell r="I143" t="str">
            <v>HP</v>
          </cell>
          <cell r="J143" t="str">
            <v>RMB</v>
          </cell>
          <cell r="K143">
            <v>0</v>
          </cell>
          <cell r="L143" t="str">
            <v>HKD</v>
          </cell>
          <cell r="M143">
            <v>0</v>
          </cell>
          <cell r="N143">
            <v>6</v>
          </cell>
          <cell r="O143">
            <v>6</v>
          </cell>
          <cell r="P143">
            <v>48</v>
          </cell>
          <cell r="Q143">
            <v>0</v>
          </cell>
        </row>
        <row r="144">
          <cell r="A144" t="str">
            <v>Refreshment</v>
          </cell>
          <cell r="B144">
            <v>2018</v>
          </cell>
          <cell r="C144" t="str">
            <v>Peter</v>
          </cell>
          <cell r="D144" t="str">
            <v>CN</v>
          </cell>
          <cell r="E144">
            <v>0</v>
          </cell>
          <cell r="F144" t="str">
            <v>Desktop Refreshment</v>
          </cell>
          <cell r="G144" t="str">
            <v>6 set Laptop</v>
          </cell>
          <cell r="H144" t="str">
            <v>SH</v>
          </cell>
          <cell r="I144" t="str">
            <v>HP</v>
          </cell>
          <cell r="J144" t="str">
            <v>RMB</v>
          </cell>
          <cell r="K144">
            <v>48000</v>
          </cell>
          <cell r="L144" t="str">
            <v>HKD</v>
          </cell>
          <cell r="M144">
            <v>59928</v>
          </cell>
          <cell r="N144">
            <v>6</v>
          </cell>
          <cell r="O144">
            <v>6</v>
          </cell>
          <cell r="P144">
            <v>48</v>
          </cell>
          <cell r="Q144">
            <v>7491</v>
          </cell>
        </row>
        <row r="145">
          <cell r="A145" t="str">
            <v>Refreshment</v>
          </cell>
          <cell r="B145">
            <v>2018</v>
          </cell>
          <cell r="C145" t="str">
            <v>Peter</v>
          </cell>
          <cell r="D145" t="str">
            <v>CN</v>
          </cell>
          <cell r="E145">
            <v>0</v>
          </cell>
          <cell r="F145" t="str">
            <v>Desktop Refreshment</v>
          </cell>
          <cell r="G145" t="str">
            <v>0 set Laptop</v>
          </cell>
          <cell r="H145" t="str">
            <v>HZ</v>
          </cell>
          <cell r="I145" t="str">
            <v>HP</v>
          </cell>
          <cell r="J145" t="str">
            <v>RMB</v>
          </cell>
          <cell r="K145">
            <v>0</v>
          </cell>
          <cell r="L145" t="str">
            <v>HKD</v>
          </cell>
          <cell r="M145">
            <v>0</v>
          </cell>
          <cell r="N145">
            <v>6</v>
          </cell>
          <cell r="O145">
            <v>6</v>
          </cell>
          <cell r="P145">
            <v>48</v>
          </cell>
          <cell r="Q145">
            <v>0</v>
          </cell>
        </row>
        <row r="146">
          <cell r="A146" t="str">
            <v>Refreshment</v>
          </cell>
          <cell r="B146">
            <v>2018</v>
          </cell>
          <cell r="C146" t="str">
            <v>Peter</v>
          </cell>
          <cell r="D146" t="str">
            <v>CN</v>
          </cell>
          <cell r="E146">
            <v>0</v>
          </cell>
          <cell r="F146" t="str">
            <v>Desktop Refreshment</v>
          </cell>
          <cell r="G146" t="str">
            <v>0 set Laptop</v>
          </cell>
          <cell r="H146" t="str">
            <v>NJ</v>
          </cell>
          <cell r="I146" t="str">
            <v>HP</v>
          </cell>
          <cell r="J146" t="str">
            <v>RMB</v>
          </cell>
          <cell r="K146">
            <v>0</v>
          </cell>
          <cell r="L146" t="str">
            <v>HKD</v>
          </cell>
          <cell r="M146">
            <v>0</v>
          </cell>
          <cell r="N146">
            <v>6</v>
          </cell>
          <cell r="O146">
            <v>6</v>
          </cell>
          <cell r="P146">
            <v>48</v>
          </cell>
          <cell r="Q146">
            <v>0</v>
          </cell>
        </row>
        <row r="147">
          <cell r="A147" t="str">
            <v>Refreshment</v>
          </cell>
          <cell r="B147">
            <v>2018</v>
          </cell>
          <cell r="C147" t="str">
            <v>Peter</v>
          </cell>
          <cell r="D147" t="str">
            <v>CN</v>
          </cell>
          <cell r="E147">
            <v>0</v>
          </cell>
          <cell r="F147" t="str">
            <v>Desktop Refreshment</v>
          </cell>
          <cell r="G147" t="str">
            <v>3 set Laptop</v>
          </cell>
          <cell r="H147" t="str">
            <v>BJ</v>
          </cell>
          <cell r="I147" t="str">
            <v>HP</v>
          </cell>
          <cell r="J147" t="str">
            <v>RMB</v>
          </cell>
          <cell r="K147">
            <v>24000</v>
          </cell>
          <cell r="L147" t="str">
            <v>HKD</v>
          </cell>
          <cell r="M147">
            <v>29964</v>
          </cell>
          <cell r="N147">
            <v>6</v>
          </cell>
          <cell r="O147">
            <v>6</v>
          </cell>
          <cell r="P147">
            <v>48</v>
          </cell>
          <cell r="Q147">
            <v>3745.5</v>
          </cell>
        </row>
        <row r="148">
          <cell r="A148" t="str">
            <v>Refreshment</v>
          </cell>
          <cell r="B148">
            <v>2018</v>
          </cell>
          <cell r="C148" t="str">
            <v>Peter</v>
          </cell>
          <cell r="D148" t="str">
            <v>CN</v>
          </cell>
          <cell r="E148">
            <v>0</v>
          </cell>
          <cell r="F148" t="str">
            <v>Desktop Refreshment</v>
          </cell>
          <cell r="G148" t="str">
            <v>0 set Laptop</v>
          </cell>
          <cell r="H148" t="str">
            <v>TJ</v>
          </cell>
          <cell r="I148" t="str">
            <v>HP</v>
          </cell>
          <cell r="J148" t="str">
            <v>RMB</v>
          </cell>
          <cell r="K148">
            <v>0</v>
          </cell>
          <cell r="L148" t="str">
            <v>HKD</v>
          </cell>
          <cell r="M148">
            <v>0</v>
          </cell>
          <cell r="N148">
            <v>6</v>
          </cell>
          <cell r="O148">
            <v>6</v>
          </cell>
          <cell r="P148">
            <v>48</v>
          </cell>
          <cell r="Q148">
            <v>0</v>
          </cell>
        </row>
        <row r="149">
          <cell r="A149" t="str">
            <v>Refreshment</v>
          </cell>
          <cell r="B149">
            <v>2018</v>
          </cell>
          <cell r="C149" t="str">
            <v>Peter</v>
          </cell>
          <cell r="D149" t="str">
            <v>CN</v>
          </cell>
          <cell r="E149">
            <v>0</v>
          </cell>
          <cell r="F149" t="str">
            <v>Desktop Refreshment</v>
          </cell>
          <cell r="G149" t="str">
            <v>1 set Laptop</v>
          </cell>
          <cell r="H149" t="str">
            <v>DL</v>
          </cell>
          <cell r="I149" t="str">
            <v>HP</v>
          </cell>
          <cell r="J149" t="str">
            <v>RMB</v>
          </cell>
          <cell r="K149">
            <v>8000</v>
          </cell>
          <cell r="L149" t="str">
            <v>HKD</v>
          </cell>
          <cell r="M149">
            <v>9988</v>
          </cell>
          <cell r="N149">
            <v>6</v>
          </cell>
          <cell r="O149">
            <v>6</v>
          </cell>
          <cell r="P149">
            <v>48</v>
          </cell>
          <cell r="Q149">
            <v>1248.5</v>
          </cell>
        </row>
        <row r="150">
          <cell r="A150" t="str">
            <v>Refreshment</v>
          </cell>
          <cell r="B150">
            <v>2018</v>
          </cell>
          <cell r="C150" t="str">
            <v>Peter</v>
          </cell>
          <cell r="D150" t="str">
            <v>CN</v>
          </cell>
          <cell r="E150">
            <v>0</v>
          </cell>
          <cell r="F150" t="str">
            <v>Desktop Refreshment</v>
          </cell>
          <cell r="G150" t="str">
            <v>0 set Laptop</v>
          </cell>
          <cell r="H150" t="str">
            <v>SY</v>
          </cell>
          <cell r="I150" t="str">
            <v>HP</v>
          </cell>
          <cell r="J150" t="str">
            <v>RMB</v>
          </cell>
          <cell r="K150">
            <v>0</v>
          </cell>
          <cell r="L150" t="str">
            <v>HKD</v>
          </cell>
          <cell r="M150">
            <v>0</v>
          </cell>
          <cell r="N150">
            <v>6</v>
          </cell>
          <cell r="O150">
            <v>6</v>
          </cell>
          <cell r="P150">
            <v>48</v>
          </cell>
          <cell r="Q150">
            <v>0</v>
          </cell>
        </row>
        <row r="151">
          <cell r="A151" t="str">
            <v>Refreshment</v>
          </cell>
          <cell r="B151">
            <v>2018</v>
          </cell>
          <cell r="C151" t="str">
            <v>Peter</v>
          </cell>
          <cell r="D151" t="str">
            <v>CN</v>
          </cell>
          <cell r="E151">
            <v>0</v>
          </cell>
          <cell r="F151" t="str">
            <v>Desktop Refreshment</v>
          </cell>
          <cell r="G151" t="str">
            <v>0 set Laptop</v>
          </cell>
          <cell r="H151" t="str">
            <v>QD</v>
          </cell>
          <cell r="I151" t="str">
            <v>HP</v>
          </cell>
          <cell r="J151" t="str">
            <v>RMB</v>
          </cell>
          <cell r="K151">
            <v>0</v>
          </cell>
          <cell r="L151" t="str">
            <v>HKD</v>
          </cell>
          <cell r="M151">
            <v>0</v>
          </cell>
          <cell r="N151">
            <v>6</v>
          </cell>
          <cell r="O151">
            <v>6</v>
          </cell>
          <cell r="P151">
            <v>48</v>
          </cell>
          <cell r="Q151">
            <v>0</v>
          </cell>
        </row>
        <row r="152">
          <cell r="A152" t="str">
            <v>Refreshment</v>
          </cell>
          <cell r="B152">
            <v>2018</v>
          </cell>
          <cell r="C152" t="str">
            <v>Peter</v>
          </cell>
          <cell r="D152" t="str">
            <v>CN</v>
          </cell>
          <cell r="E152">
            <v>0</v>
          </cell>
          <cell r="F152" t="str">
            <v>Desktop Refreshment</v>
          </cell>
          <cell r="G152" t="str">
            <v>1 set Laptop</v>
          </cell>
          <cell r="H152" t="str">
            <v>GZ</v>
          </cell>
          <cell r="I152" t="str">
            <v>HP</v>
          </cell>
          <cell r="J152" t="str">
            <v>RMB</v>
          </cell>
          <cell r="K152">
            <v>8000</v>
          </cell>
          <cell r="L152" t="str">
            <v>HKD</v>
          </cell>
          <cell r="M152">
            <v>9988</v>
          </cell>
          <cell r="N152">
            <v>6</v>
          </cell>
          <cell r="O152">
            <v>6</v>
          </cell>
          <cell r="P152">
            <v>48</v>
          </cell>
          <cell r="Q152">
            <v>1248.5</v>
          </cell>
        </row>
        <row r="153">
          <cell r="A153" t="str">
            <v>Refreshment</v>
          </cell>
          <cell r="B153">
            <v>2018</v>
          </cell>
          <cell r="C153" t="str">
            <v>Peter</v>
          </cell>
          <cell r="D153" t="str">
            <v>CN</v>
          </cell>
          <cell r="E153">
            <v>0</v>
          </cell>
          <cell r="F153" t="str">
            <v>Desktop Refreshment</v>
          </cell>
          <cell r="G153" t="str">
            <v>1 set Laptop</v>
          </cell>
          <cell r="H153" t="str">
            <v>SZ</v>
          </cell>
          <cell r="I153" t="str">
            <v>HP</v>
          </cell>
          <cell r="J153" t="str">
            <v>RMB</v>
          </cell>
          <cell r="K153">
            <v>8000</v>
          </cell>
          <cell r="L153" t="str">
            <v>HKD</v>
          </cell>
          <cell r="M153">
            <v>9988</v>
          </cell>
          <cell r="N153">
            <v>6</v>
          </cell>
          <cell r="O153">
            <v>6</v>
          </cell>
          <cell r="P153">
            <v>48</v>
          </cell>
          <cell r="Q153">
            <v>1248.5</v>
          </cell>
        </row>
        <row r="154">
          <cell r="A154" t="str">
            <v>Refreshment</v>
          </cell>
          <cell r="B154">
            <v>2018</v>
          </cell>
          <cell r="C154" t="str">
            <v>Peter</v>
          </cell>
          <cell r="D154" t="str">
            <v>CN</v>
          </cell>
          <cell r="E154">
            <v>0</v>
          </cell>
          <cell r="F154" t="str">
            <v>Desktop Refreshment</v>
          </cell>
          <cell r="G154" t="str">
            <v>0 set Laptop</v>
          </cell>
          <cell r="H154" t="str">
            <v>XA</v>
          </cell>
          <cell r="I154" t="str">
            <v>HP</v>
          </cell>
          <cell r="J154" t="str">
            <v>RMB</v>
          </cell>
          <cell r="K154">
            <v>0</v>
          </cell>
          <cell r="L154" t="str">
            <v>HKD</v>
          </cell>
          <cell r="M154">
            <v>0</v>
          </cell>
          <cell r="N154">
            <v>6</v>
          </cell>
          <cell r="O154">
            <v>6</v>
          </cell>
          <cell r="P154">
            <v>48</v>
          </cell>
          <cell r="Q154">
            <v>0</v>
          </cell>
        </row>
        <row r="155">
          <cell r="A155" t="str">
            <v>Refreshment</v>
          </cell>
          <cell r="B155">
            <v>2018</v>
          </cell>
          <cell r="C155" t="str">
            <v>Peter</v>
          </cell>
          <cell r="D155" t="str">
            <v>CN</v>
          </cell>
          <cell r="E155">
            <v>0</v>
          </cell>
          <cell r="F155" t="str">
            <v>Desktop Refreshment</v>
          </cell>
          <cell r="G155" t="str">
            <v>0 set Laptop</v>
          </cell>
          <cell r="H155" t="str">
            <v>ZH</v>
          </cell>
          <cell r="I155" t="str">
            <v>HP</v>
          </cell>
          <cell r="J155" t="str">
            <v>RMB</v>
          </cell>
          <cell r="K155">
            <v>0</v>
          </cell>
          <cell r="L155" t="str">
            <v>HKD</v>
          </cell>
          <cell r="M155">
            <v>0</v>
          </cell>
          <cell r="N155">
            <v>6</v>
          </cell>
          <cell r="O155">
            <v>6</v>
          </cell>
          <cell r="P155">
            <v>48</v>
          </cell>
          <cell r="Q155">
            <v>0</v>
          </cell>
        </row>
        <row r="156">
          <cell r="A156" t="str">
            <v>Refreshment</v>
          </cell>
          <cell r="B156">
            <v>2018</v>
          </cell>
          <cell r="C156" t="str">
            <v>Peter</v>
          </cell>
          <cell r="D156" t="str">
            <v>CN</v>
          </cell>
          <cell r="E156">
            <v>0</v>
          </cell>
          <cell r="F156" t="str">
            <v>Desktop Refreshment</v>
          </cell>
          <cell r="G156" t="str">
            <v>0 set Laptop</v>
          </cell>
          <cell r="H156" t="str">
            <v>CD</v>
          </cell>
          <cell r="I156" t="str">
            <v>HP</v>
          </cell>
          <cell r="J156" t="str">
            <v>RMB</v>
          </cell>
          <cell r="K156">
            <v>0</v>
          </cell>
          <cell r="L156" t="str">
            <v>HKD</v>
          </cell>
          <cell r="M156">
            <v>0</v>
          </cell>
          <cell r="N156">
            <v>6</v>
          </cell>
          <cell r="O156">
            <v>6</v>
          </cell>
          <cell r="P156">
            <v>48</v>
          </cell>
          <cell r="Q156">
            <v>0</v>
          </cell>
        </row>
        <row r="157">
          <cell r="A157" t="str">
            <v>Refreshment</v>
          </cell>
          <cell r="B157">
            <v>2018</v>
          </cell>
          <cell r="C157" t="str">
            <v>Peter</v>
          </cell>
          <cell r="D157" t="str">
            <v>CN</v>
          </cell>
          <cell r="E157">
            <v>0</v>
          </cell>
          <cell r="F157" t="str">
            <v>Desktop Refreshment</v>
          </cell>
          <cell r="G157" t="str">
            <v>0 set Laptop</v>
          </cell>
          <cell r="H157" t="str">
            <v>CQ</v>
          </cell>
          <cell r="I157" t="str">
            <v>HP</v>
          </cell>
          <cell r="J157" t="str">
            <v>RMB</v>
          </cell>
          <cell r="K157">
            <v>0</v>
          </cell>
          <cell r="L157" t="str">
            <v>HKD</v>
          </cell>
          <cell r="M157">
            <v>0</v>
          </cell>
          <cell r="N157">
            <v>6</v>
          </cell>
          <cell r="O157">
            <v>6</v>
          </cell>
          <cell r="P157">
            <v>48</v>
          </cell>
          <cell r="Q157">
            <v>0</v>
          </cell>
        </row>
        <row r="158">
          <cell r="A158" t="str">
            <v>Refreshment</v>
          </cell>
          <cell r="B158">
            <v>2018</v>
          </cell>
          <cell r="C158" t="str">
            <v>Peter</v>
          </cell>
          <cell r="D158" t="str">
            <v>CN</v>
          </cell>
          <cell r="E158">
            <v>0</v>
          </cell>
          <cell r="F158" t="str">
            <v>Desktop Refreshment</v>
          </cell>
          <cell r="G158" t="str">
            <v>0 set Laptop</v>
          </cell>
          <cell r="H158" t="str">
            <v>XA</v>
          </cell>
          <cell r="I158" t="str">
            <v>HP</v>
          </cell>
          <cell r="J158" t="str">
            <v>RMB</v>
          </cell>
          <cell r="K158">
            <v>0</v>
          </cell>
          <cell r="L158" t="str">
            <v>HKD</v>
          </cell>
          <cell r="M158">
            <v>0</v>
          </cell>
          <cell r="N158">
            <v>6</v>
          </cell>
          <cell r="O158">
            <v>6</v>
          </cell>
          <cell r="P158">
            <v>48</v>
          </cell>
          <cell r="Q158">
            <v>0</v>
          </cell>
        </row>
        <row r="159">
          <cell r="A159" t="str">
            <v>Refreshment</v>
          </cell>
          <cell r="B159">
            <v>2015</v>
          </cell>
          <cell r="C159" t="str">
            <v>Ops</v>
          </cell>
          <cell r="D159" t="str">
            <v>HK-MSL</v>
          </cell>
          <cell r="E159">
            <v>0</v>
          </cell>
          <cell r="F159" t="str">
            <v>Desktop Refreshments</v>
          </cell>
          <cell r="G159" t="str">
            <v>PC Replacement</v>
          </cell>
          <cell r="H159" t="str">
            <v>MSL</v>
          </cell>
          <cell r="I159">
            <v>0</v>
          </cell>
          <cell r="J159" t="str">
            <v>HKD</v>
          </cell>
          <cell r="K159">
            <v>178200</v>
          </cell>
          <cell r="L159" t="str">
            <v>HKD</v>
          </cell>
          <cell r="M159">
            <v>178200</v>
          </cell>
          <cell r="N159">
            <v>1</v>
          </cell>
          <cell r="O159">
            <v>11</v>
          </cell>
          <cell r="P159">
            <v>48</v>
          </cell>
          <cell r="Q159">
            <v>40837.5</v>
          </cell>
        </row>
        <row r="160">
          <cell r="A160" t="str">
            <v>Refreshment</v>
          </cell>
          <cell r="B160">
            <v>2015</v>
          </cell>
          <cell r="C160" t="str">
            <v>Ops</v>
          </cell>
          <cell r="D160" t="str">
            <v>HK-MSL</v>
          </cell>
          <cell r="E160">
            <v>0</v>
          </cell>
          <cell r="F160" t="str">
            <v>Desktop Refreshments</v>
          </cell>
          <cell r="G160" t="str">
            <v>Monitor Replacement</v>
          </cell>
          <cell r="H160" t="str">
            <v>MSL</v>
          </cell>
          <cell r="I160">
            <v>0</v>
          </cell>
          <cell r="J160" t="str">
            <v>HKD</v>
          </cell>
          <cell r="K160">
            <v>7638</v>
          </cell>
          <cell r="L160" t="str">
            <v>HKD</v>
          </cell>
          <cell r="M160">
            <v>7638</v>
          </cell>
          <cell r="N160">
            <v>1</v>
          </cell>
          <cell r="O160">
            <v>11</v>
          </cell>
          <cell r="P160">
            <v>48</v>
          </cell>
          <cell r="Q160">
            <v>1750.375</v>
          </cell>
        </row>
        <row r="161">
          <cell r="A161" t="str">
            <v>Refreshment</v>
          </cell>
          <cell r="B161">
            <v>2015</v>
          </cell>
          <cell r="C161" t="str">
            <v>Ops</v>
          </cell>
          <cell r="D161" t="str">
            <v>HK-MSL</v>
          </cell>
          <cell r="E161">
            <v>0</v>
          </cell>
          <cell r="F161" t="str">
            <v>Desktop Refreshments</v>
          </cell>
          <cell r="G161" t="str">
            <v>VIP user printer replacement (MSL)</v>
          </cell>
          <cell r="H161" t="str">
            <v>MSL</v>
          </cell>
          <cell r="I161">
            <v>0</v>
          </cell>
          <cell r="J161" t="str">
            <v>HKD</v>
          </cell>
          <cell r="K161">
            <v>12000</v>
          </cell>
          <cell r="L161" t="str">
            <v>HKD</v>
          </cell>
          <cell r="M161">
            <v>12000</v>
          </cell>
          <cell r="N161">
            <v>1</v>
          </cell>
          <cell r="O161">
            <v>11</v>
          </cell>
          <cell r="P161">
            <v>48</v>
          </cell>
          <cell r="Q161">
            <v>2750</v>
          </cell>
        </row>
        <row r="162">
          <cell r="A162" t="str">
            <v>Refreshment</v>
          </cell>
          <cell r="B162">
            <v>2015</v>
          </cell>
          <cell r="C162" t="str">
            <v>Ops</v>
          </cell>
          <cell r="D162" t="str">
            <v>HK-MSL</v>
          </cell>
          <cell r="E162">
            <v>0</v>
          </cell>
          <cell r="F162" t="str">
            <v>Desktop Refreshments</v>
          </cell>
          <cell r="G162" t="str">
            <v>PC Software Upgrade</v>
          </cell>
          <cell r="H162" t="str">
            <v>MSL</v>
          </cell>
          <cell r="I162">
            <v>0</v>
          </cell>
          <cell r="J162" t="str">
            <v>HKD</v>
          </cell>
          <cell r="K162">
            <v>5000</v>
          </cell>
          <cell r="L162" t="str">
            <v>HKD</v>
          </cell>
          <cell r="M162">
            <v>5000</v>
          </cell>
          <cell r="N162">
            <v>1</v>
          </cell>
          <cell r="O162">
            <v>11</v>
          </cell>
          <cell r="P162">
            <v>48</v>
          </cell>
          <cell r="Q162">
            <v>1145.8333333333335</v>
          </cell>
        </row>
        <row r="163">
          <cell r="A163" t="str">
            <v>Refreshment</v>
          </cell>
          <cell r="B163">
            <v>2015</v>
          </cell>
          <cell r="C163" t="str">
            <v>Ops</v>
          </cell>
          <cell r="D163" t="str">
            <v>HK-GPML</v>
          </cell>
          <cell r="E163">
            <v>0</v>
          </cell>
          <cell r="F163" t="str">
            <v>Desktop Refreshments</v>
          </cell>
          <cell r="G163" t="str">
            <v>PC Replacement</v>
          </cell>
          <cell r="H163" t="str">
            <v>GPML</v>
          </cell>
          <cell r="I163">
            <v>0</v>
          </cell>
          <cell r="J163" t="str">
            <v>HKD</v>
          </cell>
          <cell r="K163">
            <v>307800</v>
          </cell>
          <cell r="L163" t="str">
            <v>HKD</v>
          </cell>
          <cell r="M163">
            <v>307800</v>
          </cell>
          <cell r="N163">
            <v>1</v>
          </cell>
          <cell r="O163">
            <v>11</v>
          </cell>
          <cell r="P163">
            <v>48</v>
          </cell>
          <cell r="Q163">
            <v>70537.5</v>
          </cell>
        </row>
        <row r="164">
          <cell r="A164" t="str">
            <v>Refreshment</v>
          </cell>
          <cell r="B164">
            <v>2015</v>
          </cell>
          <cell r="C164" t="str">
            <v>Ops</v>
          </cell>
          <cell r="D164" t="str">
            <v>HK-GPML</v>
          </cell>
          <cell r="E164">
            <v>0</v>
          </cell>
          <cell r="F164" t="str">
            <v>Desktop Refreshments</v>
          </cell>
          <cell r="G164" t="str">
            <v>Monitor Replacement</v>
          </cell>
          <cell r="H164" t="str">
            <v>GPML</v>
          </cell>
          <cell r="I164">
            <v>0</v>
          </cell>
          <cell r="J164" t="str">
            <v>HKD</v>
          </cell>
          <cell r="K164">
            <v>25969</v>
          </cell>
          <cell r="L164" t="str">
            <v>HKD</v>
          </cell>
          <cell r="M164">
            <v>25969</v>
          </cell>
          <cell r="N164">
            <v>1</v>
          </cell>
          <cell r="O164">
            <v>11</v>
          </cell>
          <cell r="P164">
            <v>48</v>
          </cell>
          <cell r="Q164">
            <v>5951.229166666667</v>
          </cell>
        </row>
        <row r="165">
          <cell r="A165" t="str">
            <v>Refreshment</v>
          </cell>
          <cell r="B165">
            <v>2015</v>
          </cell>
          <cell r="C165" t="str">
            <v>Ops</v>
          </cell>
          <cell r="D165" t="str">
            <v>HK-GPML</v>
          </cell>
          <cell r="E165">
            <v>0</v>
          </cell>
          <cell r="F165" t="str">
            <v>Desktop Refreshments</v>
          </cell>
          <cell r="G165" t="str">
            <v>PC Software Upgrade</v>
          </cell>
          <cell r="H165" t="str">
            <v>GPML</v>
          </cell>
          <cell r="I165">
            <v>0</v>
          </cell>
          <cell r="J165" t="str">
            <v>HKD</v>
          </cell>
          <cell r="K165">
            <v>20000</v>
          </cell>
          <cell r="L165" t="str">
            <v>HKD</v>
          </cell>
          <cell r="M165">
            <v>20000</v>
          </cell>
          <cell r="N165">
            <v>1</v>
          </cell>
          <cell r="O165">
            <v>11</v>
          </cell>
          <cell r="P165">
            <v>48</v>
          </cell>
          <cell r="Q165">
            <v>4583.3333333333339</v>
          </cell>
        </row>
        <row r="166">
          <cell r="A166" t="str">
            <v>Refreshment</v>
          </cell>
          <cell r="B166">
            <v>2015</v>
          </cell>
          <cell r="C166" t="str">
            <v>Infra</v>
          </cell>
          <cell r="D166" t="str">
            <v>HK-VPSL</v>
          </cell>
          <cell r="E166">
            <v>0</v>
          </cell>
          <cell r="F166" t="str">
            <v>Desktop Refreshments</v>
          </cell>
          <cell r="G166" t="str">
            <v>PC Replacement</v>
          </cell>
          <cell r="H166" t="str">
            <v>VPSL</v>
          </cell>
          <cell r="I166">
            <v>0</v>
          </cell>
          <cell r="J166" t="str">
            <v>HKD</v>
          </cell>
          <cell r="K166">
            <v>91800</v>
          </cell>
          <cell r="L166" t="str">
            <v>HKD</v>
          </cell>
          <cell r="M166">
            <v>91800</v>
          </cell>
          <cell r="N166">
            <v>1</v>
          </cell>
          <cell r="O166">
            <v>11</v>
          </cell>
          <cell r="P166">
            <v>48</v>
          </cell>
          <cell r="Q166">
            <v>21037.5</v>
          </cell>
        </row>
        <row r="167">
          <cell r="A167" t="str">
            <v>Refreshment</v>
          </cell>
          <cell r="B167">
            <v>2015</v>
          </cell>
          <cell r="C167" t="str">
            <v>Infra</v>
          </cell>
          <cell r="D167" t="str">
            <v>HK-VPSL</v>
          </cell>
          <cell r="E167">
            <v>0</v>
          </cell>
          <cell r="F167" t="str">
            <v>Desktop Refreshments</v>
          </cell>
          <cell r="G167" t="str">
            <v>Monitor Replacement</v>
          </cell>
          <cell r="H167" t="str">
            <v>VPSL</v>
          </cell>
          <cell r="I167">
            <v>0</v>
          </cell>
          <cell r="J167" t="str">
            <v>HKD</v>
          </cell>
          <cell r="K167">
            <v>12220</v>
          </cell>
          <cell r="L167" t="str">
            <v>HKD</v>
          </cell>
          <cell r="M167">
            <v>12220</v>
          </cell>
          <cell r="N167">
            <v>1</v>
          </cell>
          <cell r="O167">
            <v>11</v>
          </cell>
          <cell r="P167">
            <v>48</v>
          </cell>
          <cell r="Q167">
            <v>2800.416666666667</v>
          </cell>
        </row>
        <row r="168">
          <cell r="A168" t="str">
            <v>Refreshment</v>
          </cell>
          <cell r="B168">
            <v>2015</v>
          </cell>
          <cell r="C168" t="str">
            <v>Infra</v>
          </cell>
          <cell r="D168" t="str">
            <v>HK-VPSL</v>
          </cell>
          <cell r="E168">
            <v>0</v>
          </cell>
          <cell r="F168" t="str">
            <v>Desktop Refreshments</v>
          </cell>
          <cell r="G168" t="str">
            <v>Software Upgrade</v>
          </cell>
          <cell r="H168" t="str">
            <v>VPSL</v>
          </cell>
          <cell r="I168">
            <v>0</v>
          </cell>
          <cell r="J168" t="str">
            <v>HKD</v>
          </cell>
          <cell r="K168">
            <v>2168</v>
          </cell>
          <cell r="L168" t="str">
            <v>HKD</v>
          </cell>
          <cell r="M168">
            <v>2168</v>
          </cell>
          <cell r="N168">
            <v>1</v>
          </cell>
          <cell r="O168">
            <v>11</v>
          </cell>
          <cell r="P168">
            <v>48</v>
          </cell>
          <cell r="Q168">
            <v>496.83333333333331</v>
          </cell>
        </row>
        <row r="169">
          <cell r="A169" t="str">
            <v>Refreshment</v>
          </cell>
          <cell r="B169">
            <v>2015</v>
          </cell>
          <cell r="C169" t="str">
            <v>Ops</v>
          </cell>
          <cell r="D169" t="str">
            <v>HK-SPML</v>
          </cell>
          <cell r="E169">
            <v>0</v>
          </cell>
          <cell r="F169" t="str">
            <v>Desktop Refreshments</v>
          </cell>
          <cell r="G169" t="str">
            <v>PC Replacement</v>
          </cell>
          <cell r="H169" t="str">
            <v>SPML</v>
          </cell>
          <cell r="I169" t="str">
            <v>HP</v>
          </cell>
          <cell r="J169" t="str">
            <v>HKD</v>
          </cell>
          <cell r="K169">
            <v>86400</v>
          </cell>
          <cell r="L169" t="str">
            <v>HKD</v>
          </cell>
          <cell r="M169">
            <v>86400</v>
          </cell>
          <cell r="N169">
            <v>1</v>
          </cell>
          <cell r="O169">
            <v>11</v>
          </cell>
          <cell r="P169">
            <v>48</v>
          </cell>
          <cell r="Q169">
            <v>19800</v>
          </cell>
        </row>
        <row r="170">
          <cell r="A170" t="str">
            <v>Refreshment</v>
          </cell>
          <cell r="B170">
            <v>2015</v>
          </cell>
          <cell r="C170" t="str">
            <v>Ops</v>
          </cell>
          <cell r="D170" t="str">
            <v>HK-SPML</v>
          </cell>
          <cell r="E170">
            <v>0</v>
          </cell>
          <cell r="F170" t="str">
            <v>Desktop Refreshments</v>
          </cell>
          <cell r="G170" t="str">
            <v>Monitor Replacement</v>
          </cell>
          <cell r="H170" t="str">
            <v>SPML</v>
          </cell>
          <cell r="I170" t="str">
            <v>HP</v>
          </cell>
          <cell r="J170" t="str">
            <v>HKD</v>
          </cell>
          <cell r="K170">
            <v>22914</v>
          </cell>
          <cell r="L170" t="str">
            <v>HKD</v>
          </cell>
          <cell r="M170">
            <v>22914</v>
          </cell>
          <cell r="N170">
            <v>1</v>
          </cell>
          <cell r="O170">
            <v>11</v>
          </cell>
          <cell r="P170">
            <v>48</v>
          </cell>
          <cell r="Q170">
            <v>5251.125</v>
          </cell>
        </row>
        <row r="171">
          <cell r="A171" t="str">
            <v>Refreshment</v>
          </cell>
          <cell r="B171">
            <v>2015</v>
          </cell>
          <cell r="C171" t="str">
            <v>Ops</v>
          </cell>
          <cell r="D171" t="str">
            <v>HK-SPML</v>
          </cell>
          <cell r="E171">
            <v>0</v>
          </cell>
          <cell r="F171" t="str">
            <v>Desktop Refreshments</v>
          </cell>
          <cell r="G171" t="str">
            <v>VIP user printer replacement</v>
          </cell>
          <cell r="H171" t="str">
            <v>SPML</v>
          </cell>
          <cell r="I171" t="str">
            <v>JOS</v>
          </cell>
          <cell r="J171" t="str">
            <v>HKD</v>
          </cell>
          <cell r="K171">
            <v>36000</v>
          </cell>
          <cell r="L171" t="str">
            <v>HKD</v>
          </cell>
          <cell r="M171">
            <v>36000</v>
          </cell>
          <cell r="N171">
            <v>1</v>
          </cell>
          <cell r="O171">
            <v>11</v>
          </cell>
          <cell r="P171">
            <v>48</v>
          </cell>
          <cell r="Q171">
            <v>8250</v>
          </cell>
        </row>
        <row r="172">
          <cell r="A172" t="str">
            <v>Refreshment</v>
          </cell>
          <cell r="B172">
            <v>2015</v>
          </cell>
          <cell r="C172" t="str">
            <v>Ops</v>
          </cell>
          <cell r="D172" t="str">
            <v>HK-SPML</v>
          </cell>
          <cell r="E172">
            <v>0</v>
          </cell>
          <cell r="F172" t="str">
            <v>Desktop Refreshments</v>
          </cell>
          <cell r="G172" t="str">
            <v>PC Software Upgrade</v>
          </cell>
          <cell r="H172" t="str">
            <v>SPML</v>
          </cell>
          <cell r="I172" t="str">
            <v>Software One</v>
          </cell>
          <cell r="J172" t="str">
            <v>HKD</v>
          </cell>
          <cell r="K172">
            <v>30000</v>
          </cell>
          <cell r="L172" t="str">
            <v>HKD</v>
          </cell>
          <cell r="M172">
            <v>30000</v>
          </cell>
          <cell r="N172">
            <v>1</v>
          </cell>
          <cell r="O172">
            <v>11</v>
          </cell>
          <cell r="P172">
            <v>48</v>
          </cell>
          <cell r="Q172">
            <v>6875</v>
          </cell>
        </row>
        <row r="173">
          <cell r="A173" t="str">
            <v>New Project</v>
          </cell>
          <cell r="B173">
            <v>2015</v>
          </cell>
          <cell r="C173" t="str">
            <v>Ops</v>
          </cell>
          <cell r="D173" t="str">
            <v>HK-SHKL</v>
          </cell>
          <cell r="E173">
            <v>0</v>
          </cell>
          <cell r="F173" t="str">
            <v>Desktop Refreshments</v>
          </cell>
          <cell r="G173" t="str">
            <v>Document Scanning Solution</v>
          </cell>
          <cell r="H173" t="str">
            <v>HKL</v>
          </cell>
          <cell r="I173">
            <v>0</v>
          </cell>
          <cell r="J173" t="str">
            <v>HKD</v>
          </cell>
          <cell r="K173">
            <v>500000</v>
          </cell>
          <cell r="L173" t="str">
            <v>HKD</v>
          </cell>
          <cell r="M173">
            <v>500000</v>
          </cell>
          <cell r="N173">
            <v>7</v>
          </cell>
          <cell r="O173">
            <v>5</v>
          </cell>
          <cell r="P173">
            <v>48</v>
          </cell>
          <cell r="Q173">
            <v>52083.333333333328</v>
          </cell>
        </row>
        <row r="174">
          <cell r="A174" t="str">
            <v>Refreshment</v>
          </cell>
          <cell r="B174">
            <v>2015</v>
          </cell>
          <cell r="C174" t="str">
            <v>Ops</v>
          </cell>
          <cell r="D174" t="str">
            <v>HK-SHKL</v>
          </cell>
          <cell r="E174">
            <v>0</v>
          </cell>
          <cell r="F174" t="str">
            <v>Desktop Refreshments</v>
          </cell>
          <cell r="G174" t="str">
            <v>PC Replacement</v>
          </cell>
          <cell r="H174" t="str">
            <v>HKL</v>
          </cell>
          <cell r="I174" t="str">
            <v>HP</v>
          </cell>
          <cell r="J174" t="str">
            <v>HKD</v>
          </cell>
          <cell r="K174">
            <v>297675</v>
          </cell>
          <cell r="L174" t="str">
            <v>HKD</v>
          </cell>
          <cell r="M174">
            <v>297675</v>
          </cell>
          <cell r="N174">
            <v>1</v>
          </cell>
          <cell r="O174">
            <v>11</v>
          </cell>
          <cell r="P174">
            <v>48</v>
          </cell>
          <cell r="Q174">
            <v>68217.1875</v>
          </cell>
        </row>
        <row r="175">
          <cell r="A175" t="str">
            <v>Refreshment</v>
          </cell>
          <cell r="B175">
            <v>2015</v>
          </cell>
          <cell r="C175" t="str">
            <v>Ops</v>
          </cell>
          <cell r="D175" t="str">
            <v>HK-SHKL</v>
          </cell>
          <cell r="E175">
            <v>0</v>
          </cell>
          <cell r="F175" t="str">
            <v>Desktop Refreshments</v>
          </cell>
          <cell r="G175" t="str">
            <v>Monitor Replacement</v>
          </cell>
          <cell r="H175" t="str">
            <v>HKL</v>
          </cell>
          <cell r="I175" t="str">
            <v>HP</v>
          </cell>
          <cell r="J175" t="str">
            <v>HKD</v>
          </cell>
          <cell r="K175">
            <v>44892</v>
          </cell>
          <cell r="L175" t="str">
            <v>HKD</v>
          </cell>
          <cell r="M175">
            <v>44892</v>
          </cell>
          <cell r="N175">
            <v>1</v>
          </cell>
          <cell r="O175">
            <v>11</v>
          </cell>
          <cell r="P175">
            <v>48</v>
          </cell>
          <cell r="Q175">
            <v>10287.75</v>
          </cell>
        </row>
        <row r="176">
          <cell r="A176" t="str">
            <v>Refreshment</v>
          </cell>
          <cell r="B176">
            <v>2015</v>
          </cell>
          <cell r="C176" t="str">
            <v>Ops</v>
          </cell>
          <cell r="D176" t="str">
            <v>HK-SHKL</v>
          </cell>
          <cell r="E176">
            <v>0</v>
          </cell>
          <cell r="F176" t="str">
            <v>Desktop Refreshments</v>
          </cell>
          <cell r="G176" t="str">
            <v xml:space="preserve">VIP user printer replacement </v>
          </cell>
          <cell r="H176" t="str">
            <v>HKL</v>
          </cell>
          <cell r="I176" t="str">
            <v>JOS</v>
          </cell>
          <cell r="J176" t="str">
            <v>HKD</v>
          </cell>
          <cell r="K176">
            <v>12000</v>
          </cell>
          <cell r="L176" t="str">
            <v>HKD</v>
          </cell>
          <cell r="M176">
            <v>12000</v>
          </cell>
          <cell r="N176">
            <v>1</v>
          </cell>
          <cell r="O176">
            <v>11</v>
          </cell>
          <cell r="P176">
            <v>48</v>
          </cell>
          <cell r="Q176">
            <v>2750</v>
          </cell>
        </row>
        <row r="177">
          <cell r="A177" t="str">
            <v>Refreshment</v>
          </cell>
          <cell r="B177">
            <v>2015</v>
          </cell>
          <cell r="C177" t="str">
            <v>Ops</v>
          </cell>
          <cell r="D177" t="str">
            <v>HK-SHKL</v>
          </cell>
          <cell r="E177">
            <v>0</v>
          </cell>
          <cell r="F177" t="str">
            <v>Desktop Refreshments</v>
          </cell>
          <cell r="G177" t="str">
            <v xml:space="preserve">PC Software Upgrade </v>
          </cell>
          <cell r="H177" t="str">
            <v>HKL</v>
          </cell>
          <cell r="I177" t="str">
            <v>Software One</v>
          </cell>
          <cell r="J177" t="str">
            <v>HKD</v>
          </cell>
          <cell r="K177">
            <v>50000</v>
          </cell>
          <cell r="L177" t="str">
            <v>HKD</v>
          </cell>
          <cell r="M177">
            <v>50000</v>
          </cell>
          <cell r="N177">
            <v>1</v>
          </cell>
          <cell r="O177">
            <v>11</v>
          </cell>
          <cell r="P177">
            <v>48</v>
          </cell>
          <cell r="Q177">
            <v>11458.333333333334</v>
          </cell>
        </row>
        <row r="178">
          <cell r="A178" t="str">
            <v>Refreshment</v>
          </cell>
          <cell r="B178">
            <v>2015</v>
          </cell>
          <cell r="C178" t="str">
            <v>Ops</v>
          </cell>
          <cell r="D178" t="str">
            <v>HK-SRL</v>
          </cell>
          <cell r="E178">
            <v>0</v>
          </cell>
          <cell r="F178" t="str">
            <v>Desktop Refreshments</v>
          </cell>
          <cell r="G178" t="str">
            <v>PC Replacement</v>
          </cell>
          <cell r="H178" t="str">
            <v>RL</v>
          </cell>
          <cell r="I178" t="str">
            <v>HP</v>
          </cell>
          <cell r="J178" t="str">
            <v>HKD</v>
          </cell>
          <cell r="K178">
            <v>70200</v>
          </cell>
          <cell r="L178" t="str">
            <v>HKD</v>
          </cell>
          <cell r="M178">
            <v>70200</v>
          </cell>
          <cell r="N178">
            <v>1</v>
          </cell>
          <cell r="O178">
            <v>11</v>
          </cell>
          <cell r="P178">
            <v>48</v>
          </cell>
          <cell r="Q178">
            <v>16087.5</v>
          </cell>
        </row>
        <row r="179">
          <cell r="A179" t="str">
            <v>Refreshment</v>
          </cell>
          <cell r="B179">
            <v>2015</v>
          </cell>
          <cell r="C179" t="str">
            <v>Ops</v>
          </cell>
          <cell r="D179" t="str">
            <v>HK-SRL</v>
          </cell>
          <cell r="E179">
            <v>0</v>
          </cell>
          <cell r="F179" t="str">
            <v>Desktop Refreshments</v>
          </cell>
          <cell r="G179" t="str">
            <v>Monitor Replacement</v>
          </cell>
          <cell r="H179" t="str">
            <v>RL</v>
          </cell>
          <cell r="I179" t="str">
            <v>HP</v>
          </cell>
          <cell r="J179" t="str">
            <v>HKD</v>
          </cell>
          <cell r="K179">
            <v>9166</v>
          </cell>
          <cell r="L179" t="str">
            <v>HKD</v>
          </cell>
          <cell r="M179">
            <v>9166</v>
          </cell>
          <cell r="N179">
            <v>1</v>
          </cell>
          <cell r="O179">
            <v>11</v>
          </cell>
          <cell r="P179">
            <v>48</v>
          </cell>
          <cell r="Q179">
            <v>2100.541666666667</v>
          </cell>
        </row>
        <row r="180">
          <cell r="A180" t="str">
            <v>Refreshment</v>
          </cell>
          <cell r="B180">
            <v>2015</v>
          </cell>
          <cell r="C180" t="str">
            <v>Ops</v>
          </cell>
          <cell r="D180" t="str">
            <v>HK-SRL</v>
          </cell>
          <cell r="E180">
            <v>0</v>
          </cell>
          <cell r="F180" t="str">
            <v>Desktop Refreshments</v>
          </cell>
          <cell r="G180" t="str">
            <v>Software Upgrade</v>
          </cell>
          <cell r="H180" t="str">
            <v>RL</v>
          </cell>
          <cell r="I180" t="str">
            <v>Software One</v>
          </cell>
          <cell r="J180" t="str">
            <v>HKD</v>
          </cell>
          <cell r="K180">
            <v>2168</v>
          </cell>
          <cell r="L180" t="str">
            <v>HKD</v>
          </cell>
          <cell r="M180">
            <v>2168</v>
          </cell>
          <cell r="N180">
            <v>1</v>
          </cell>
          <cell r="O180">
            <v>11</v>
          </cell>
          <cell r="P180">
            <v>48</v>
          </cell>
          <cell r="Q180">
            <v>496.83333333333331</v>
          </cell>
        </row>
        <row r="181">
          <cell r="A181" t="str">
            <v>Refreshment</v>
          </cell>
          <cell r="B181">
            <v>2016</v>
          </cell>
          <cell r="C181" t="str">
            <v>Ops</v>
          </cell>
          <cell r="D181" t="str">
            <v>HK-MSL</v>
          </cell>
          <cell r="E181">
            <v>0</v>
          </cell>
          <cell r="F181" t="str">
            <v>Desktop Refreshments</v>
          </cell>
          <cell r="G181" t="str">
            <v>PC Replacement</v>
          </cell>
          <cell r="H181" t="str">
            <v>MSL</v>
          </cell>
          <cell r="I181" t="str">
            <v>HP</v>
          </cell>
          <cell r="J181" t="str">
            <v>HKD</v>
          </cell>
          <cell r="K181">
            <v>145860</v>
          </cell>
          <cell r="L181" t="str">
            <v>HKD</v>
          </cell>
          <cell r="M181">
            <v>145860</v>
          </cell>
          <cell r="N181">
            <v>1</v>
          </cell>
          <cell r="O181">
            <v>11</v>
          </cell>
          <cell r="P181">
            <v>48</v>
          </cell>
          <cell r="Q181">
            <v>33426.25</v>
          </cell>
        </row>
        <row r="182">
          <cell r="A182" t="str">
            <v>Refreshment</v>
          </cell>
          <cell r="B182">
            <v>2016</v>
          </cell>
          <cell r="C182" t="str">
            <v>Ops</v>
          </cell>
          <cell r="D182" t="str">
            <v>HK-MSL</v>
          </cell>
          <cell r="E182">
            <v>0</v>
          </cell>
          <cell r="F182" t="str">
            <v>Desktop Refreshments</v>
          </cell>
          <cell r="G182" t="str">
            <v>Monitor Replacement</v>
          </cell>
          <cell r="H182" t="str">
            <v>MSL</v>
          </cell>
          <cell r="I182" t="str">
            <v>HP</v>
          </cell>
          <cell r="J182" t="str">
            <v>HKD</v>
          </cell>
          <cell r="K182">
            <v>9000</v>
          </cell>
          <cell r="L182" t="str">
            <v>HKD</v>
          </cell>
          <cell r="M182">
            <v>9000</v>
          </cell>
          <cell r="N182">
            <v>1</v>
          </cell>
          <cell r="O182">
            <v>11</v>
          </cell>
          <cell r="P182">
            <v>48</v>
          </cell>
          <cell r="Q182">
            <v>2062.5</v>
          </cell>
        </row>
        <row r="183">
          <cell r="A183" t="str">
            <v>Refreshment</v>
          </cell>
          <cell r="B183">
            <v>2016</v>
          </cell>
          <cell r="C183" t="str">
            <v>Ops</v>
          </cell>
          <cell r="D183" t="str">
            <v>HK-MSL</v>
          </cell>
          <cell r="E183">
            <v>0</v>
          </cell>
          <cell r="F183" t="str">
            <v>Desktop Refreshments</v>
          </cell>
          <cell r="G183" t="str">
            <v>PC Software Upgrade (Acrobat)</v>
          </cell>
          <cell r="H183" t="str">
            <v>MSL</v>
          </cell>
          <cell r="I183" t="str">
            <v>Software One</v>
          </cell>
          <cell r="J183" t="str">
            <v>HKD</v>
          </cell>
          <cell r="K183">
            <v>45000</v>
          </cell>
          <cell r="L183" t="str">
            <v>HKD</v>
          </cell>
          <cell r="M183">
            <v>45000</v>
          </cell>
          <cell r="N183">
            <v>1</v>
          </cell>
          <cell r="O183">
            <v>11</v>
          </cell>
          <cell r="P183">
            <v>48</v>
          </cell>
          <cell r="Q183">
            <v>10312.5</v>
          </cell>
        </row>
        <row r="184">
          <cell r="A184" t="str">
            <v>Refreshment</v>
          </cell>
          <cell r="B184">
            <v>2016</v>
          </cell>
          <cell r="C184" t="str">
            <v>Ops</v>
          </cell>
          <cell r="D184" t="str">
            <v>HK-GPML</v>
          </cell>
          <cell r="E184">
            <v>0</v>
          </cell>
          <cell r="F184" t="str">
            <v>Desktop Refreshments</v>
          </cell>
          <cell r="G184" t="str">
            <v>PC Replacement</v>
          </cell>
          <cell r="H184" t="str">
            <v>GPML</v>
          </cell>
          <cell r="I184" t="str">
            <v>HP</v>
          </cell>
          <cell r="J184" t="str">
            <v>HKD</v>
          </cell>
          <cell r="K184">
            <v>264092</v>
          </cell>
          <cell r="L184" t="str">
            <v>HKD</v>
          </cell>
          <cell r="M184">
            <v>264092</v>
          </cell>
          <cell r="N184">
            <v>1</v>
          </cell>
          <cell r="O184">
            <v>11</v>
          </cell>
          <cell r="P184">
            <v>48</v>
          </cell>
          <cell r="Q184">
            <v>60521.083333333336</v>
          </cell>
        </row>
        <row r="185">
          <cell r="A185" t="str">
            <v>Refreshment</v>
          </cell>
          <cell r="B185">
            <v>2016</v>
          </cell>
          <cell r="C185" t="str">
            <v>Ops</v>
          </cell>
          <cell r="D185" t="str">
            <v>HK-GPML</v>
          </cell>
          <cell r="E185">
            <v>0</v>
          </cell>
          <cell r="F185" t="str">
            <v>Desktop Refreshments</v>
          </cell>
          <cell r="G185" t="str">
            <v>Monitor Replacement</v>
          </cell>
          <cell r="H185" t="str">
            <v>GPML</v>
          </cell>
          <cell r="I185" t="str">
            <v>HP</v>
          </cell>
          <cell r="J185" t="str">
            <v>HKD</v>
          </cell>
          <cell r="K185">
            <v>40000</v>
          </cell>
          <cell r="L185" t="str">
            <v>HKD</v>
          </cell>
          <cell r="M185">
            <v>40000</v>
          </cell>
          <cell r="N185">
            <v>1</v>
          </cell>
          <cell r="O185">
            <v>11</v>
          </cell>
          <cell r="P185">
            <v>48</v>
          </cell>
          <cell r="Q185">
            <v>9166.6666666666679</v>
          </cell>
        </row>
        <row r="186">
          <cell r="A186" t="str">
            <v>Refreshment</v>
          </cell>
          <cell r="B186">
            <v>2016</v>
          </cell>
          <cell r="C186" t="str">
            <v>Ops</v>
          </cell>
          <cell r="D186" t="str">
            <v>HK-GPML</v>
          </cell>
          <cell r="E186">
            <v>0</v>
          </cell>
          <cell r="F186" t="str">
            <v>Desktop Refreshments</v>
          </cell>
          <cell r="G186" t="str">
            <v>PC Software Upgrade</v>
          </cell>
          <cell r="H186" t="str">
            <v>GPML</v>
          </cell>
          <cell r="I186" t="str">
            <v>Software One</v>
          </cell>
          <cell r="J186" t="str">
            <v>HKD</v>
          </cell>
          <cell r="K186">
            <v>20000</v>
          </cell>
          <cell r="L186" t="str">
            <v>HKD</v>
          </cell>
          <cell r="M186">
            <v>20000</v>
          </cell>
          <cell r="N186">
            <v>1</v>
          </cell>
          <cell r="O186">
            <v>11</v>
          </cell>
          <cell r="P186">
            <v>48</v>
          </cell>
          <cell r="Q186">
            <v>4583.3333333333339</v>
          </cell>
        </row>
        <row r="187">
          <cell r="A187" t="str">
            <v>Refreshment</v>
          </cell>
          <cell r="B187">
            <v>2016</v>
          </cell>
          <cell r="C187" t="str">
            <v>Ops</v>
          </cell>
          <cell r="D187" t="str">
            <v>HK-SPML</v>
          </cell>
          <cell r="E187">
            <v>0</v>
          </cell>
          <cell r="F187" t="str">
            <v>Desktop Refreshments</v>
          </cell>
          <cell r="G187" t="str">
            <v>PC Replacement</v>
          </cell>
          <cell r="H187" t="str">
            <v>SPML</v>
          </cell>
          <cell r="I187" t="str">
            <v>HP</v>
          </cell>
          <cell r="J187" t="str">
            <v>HKD</v>
          </cell>
          <cell r="K187">
            <v>477051</v>
          </cell>
          <cell r="L187" t="str">
            <v>HKD</v>
          </cell>
          <cell r="M187">
            <v>477051</v>
          </cell>
          <cell r="N187">
            <v>1</v>
          </cell>
          <cell r="O187">
            <v>11</v>
          </cell>
          <cell r="P187">
            <v>48</v>
          </cell>
          <cell r="Q187">
            <v>109324.1875</v>
          </cell>
        </row>
        <row r="188">
          <cell r="A188" t="str">
            <v>Refreshment</v>
          </cell>
          <cell r="B188">
            <v>2016</v>
          </cell>
          <cell r="C188" t="str">
            <v>Ops</v>
          </cell>
          <cell r="D188" t="str">
            <v>HK-SPML</v>
          </cell>
          <cell r="E188">
            <v>0</v>
          </cell>
          <cell r="F188" t="str">
            <v>Desktop Refreshments</v>
          </cell>
          <cell r="G188" t="str">
            <v>Monitor Replacement</v>
          </cell>
          <cell r="H188" t="str">
            <v>SPML</v>
          </cell>
          <cell r="I188" t="str">
            <v>HP</v>
          </cell>
          <cell r="J188" t="str">
            <v>HKD</v>
          </cell>
          <cell r="K188">
            <v>20000</v>
          </cell>
          <cell r="L188" t="str">
            <v>HKD</v>
          </cell>
          <cell r="M188">
            <v>20000</v>
          </cell>
          <cell r="N188">
            <v>1</v>
          </cell>
          <cell r="O188">
            <v>11</v>
          </cell>
          <cell r="P188">
            <v>48</v>
          </cell>
          <cell r="Q188">
            <v>4583.3333333333339</v>
          </cell>
        </row>
        <row r="189">
          <cell r="A189" t="str">
            <v>Refreshment</v>
          </cell>
          <cell r="B189">
            <v>2016</v>
          </cell>
          <cell r="C189" t="str">
            <v>Ops</v>
          </cell>
          <cell r="D189" t="str">
            <v>HK-SPML</v>
          </cell>
          <cell r="E189">
            <v>0</v>
          </cell>
          <cell r="F189" t="str">
            <v>Desktop Refreshments</v>
          </cell>
          <cell r="G189" t="str">
            <v>PC Software Upgrade</v>
          </cell>
          <cell r="H189" t="str">
            <v>SPML</v>
          </cell>
          <cell r="I189" t="str">
            <v>Software One</v>
          </cell>
          <cell r="J189" t="str">
            <v>HKD</v>
          </cell>
          <cell r="K189">
            <v>50000</v>
          </cell>
          <cell r="L189" t="str">
            <v>HKD</v>
          </cell>
          <cell r="M189">
            <v>50000</v>
          </cell>
          <cell r="N189">
            <v>1</v>
          </cell>
          <cell r="O189">
            <v>11</v>
          </cell>
          <cell r="P189">
            <v>48</v>
          </cell>
          <cell r="Q189">
            <v>11458.333333333334</v>
          </cell>
        </row>
        <row r="190">
          <cell r="A190" t="str">
            <v>Refreshment</v>
          </cell>
          <cell r="B190">
            <v>2016</v>
          </cell>
          <cell r="C190" t="str">
            <v>Ops</v>
          </cell>
          <cell r="D190" t="str">
            <v>HK-SHKL</v>
          </cell>
          <cell r="E190">
            <v>0</v>
          </cell>
          <cell r="F190" t="str">
            <v>Desktop Refreshments</v>
          </cell>
          <cell r="G190" t="str">
            <v>PC Replacement</v>
          </cell>
          <cell r="H190" t="str">
            <v>HKL</v>
          </cell>
          <cell r="I190" t="str">
            <v>HP</v>
          </cell>
          <cell r="J190" t="str">
            <v>HKD</v>
          </cell>
          <cell r="K190">
            <v>528184</v>
          </cell>
          <cell r="L190" t="str">
            <v>HKD</v>
          </cell>
          <cell r="M190">
            <v>528184</v>
          </cell>
          <cell r="N190">
            <v>1</v>
          </cell>
          <cell r="O190">
            <v>11</v>
          </cell>
          <cell r="P190">
            <v>48</v>
          </cell>
          <cell r="Q190">
            <v>121042.16666666667</v>
          </cell>
        </row>
        <row r="191">
          <cell r="A191" t="str">
            <v>Refreshment</v>
          </cell>
          <cell r="B191">
            <v>2016</v>
          </cell>
          <cell r="C191" t="str">
            <v>Ops</v>
          </cell>
          <cell r="D191" t="str">
            <v>HK-SHKL</v>
          </cell>
          <cell r="E191">
            <v>0</v>
          </cell>
          <cell r="F191" t="str">
            <v>Desktop Refreshments</v>
          </cell>
          <cell r="G191" t="str">
            <v>Monitor Replacement</v>
          </cell>
          <cell r="H191" t="str">
            <v>HKL</v>
          </cell>
          <cell r="I191" t="str">
            <v>HP</v>
          </cell>
          <cell r="J191" t="str">
            <v>HKD</v>
          </cell>
          <cell r="K191">
            <v>44892</v>
          </cell>
          <cell r="L191" t="str">
            <v>HKD</v>
          </cell>
          <cell r="M191">
            <v>44892</v>
          </cell>
          <cell r="N191">
            <v>1</v>
          </cell>
          <cell r="O191">
            <v>11</v>
          </cell>
          <cell r="P191">
            <v>48</v>
          </cell>
          <cell r="Q191">
            <v>10287.75</v>
          </cell>
        </row>
        <row r="192">
          <cell r="A192" t="str">
            <v>Refreshment</v>
          </cell>
          <cell r="B192">
            <v>2016</v>
          </cell>
          <cell r="C192" t="str">
            <v>Ops</v>
          </cell>
          <cell r="D192" t="str">
            <v>HK-SHKL</v>
          </cell>
          <cell r="E192">
            <v>0</v>
          </cell>
          <cell r="F192" t="str">
            <v>Desktop Refreshments</v>
          </cell>
          <cell r="G192" t="str">
            <v xml:space="preserve">PC Software Upgrade </v>
          </cell>
          <cell r="H192" t="str">
            <v>HKL</v>
          </cell>
          <cell r="I192" t="str">
            <v>Software One</v>
          </cell>
          <cell r="J192" t="str">
            <v>HKD</v>
          </cell>
          <cell r="K192">
            <v>60000</v>
          </cell>
          <cell r="L192" t="str">
            <v>HKD</v>
          </cell>
          <cell r="M192">
            <v>60000</v>
          </cell>
          <cell r="N192">
            <v>1</v>
          </cell>
          <cell r="O192">
            <v>11</v>
          </cell>
          <cell r="P192">
            <v>48</v>
          </cell>
          <cell r="Q192">
            <v>13750</v>
          </cell>
        </row>
        <row r="193">
          <cell r="A193" t="str">
            <v>Refreshment</v>
          </cell>
          <cell r="B193">
            <v>2016</v>
          </cell>
          <cell r="C193" t="str">
            <v>Ops</v>
          </cell>
          <cell r="D193" t="str">
            <v>HK-SRL</v>
          </cell>
          <cell r="E193">
            <v>0</v>
          </cell>
          <cell r="F193" t="str">
            <v>Desktop Refreshments</v>
          </cell>
          <cell r="G193" t="str">
            <v>PC Replacement</v>
          </cell>
          <cell r="H193" t="str">
            <v>RL</v>
          </cell>
          <cell r="I193" t="str">
            <v>HP</v>
          </cell>
          <cell r="J193" t="str">
            <v>HKD</v>
          </cell>
          <cell r="K193">
            <v>176061</v>
          </cell>
          <cell r="L193" t="str">
            <v>HKD</v>
          </cell>
          <cell r="M193">
            <v>176061</v>
          </cell>
          <cell r="N193">
            <v>1</v>
          </cell>
          <cell r="O193">
            <v>11</v>
          </cell>
          <cell r="P193">
            <v>48</v>
          </cell>
          <cell r="Q193">
            <v>40347.3125</v>
          </cell>
        </row>
        <row r="194">
          <cell r="A194" t="str">
            <v>Refreshment</v>
          </cell>
          <cell r="B194">
            <v>2016</v>
          </cell>
          <cell r="C194" t="str">
            <v>Ops</v>
          </cell>
          <cell r="D194" t="str">
            <v>HK-SRL</v>
          </cell>
          <cell r="E194">
            <v>0</v>
          </cell>
          <cell r="F194" t="str">
            <v>Desktop Refreshments</v>
          </cell>
          <cell r="G194" t="str">
            <v>Monitor Replacement</v>
          </cell>
          <cell r="H194" t="str">
            <v>RL</v>
          </cell>
          <cell r="I194" t="str">
            <v>HP</v>
          </cell>
          <cell r="J194" t="str">
            <v>HKD</v>
          </cell>
          <cell r="K194">
            <v>9000</v>
          </cell>
          <cell r="L194" t="str">
            <v>HKD</v>
          </cell>
          <cell r="M194">
            <v>9000</v>
          </cell>
          <cell r="N194">
            <v>1</v>
          </cell>
          <cell r="O194">
            <v>11</v>
          </cell>
          <cell r="P194">
            <v>48</v>
          </cell>
          <cell r="Q194">
            <v>2062.5</v>
          </cell>
        </row>
        <row r="195">
          <cell r="A195" t="str">
            <v>Refreshment</v>
          </cell>
          <cell r="B195">
            <v>2016</v>
          </cell>
          <cell r="C195" t="str">
            <v>Ops</v>
          </cell>
          <cell r="D195" t="str">
            <v>HK-SRL</v>
          </cell>
          <cell r="E195">
            <v>0</v>
          </cell>
          <cell r="F195" t="str">
            <v>Desktop Refreshments</v>
          </cell>
          <cell r="G195" t="str">
            <v>Software Upgrade</v>
          </cell>
          <cell r="H195" t="str">
            <v>RL</v>
          </cell>
          <cell r="I195" t="str">
            <v>Software One</v>
          </cell>
          <cell r="J195" t="str">
            <v>HKD</v>
          </cell>
          <cell r="K195">
            <v>3000</v>
          </cell>
          <cell r="L195" t="str">
            <v>HKD</v>
          </cell>
          <cell r="M195">
            <v>3000</v>
          </cell>
          <cell r="N195">
            <v>1</v>
          </cell>
          <cell r="O195">
            <v>11</v>
          </cell>
          <cell r="P195">
            <v>48</v>
          </cell>
          <cell r="Q195">
            <v>687.5</v>
          </cell>
        </row>
        <row r="196">
          <cell r="A196" t="str">
            <v>Refreshment</v>
          </cell>
          <cell r="B196">
            <v>2016</v>
          </cell>
          <cell r="C196" t="str">
            <v>Ops</v>
          </cell>
          <cell r="D196" t="str">
            <v>HK-VPSL</v>
          </cell>
          <cell r="E196">
            <v>0</v>
          </cell>
          <cell r="F196" t="str">
            <v>Desktop Refreshments</v>
          </cell>
          <cell r="G196" t="str">
            <v>PC Replacement</v>
          </cell>
          <cell r="H196" t="str">
            <v>VPSL</v>
          </cell>
          <cell r="I196" t="str">
            <v>HP</v>
          </cell>
          <cell r="J196" t="str">
            <v>HKD</v>
          </cell>
          <cell r="K196">
            <v>112483</v>
          </cell>
          <cell r="L196" t="str">
            <v>HKD</v>
          </cell>
          <cell r="M196">
            <v>112483</v>
          </cell>
          <cell r="N196">
            <v>1</v>
          </cell>
          <cell r="O196">
            <v>11</v>
          </cell>
          <cell r="P196">
            <v>48</v>
          </cell>
          <cell r="Q196">
            <v>25777.354166666668</v>
          </cell>
        </row>
        <row r="197">
          <cell r="A197" t="str">
            <v>Refreshment</v>
          </cell>
          <cell r="B197">
            <v>2016</v>
          </cell>
          <cell r="C197" t="str">
            <v>Ops</v>
          </cell>
          <cell r="D197" t="str">
            <v>HK-VPSL</v>
          </cell>
          <cell r="E197">
            <v>0</v>
          </cell>
          <cell r="F197" t="str">
            <v>Desktop Refreshments</v>
          </cell>
          <cell r="G197" t="str">
            <v>Monitor Replacement</v>
          </cell>
          <cell r="H197" t="str">
            <v>VPSL</v>
          </cell>
          <cell r="I197" t="str">
            <v>HP</v>
          </cell>
          <cell r="J197" t="str">
            <v>HKD</v>
          </cell>
          <cell r="K197">
            <v>14850</v>
          </cell>
          <cell r="L197" t="str">
            <v>HKD</v>
          </cell>
          <cell r="M197">
            <v>14850</v>
          </cell>
          <cell r="N197">
            <v>1</v>
          </cell>
          <cell r="O197">
            <v>11</v>
          </cell>
          <cell r="P197">
            <v>48</v>
          </cell>
          <cell r="Q197">
            <v>3403.125</v>
          </cell>
        </row>
        <row r="198">
          <cell r="A198" t="str">
            <v>Refreshment</v>
          </cell>
          <cell r="B198">
            <v>2016</v>
          </cell>
          <cell r="C198" t="str">
            <v>Ops</v>
          </cell>
          <cell r="D198" t="str">
            <v>HK-VPSL</v>
          </cell>
          <cell r="E198">
            <v>0</v>
          </cell>
          <cell r="F198" t="str">
            <v>Desktop Refreshments</v>
          </cell>
          <cell r="G198" t="str">
            <v>Software Upgrade</v>
          </cell>
          <cell r="H198" t="str">
            <v>VPSL</v>
          </cell>
          <cell r="I198" t="str">
            <v>Software One</v>
          </cell>
          <cell r="J198" t="str">
            <v>HKD</v>
          </cell>
          <cell r="K198">
            <v>5000</v>
          </cell>
          <cell r="L198" t="str">
            <v>HKD</v>
          </cell>
          <cell r="M198">
            <v>5000</v>
          </cell>
          <cell r="N198">
            <v>1</v>
          </cell>
          <cell r="O198">
            <v>11</v>
          </cell>
          <cell r="P198">
            <v>48</v>
          </cell>
          <cell r="Q198">
            <v>1145.8333333333335</v>
          </cell>
        </row>
        <row r="199">
          <cell r="A199" t="str">
            <v>Refreshment</v>
          </cell>
          <cell r="B199">
            <v>2016</v>
          </cell>
          <cell r="C199" t="str">
            <v>Edmond</v>
          </cell>
          <cell r="D199" t="str">
            <v>TH</v>
          </cell>
          <cell r="E199">
            <v>0</v>
          </cell>
          <cell r="F199" t="str">
            <v>Desktop Refreshments</v>
          </cell>
          <cell r="G199" t="str">
            <v>Software upgrade</v>
          </cell>
          <cell r="H199" t="str">
            <v>TH</v>
          </cell>
          <cell r="I199">
            <v>0</v>
          </cell>
          <cell r="J199" t="str">
            <v>HKD</v>
          </cell>
          <cell r="K199">
            <v>70548</v>
          </cell>
          <cell r="L199" t="str">
            <v>HKD</v>
          </cell>
          <cell r="M199">
            <v>70548</v>
          </cell>
          <cell r="N199">
            <v>2</v>
          </cell>
          <cell r="O199">
            <v>10</v>
          </cell>
          <cell r="P199">
            <v>48</v>
          </cell>
          <cell r="Q199">
            <v>14697.5</v>
          </cell>
        </row>
        <row r="200">
          <cell r="A200" t="str">
            <v>Refreshment</v>
          </cell>
          <cell r="B200">
            <v>2017</v>
          </cell>
          <cell r="C200" t="str">
            <v>Ops</v>
          </cell>
          <cell r="D200" t="str">
            <v>HK-MSL</v>
          </cell>
          <cell r="E200">
            <v>0</v>
          </cell>
          <cell r="F200" t="str">
            <v>Desktop Refreshments</v>
          </cell>
          <cell r="G200" t="str">
            <v>PC Replacement</v>
          </cell>
          <cell r="H200" t="str">
            <v>MSL</v>
          </cell>
          <cell r="I200" t="str">
            <v>HP</v>
          </cell>
          <cell r="J200" t="str">
            <v>HKD</v>
          </cell>
          <cell r="K200">
            <v>23250</v>
          </cell>
          <cell r="L200" t="str">
            <v>HKD</v>
          </cell>
          <cell r="M200">
            <v>23250</v>
          </cell>
          <cell r="N200">
            <v>1</v>
          </cell>
          <cell r="O200">
            <v>11</v>
          </cell>
          <cell r="P200">
            <v>48</v>
          </cell>
          <cell r="Q200">
            <v>5328.125</v>
          </cell>
        </row>
        <row r="201">
          <cell r="A201" t="str">
            <v>Refreshment</v>
          </cell>
          <cell r="B201">
            <v>2017</v>
          </cell>
          <cell r="C201" t="str">
            <v>Ops</v>
          </cell>
          <cell r="D201" t="str">
            <v>HK-MSL</v>
          </cell>
          <cell r="E201">
            <v>0</v>
          </cell>
          <cell r="F201" t="str">
            <v>Desktop Refreshments</v>
          </cell>
          <cell r="G201" t="str">
            <v>Monitor Replacement</v>
          </cell>
          <cell r="H201" t="str">
            <v>MSL</v>
          </cell>
          <cell r="I201" t="str">
            <v>HP</v>
          </cell>
          <cell r="J201" t="str">
            <v>HKD</v>
          </cell>
          <cell r="K201">
            <v>9000</v>
          </cell>
          <cell r="L201" t="str">
            <v>HKD</v>
          </cell>
          <cell r="M201">
            <v>9000</v>
          </cell>
          <cell r="N201">
            <v>1</v>
          </cell>
          <cell r="O201">
            <v>11</v>
          </cell>
          <cell r="P201">
            <v>48</v>
          </cell>
          <cell r="Q201">
            <v>2062.5</v>
          </cell>
        </row>
        <row r="202">
          <cell r="A202" t="str">
            <v>Refreshment</v>
          </cell>
          <cell r="B202">
            <v>2017</v>
          </cell>
          <cell r="C202" t="str">
            <v>Ops</v>
          </cell>
          <cell r="D202" t="str">
            <v>HK-MSL</v>
          </cell>
          <cell r="E202">
            <v>0</v>
          </cell>
          <cell r="F202" t="str">
            <v>Desktop Refreshments</v>
          </cell>
          <cell r="G202" t="str">
            <v>PC Software Upgrade</v>
          </cell>
          <cell r="H202" t="str">
            <v>MSL</v>
          </cell>
          <cell r="I202" t="str">
            <v>Software One</v>
          </cell>
          <cell r="J202" t="str">
            <v>HKD</v>
          </cell>
          <cell r="K202">
            <v>20000</v>
          </cell>
          <cell r="L202" t="str">
            <v>HKD</v>
          </cell>
          <cell r="M202">
            <v>20000</v>
          </cell>
          <cell r="N202">
            <v>1</v>
          </cell>
          <cell r="O202">
            <v>11</v>
          </cell>
          <cell r="P202">
            <v>48</v>
          </cell>
          <cell r="Q202">
            <v>4583.3333333333339</v>
          </cell>
        </row>
        <row r="203">
          <cell r="A203" t="str">
            <v>Refreshment</v>
          </cell>
          <cell r="B203">
            <v>2017</v>
          </cell>
          <cell r="C203" t="str">
            <v>Ops</v>
          </cell>
          <cell r="D203" t="str">
            <v>HK-GPML</v>
          </cell>
          <cell r="E203">
            <v>0</v>
          </cell>
          <cell r="F203" t="str">
            <v>Desktop Refreshments</v>
          </cell>
          <cell r="G203" t="str">
            <v>PC Replacement</v>
          </cell>
          <cell r="H203" t="str">
            <v>GPML</v>
          </cell>
          <cell r="I203" t="str">
            <v>HP</v>
          </cell>
          <cell r="J203" t="str">
            <v>HKD</v>
          </cell>
          <cell r="K203">
            <v>73359</v>
          </cell>
          <cell r="L203" t="str">
            <v>HKD</v>
          </cell>
          <cell r="M203">
            <v>73359</v>
          </cell>
          <cell r="N203">
            <v>1</v>
          </cell>
          <cell r="O203">
            <v>11</v>
          </cell>
          <cell r="P203">
            <v>48</v>
          </cell>
          <cell r="Q203">
            <v>16811.4375</v>
          </cell>
        </row>
        <row r="204">
          <cell r="A204" t="str">
            <v>Refreshment</v>
          </cell>
          <cell r="B204">
            <v>2017</v>
          </cell>
          <cell r="C204" t="str">
            <v>Ops</v>
          </cell>
          <cell r="D204" t="str">
            <v>HK-GPML</v>
          </cell>
          <cell r="E204">
            <v>0</v>
          </cell>
          <cell r="F204" t="str">
            <v>Desktop Refreshments</v>
          </cell>
          <cell r="G204" t="str">
            <v>Monitor Replacement</v>
          </cell>
          <cell r="H204" t="str">
            <v>GPML</v>
          </cell>
          <cell r="I204" t="str">
            <v>HP</v>
          </cell>
          <cell r="J204" t="str">
            <v>HKD</v>
          </cell>
          <cell r="K204">
            <v>20000</v>
          </cell>
          <cell r="L204" t="str">
            <v>HKD</v>
          </cell>
          <cell r="M204">
            <v>20000</v>
          </cell>
          <cell r="N204">
            <v>1</v>
          </cell>
          <cell r="O204">
            <v>11</v>
          </cell>
          <cell r="P204">
            <v>48</v>
          </cell>
          <cell r="Q204">
            <v>4583.3333333333339</v>
          </cell>
        </row>
        <row r="205">
          <cell r="A205" t="str">
            <v>Refreshment</v>
          </cell>
          <cell r="B205">
            <v>2017</v>
          </cell>
          <cell r="C205" t="str">
            <v>Ops</v>
          </cell>
          <cell r="D205" t="str">
            <v>HK-GPML</v>
          </cell>
          <cell r="E205">
            <v>0</v>
          </cell>
          <cell r="F205" t="str">
            <v>Desktop Refreshments</v>
          </cell>
          <cell r="G205" t="str">
            <v>PC Software Upgrade</v>
          </cell>
          <cell r="H205" t="str">
            <v>GPML</v>
          </cell>
          <cell r="I205" t="str">
            <v>Software One</v>
          </cell>
          <cell r="J205" t="str">
            <v>HKD</v>
          </cell>
          <cell r="K205">
            <v>20000</v>
          </cell>
          <cell r="L205" t="str">
            <v>HKD</v>
          </cell>
          <cell r="M205">
            <v>20000</v>
          </cell>
          <cell r="N205">
            <v>1</v>
          </cell>
          <cell r="O205">
            <v>11</v>
          </cell>
          <cell r="P205">
            <v>48</v>
          </cell>
          <cell r="Q205">
            <v>4583.3333333333339</v>
          </cell>
        </row>
        <row r="206">
          <cell r="A206" t="str">
            <v>Refreshment</v>
          </cell>
          <cell r="B206">
            <v>2017</v>
          </cell>
          <cell r="C206" t="str">
            <v>Ops</v>
          </cell>
          <cell r="D206" t="str">
            <v>HK-SPML</v>
          </cell>
          <cell r="E206">
            <v>0</v>
          </cell>
          <cell r="F206" t="str">
            <v>Desktop Refreshments</v>
          </cell>
          <cell r="G206" t="str">
            <v>PC Replacement</v>
          </cell>
          <cell r="H206" t="str">
            <v>SPML</v>
          </cell>
          <cell r="I206" t="str">
            <v>HP</v>
          </cell>
          <cell r="J206" t="str">
            <v>HKD</v>
          </cell>
          <cell r="K206">
            <v>229858</v>
          </cell>
          <cell r="L206" t="str">
            <v>HKD</v>
          </cell>
          <cell r="M206">
            <v>229858</v>
          </cell>
          <cell r="N206">
            <v>1</v>
          </cell>
          <cell r="O206">
            <v>11</v>
          </cell>
          <cell r="P206">
            <v>48</v>
          </cell>
          <cell r="Q206">
            <v>52675.791666666664</v>
          </cell>
        </row>
        <row r="207">
          <cell r="A207" t="str">
            <v>Refreshment</v>
          </cell>
          <cell r="B207">
            <v>2017</v>
          </cell>
          <cell r="C207" t="str">
            <v>Ops</v>
          </cell>
          <cell r="D207" t="str">
            <v>HK-SPML</v>
          </cell>
          <cell r="E207">
            <v>0</v>
          </cell>
          <cell r="F207" t="str">
            <v>Desktop Refreshments</v>
          </cell>
          <cell r="G207" t="str">
            <v>Monitor Replacement</v>
          </cell>
          <cell r="H207" t="str">
            <v>SPML</v>
          </cell>
          <cell r="I207" t="str">
            <v>HP</v>
          </cell>
          <cell r="J207" t="str">
            <v>HKD</v>
          </cell>
          <cell r="K207">
            <v>20000</v>
          </cell>
          <cell r="L207" t="str">
            <v>HKD</v>
          </cell>
          <cell r="M207">
            <v>20000</v>
          </cell>
          <cell r="N207">
            <v>1</v>
          </cell>
          <cell r="O207">
            <v>11</v>
          </cell>
          <cell r="P207">
            <v>48</v>
          </cell>
          <cell r="Q207">
            <v>4583.3333333333339</v>
          </cell>
        </row>
        <row r="208">
          <cell r="A208" t="str">
            <v>Refreshment</v>
          </cell>
          <cell r="B208">
            <v>2017</v>
          </cell>
          <cell r="C208" t="str">
            <v>Ops</v>
          </cell>
          <cell r="D208" t="str">
            <v>HK-SPML</v>
          </cell>
          <cell r="E208">
            <v>0</v>
          </cell>
          <cell r="F208" t="str">
            <v>Desktop Refreshments</v>
          </cell>
          <cell r="G208" t="str">
            <v>PC Software Upgrade</v>
          </cell>
          <cell r="H208" t="str">
            <v>SPML</v>
          </cell>
          <cell r="I208" t="str">
            <v>Software One</v>
          </cell>
          <cell r="J208" t="str">
            <v>HKD</v>
          </cell>
          <cell r="K208">
            <v>30000</v>
          </cell>
          <cell r="L208" t="str">
            <v>HKD</v>
          </cell>
          <cell r="M208">
            <v>30000</v>
          </cell>
          <cell r="N208">
            <v>1</v>
          </cell>
          <cell r="O208">
            <v>11</v>
          </cell>
          <cell r="P208">
            <v>48</v>
          </cell>
          <cell r="Q208">
            <v>6875</v>
          </cell>
        </row>
        <row r="209">
          <cell r="A209" t="str">
            <v>Refreshment</v>
          </cell>
          <cell r="B209">
            <v>2017</v>
          </cell>
          <cell r="C209" t="str">
            <v>Ops</v>
          </cell>
          <cell r="D209" t="str">
            <v>HK-SHKL</v>
          </cell>
          <cell r="E209">
            <v>0</v>
          </cell>
          <cell r="F209" t="str">
            <v>Desktop Refreshments</v>
          </cell>
          <cell r="G209" t="str">
            <v>PC Replacement</v>
          </cell>
          <cell r="H209" t="str">
            <v>HKL</v>
          </cell>
          <cell r="I209" t="str">
            <v>HP</v>
          </cell>
          <cell r="J209" t="str">
            <v>HKD</v>
          </cell>
          <cell r="K209">
            <v>486962</v>
          </cell>
          <cell r="L209" t="str">
            <v>HKD</v>
          </cell>
          <cell r="M209">
            <v>486962</v>
          </cell>
          <cell r="N209">
            <v>1</v>
          </cell>
          <cell r="O209">
            <v>11</v>
          </cell>
          <cell r="P209">
            <v>48</v>
          </cell>
          <cell r="Q209">
            <v>111595.45833333333</v>
          </cell>
        </row>
        <row r="210">
          <cell r="A210" t="str">
            <v>Refreshment</v>
          </cell>
          <cell r="B210">
            <v>2017</v>
          </cell>
          <cell r="C210" t="str">
            <v>Ops</v>
          </cell>
          <cell r="D210" t="str">
            <v>HK-SHKL</v>
          </cell>
          <cell r="E210">
            <v>0</v>
          </cell>
          <cell r="F210" t="str">
            <v>Desktop Refreshments</v>
          </cell>
          <cell r="G210" t="str">
            <v>Monitor Replacement</v>
          </cell>
          <cell r="H210" t="str">
            <v>HKL</v>
          </cell>
          <cell r="I210" t="str">
            <v>HP</v>
          </cell>
          <cell r="J210" t="str">
            <v>HKD</v>
          </cell>
          <cell r="K210">
            <v>44892</v>
          </cell>
          <cell r="L210" t="str">
            <v>HKD</v>
          </cell>
          <cell r="M210">
            <v>44892</v>
          </cell>
          <cell r="N210">
            <v>1</v>
          </cell>
          <cell r="O210">
            <v>11</v>
          </cell>
          <cell r="P210">
            <v>48</v>
          </cell>
          <cell r="Q210">
            <v>10287.75</v>
          </cell>
        </row>
        <row r="211">
          <cell r="A211" t="str">
            <v>Refreshment</v>
          </cell>
          <cell r="B211">
            <v>2017</v>
          </cell>
          <cell r="C211" t="str">
            <v>Ops</v>
          </cell>
          <cell r="D211" t="str">
            <v>HK-SHKL</v>
          </cell>
          <cell r="E211">
            <v>0</v>
          </cell>
          <cell r="F211" t="str">
            <v>Desktop Refreshments</v>
          </cell>
          <cell r="G211" t="str">
            <v xml:space="preserve">PC Software Upgrade </v>
          </cell>
          <cell r="H211" t="str">
            <v>HKL</v>
          </cell>
          <cell r="I211" t="str">
            <v>Software One</v>
          </cell>
          <cell r="J211" t="str">
            <v>HKD</v>
          </cell>
          <cell r="K211">
            <v>60000</v>
          </cell>
          <cell r="L211" t="str">
            <v>HKD</v>
          </cell>
          <cell r="M211">
            <v>60000</v>
          </cell>
          <cell r="N211">
            <v>1</v>
          </cell>
          <cell r="O211">
            <v>11</v>
          </cell>
          <cell r="P211">
            <v>48</v>
          </cell>
          <cell r="Q211">
            <v>13750</v>
          </cell>
        </row>
        <row r="212">
          <cell r="A212" t="str">
            <v>Refreshment</v>
          </cell>
          <cell r="B212">
            <v>2017</v>
          </cell>
          <cell r="C212" t="str">
            <v>Ops</v>
          </cell>
          <cell r="D212" t="str">
            <v>HK-SRL</v>
          </cell>
          <cell r="E212">
            <v>0</v>
          </cell>
          <cell r="F212" t="str">
            <v>Desktop Refreshments</v>
          </cell>
          <cell r="G212" t="str">
            <v>PC Replacement</v>
          </cell>
          <cell r="H212" t="str">
            <v>RL</v>
          </cell>
          <cell r="I212" t="str">
            <v>HP</v>
          </cell>
          <cell r="J212" t="str">
            <v>HKD</v>
          </cell>
          <cell r="K212">
            <v>24453</v>
          </cell>
          <cell r="L212" t="str">
            <v>HKD</v>
          </cell>
          <cell r="M212">
            <v>24453</v>
          </cell>
          <cell r="N212">
            <v>1</v>
          </cell>
          <cell r="O212">
            <v>11</v>
          </cell>
          <cell r="P212">
            <v>48</v>
          </cell>
          <cell r="Q212">
            <v>5603.8125</v>
          </cell>
        </row>
        <row r="213">
          <cell r="A213" t="str">
            <v>Refreshment</v>
          </cell>
          <cell r="B213">
            <v>2017</v>
          </cell>
          <cell r="C213" t="str">
            <v>Ops</v>
          </cell>
          <cell r="D213" t="str">
            <v>HK-SRL</v>
          </cell>
          <cell r="E213">
            <v>0</v>
          </cell>
          <cell r="F213" t="str">
            <v>Desktop Refreshments</v>
          </cell>
          <cell r="G213" t="str">
            <v>Monitor Replacement</v>
          </cell>
          <cell r="H213" t="str">
            <v>RL</v>
          </cell>
          <cell r="I213" t="str">
            <v>HP</v>
          </cell>
          <cell r="J213" t="str">
            <v>HKD</v>
          </cell>
          <cell r="K213">
            <v>9000</v>
          </cell>
          <cell r="L213" t="str">
            <v>HKD</v>
          </cell>
          <cell r="M213">
            <v>9000</v>
          </cell>
          <cell r="N213">
            <v>1</v>
          </cell>
          <cell r="O213">
            <v>11</v>
          </cell>
          <cell r="P213">
            <v>48</v>
          </cell>
          <cell r="Q213">
            <v>2062.5</v>
          </cell>
        </row>
        <row r="214">
          <cell r="A214" t="str">
            <v>Refreshment</v>
          </cell>
          <cell r="B214">
            <v>2017</v>
          </cell>
          <cell r="C214" t="str">
            <v>Ops</v>
          </cell>
          <cell r="D214" t="str">
            <v>HK-SRL</v>
          </cell>
          <cell r="E214">
            <v>0</v>
          </cell>
          <cell r="F214" t="str">
            <v>Desktop Refreshments</v>
          </cell>
          <cell r="G214" t="str">
            <v>Software Upgrade</v>
          </cell>
          <cell r="H214" t="str">
            <v>RL</v>
          </cell>
          <cell r="I214" t="str">
            <v>Software One</v>
          </cell>
          <cell r="J214" t="str">
            <v>HKD</v>
          </cell>
          <cell r="K214">
            <v>3000</v>
          </cell>
          <cell r="L214" t="str">
            <v>HKD</v>
          </cell>
          <cell r="M214">
            <v>3000</v>
          </cell>
          <cell r="N214">
            <v>1</v>
          </cell>
          <cell r="O214">
            <v>11</v>
          </cell>
          <cell r="P214">
            <v>48</v>
          </cell>
          <cell r="Q214">
            <v>687.5</v>
          </cell>
        </row>
        <row r="215">
          <cell r="A215" t="str">
            <v>Refreshment</v>
          </cell>
          <cell r="B215">
            <v>2017</v>
          </cell>
          <cell r="C215" t="str">
            <v>Ops</v>
          </cell>
          <cell r="D215" t="str">
            <v>HK-VPSL</v>
          </cell>
          <cell r="E215">
            <v>0</v>
          </cell>
          <cell r="F215" t="str">
            <v>Desktop Refreshments</v>
          </cell>
          <cell r="G215" t="str">
            <v>PC Replacement</v>
          </cell>
          <cell r="H215" t="str">
            <v>VPSL</v>
          </cell>
          <cell r="I215" t="str">
            <v>HP</v>
          </cell>
          <cell r="J215" t="str">
            <v>HKD</v>
          </cell>
          <cell r="K215">
            <v>88030</v>
          </cell>
          <cell r="L215" t="str">
            <v>HKD</v>
          </cell>
          <cell r="M215">
            <v>88030</v>
          </cell>
          <cell r="N215">
            <v>1</v>
          </cell>
          <cell r="O215">
            <v>11</v>
          </cell>
          <cell r="P215">
            <v>48</v>
          </cell>
          <cell r="Q215">
            <v>20173.541666666664</v>
          </cell>
        </row>
        <row r="216">
          <cell r="A216" t="str">
            <v>Refreshment</v>
          </cell>
          <cell r="B216">
            <v>2017</v>
          </cell>
          <cell r="C216" t="str">
            <v>Ops</v>
          </cell>
          <cell r="D216" t="str">
            <v>HK-VPSL</v>
          </cell>
          <cell r="E216">
            <v>0</v>
          </cell>
          <cell r="F216" t="str">
            <v>Desktop Refreshments</v>
          </cell>
          <cell r="G216" t="str">
            <v>Monitor Replacement</v>
          </cell>
          <cell r="H216" t="str">
            <v>VPSL</v>
          </cell>
          <cell r="I216" t="str">
            <v>HP</v>
          </cell>
          <cell r="J216" t="str">
            <v>HKD</v>
          </cell>
          <cell r="K216">
            <v>14850</v>
          </cell>
          <cell r="L216" t="str">
            <v>HKD</v>
          </cell>
          <cell r="M216">
            <v>14850</v>
          </cell>
          <cell r="N216">
            <v>1</v>
          </cell>
          <cell r="O216">
            <v>11</v>
          </cell>
          <cell r="P216">
            <v>48</v>
          </cell>
          <cell r="Q216">
            <v>3403.125</v>
          </cell>
        </row>
        <row r="217">
          <cell r="A217" t="str">
            <v>Refreshment</v>
          </cell>
          <cell r="B217">
            <v>2017</v>
          </cell>
          <cell r="C217" t="str">
            <v>Ops</v>
          </cell>
          <cell r="D217" t="str">
            <v>HK-VPSL</v>
          </cell>
          <cell r="E217">
            <v>0</v>
          </cell>
          <cell r="F217" t="str">
            <v>Desktop Refreshments</v>
          </cell>
          <cell r="G217" t="str">
            <v>Software Upgrade</v>
          </cell>
          <cell r="H217" t="str">
            <v>VPSL</v>
          </cell>
          <cell r="I217" t="str">
            <v>Software One</v>
          </cell>
          <cell r="J217" t="str">
            <v>HKD</v>
          </cell>
          <cell r="K217">
            <v>5000</v>
          </cell>
          <cell r="L217" t="str">
            <v>HKD</v>
          </cell>
          <cell r="M217">
            <v>5000</v>
          </cell>
          <cell r="N217">
            <v>1</v>
          </cell>
          <cell r="O217">
            <v>11</v>
          </cell>
          <cell r="P217">
            <v>48</v>
          </cell>
          <cell r="Q217">
            <v>1145.8333333333335</v>
          </cell>
        </row>
        <row r="218">
          <cell r="A218" t="str">
            <v>Refreshment</v>
          </cell>
          <cell r="B218">
            <v>2017</v>
          </cell>
          <cell r="C218" t="str">
            <v>Edmond</v>
          </cell>
          <cell r="D218" t="str">
            <v>TH</v>
          </cell>
          <cell r="E218">
            <v>0</v>
          </cell>
          <cell r="F218" t="str">
            <v>Desktop Refreshments</v>
          </cell>
          <cell r="G218" t="str">
            <v>Software upgrade</v>
          </cell>
          <cell r="H218" t="str">
            <v>TH</v>
          </cell>
          <cell r="I218">
            <v>0</v>
          </cell>
          <cell r="J218" t="str">
            <v>HKD</v>
          </cell>
          <cell r="K218">
            <v>24754</v>
          </cell>
          <cell r="L218" t="str">
            <v>HKD</v>
          </cell>
          <cell r="M218">
            <v>24754</v>
          </cell>
          <cell r="N218">
            <v>4</v>
          </cell>
          <cell r="O218">
            <v>8</v>
          </cell>
          <cell r="P218">
            <v>48</v>
          </cell>
          <cell r="Q218">
            <v>4125.666666666667</v>
          </cell>
        </row>
        <row r="219">
          <cell r="A219" t="str">
            <v>Refreshment</v>
          </cell>
          <cell r="B219">
            <v>2017</v>
          </cell>
          <cell r="C219" t="str">
            <v>Kassapa</v>
          </cell>
          <cell r="D219" t="str">
            <v>TH</v>
          </cell>
          <cell r="E219">
            <v>0</v>
          </cell>
          <cell r="F219" t="str">
            <v>Desktop Refreshments</v>
          </cell>
          <cell r="G219" t="str">
            <v>Purchase 4 set PC</v>
          </cell>
          <cell r="H219" t="str">
            <v>TH</v>
          </cell>
          <cell r="I219">
            <v>0</v>
          </cell>
          <cell r="J219" t="str">
            <v>THB</v>
          </cell>
          <cell r="K219">
            <v>82000</v>
          </cell>
          <cell r="L219" t="str">
            <v>HKD</v>
          </cell>
          <cell r="M219">
            <v>18171.2</v>
          </cell>
          <cell r="N219">
            <v>5</v>
          </cell>
          <cell r="O219">
            <v>7</v>
          </cell>
          <cell r="P219">
            <v>48</v>
          </cell>
          <cell r="Q219">
            <v>2649.9666666666667</v>
          </cell>
        </row>
        <row r="220">
          <cell r="A220" t="str">
            <v>Refreshment</v>
          </cell>
          <cell r="B220">
            <v>2017</v>
          </cell>
          <cell r="C220" t="str">
            <v>Kassapa</v>
          </cell>
          <cell r="D220" t="str">
            <v>TH</v>
          </cell>
          <cell r="E220">
            <v>0</v>
          </cell>
          <cell r="F220" t="str">
            <v>Desktop Refreshments</v>
          </cell>
          <cell r="G220" t="str">
            <v>Purchase 5 monitors (19")</v>
          </cell>
          <cell r="H220" t="str">
            <v>TH</v>
          </cell>
          <cell r="I220">
            <v>0</v>
          </cell>
          <cell r="J220" t="str">
            <v>THB</v>
          </cell>
          <cell r="K220">
            <v>30000</v>
          </cell>
          <cell r="L220" t="str">
            <v>HKD</v>
          </cell>
          <cell r="M220">
            <v>6648</v>
          </cell>
          <cell r="N220">
            <v>5</v>
          </cell>
          <cell r="O220">
            <v>7</v>
          </cell>
          <cell r="P220">
            <v>48</v>
          </cell>
          <cell r="Q220">
            <v>969.5</v>
          </cell>
        </row>
        <row r="221">
          <cell r="A221" t="str">
            <v>Refreshment</v>
          </cell>
          <cell r="B221">
            <v>2018</v>
          </cell>
          <cell r="C221" t="str">
            <v>Ops</v>
          </cell>
          <cell r="D221" t="str">
            <v>HK-GPML</v>
          </cell>
          <cell r="E221">
            <v>0</v>
          </cell>
          <cell r="F221" t="str">
            <v>Desktop Refreshments</v>
          </cell>
          <cell r="G221" t="str">
            <v>PC Replacement</v>
          </cell>
          <cell r="H221" t="str">
            <v>GPML</v>
          </cell>
          <cell r="I221" t="str">
            <v>HP</v>
          </cell>
          <cell r="J221" t="str">
            <v>HKD</v>
          </cell>
          <cell r="K221">
            <v>127155</v>
          </cell>
          <cell r="L221" t="str">
            <v>HKD</v>
          </cell>
          <cell r="M221">
            <v>127155</v>
          </cell>
          <cell r="N221">
            <v>1</v>
          </cell>
          <cell r="O221">
            <v>11</v>
          </cell>
          <cell r="P221">
            <v>48</v>
          </cell>
          <cell r="Q221">
            <v>29139.6875</v>
          </cell>
        </row>
        <row r="222">
          <cell r="A222" t="str">
            <v>Refreshment</v>
          </cell>
          <cell r="B222">
            <v>2018</v>
          </cell>
          <cell r="C222" t="str">
            <v>Ops</v>
          </cell>
          <cell r="D222" t="str">
            <v>HK-GPML</v>
          </cell>
          <cell r="E222">
            <v>0</v>
          </cell>
          <cell r="F222" t="str">
            <v>Desktop Refreshments</v>
          </cell>
          <cell r="G222" t="str">
            <v>Monitor Replacement</v>
          </cell>
          <cell r="H222" t="str">
            <v>GPML</v>
          </cell>
          <cell r="I222" t="str">
            <v>HP</v>
          </cell>
          <cell r="J222" t="str">
            <v>HKD</v>
          </cell>
          <cell r="K222">
            <v>20000</v>
          </cell>
          <cell r="L222" t="str">
            <v>HKD</v>
          </cell>
          <cell r="M222">
            <v>20000</v>
          </cell>
          <cell r="N222">
            <v>1</v>
          </cell>
          <cell r="O222">
            <v>11</v>
          </cell>
          <cell r="P222">
            <v>48</v>
          </cell>
          <cell r="Q222">
            <v>4583.3333333333339</v>
          </cell>
        </row>
        <row r="223">
          <cell r="A223" t="str">
            <v>Refreshment</v>
          </cell>
          <cell r="B223">
            <v>2018</v>
          </cell>
          <cell r="C223" t="str">
            <v>Ops</v>
          </cell>
          <cell r="D223" t="str">
            <v>HK-GPML</v>
          </cell>
          <cell r="E223">
            <v>0</v>
          </cell>
          <cell r="F223" t="str">
            <v>Desktop Refreshments</v>
          </cell>
          <cell r="G223" t="str">
            <v>PC Software Upgrade</v>
          </cell>
          <cell r="H223" t="str">
            <v>GPML</v>
          </cell>
          <cell r="I223" t="str">
            <v>Software One</v>
          </cell>
          <cell r="J223" t="str">
            <v>HKD</v>
          </cell>
          <cell r="K223">
            <v>20000</v>
          </cell>
          <cell r="L223" t="str">
            <v>HKD</v>
          </cell>
          <cell r="M223">
            <v>20000</v>
          </cell>
          <cell r="N223">
            <v>1</v>
          </cell>
          <cell r="O223">
            <v>11</v>
          </cell>
          <cell r="P223">
            <v>48</v>
          </cell>
          <cell r="Q223">
            <v>4583.3333333333339</v>
          </cell>
        </row>
        <row r="224">
          <cell r="A224" t="str">
            <v>Refreshment</v>
          </cell>
          <cell r="B224">
            <v>2018</v>
          </cell>
          <cell r="C224" t="str">
            <v>Ops</v>
          </cell>
          <cell r="D224" t="str">
            <v>HK-SPML</v>
          </cell>
          <cell r="E224">
            <v>0</v>
          </cell>
          <cell r="F224" t="str">
            <v>Desktop Refreshments</v>
          </cell>
          <cell r="G224" t="str">
            <v>PC Replacement</v>
          </cell>
          <cell r="H224" t="str">
            <v>SPML</v>
          </cell>
          <cell r="I224" t="str">
            <v>HP</v>
          </cell>
          <cell r="J224" t="str">
            <v>HKD</v>
          </cell>
          <cell r="K224">
            <v>122265</v>
          </cell>
          <cell r="L224" t="str">
            <v>HKD</v>
          </cell>
          <cell r="M224">
            <v>122265</v>
          </cell>
          <cell r="N224">
            <v>1</v>
          </cell>
          <cell r="O224">
            <v>11</v>
          </cell>
          <cell r="P224">
            <v>48</v>
          </cell>
          <cell r="Q224">
            <v>28019.0625</v>
          </cell>
        </row>
        <row r="225">
          <cell r="A225" t="str">
            <v>Refreshment</v>
          </cell>
          <cell r="B225">
            <v>2018</v>
          </cell>
          <cell r="C225" t="str">
            <v>Ops</v>
          </cell>
          <cell r="D225" t="str">
            <v>HK-SPML</v>
          </cell>
          <cell r="E225">
            <v>0</v>
          </cell>
          <cell r="F225" t="str">
            <v>Desktop Refreshments</v>
          </cell>
          <cell r="G225" t="str">
            <v>Monitor Replacement</v>
          </cell>
          <cell r="H225" t="str">
            <v>SPML</v>
          </cell>
          <cell r="I225" t="str">
            <v>HP</v>
          </cell>
          <cell r="J225" t="str">
            <v>HKD</v>
          </cell>
          <cell r="K225">
            <v>30000</v>
          </cell>
          <cell r="L225" t="str">
            <v>HKD</v>
          </cell>
          <cell r="M225">
            <v>30000</v>
          </cell>
          <cell r="N225">
            <v>1</v>
          </cell>
          <cell r="O225">
            <v>11</v>
          </cell>
          <cell r="P225">
            <v>48</v>
          </cell>
          <cell r="Q225">
            <v>6875</v>
          </cell>
        </row>
        <row r="226">
          <cell r="A226" t="str">
            <v>Refreshment</v>
          </cell>
          <cell r="B226">
            <v>2018</v>
          </cell>
          <cell r="C226" t="str">
            <v>Ops</v>
          </cell>
          <cell r="D226" t="str">
            <v>HK-SPML</v>
          </cell>
          <cell r="E226">
            <v>0</v>
          </cell>
          <cell r="F226" t="str">
            <v>Desktop Refreshments</v>
          </cell>
          <cell r="G226" t="str">
            <v>PC Software Upgrade</v>
          </cell>
          <cell r="H226" t="str">
            <v>SPML</v>
          </cell>
          <cell r="I226" t="str">
            <v>Software One</v>
          </cell>
          <cell r="J226" t="str">
            <v>HKD</v>
          </cell>
          <cell r="K226">
            <v>30000</v>
          </cell>
          <cell r="L226" t="str">
            <v>HKD</v>
          </cell>
          <cell r="M226">
            <v>30000</v>
          </cell>
          <cell r="N226">
            <v>1</v>
          </cell>
          <cell r="O226">
            <v>11</v>
          </cell>
          <cell r="P226">
            <v>48</v>
          </cell>
          <cell r="Q226">
            <v>6875</v>
          </cell>
        </row>
        <row r="227">
          <cell r="A227" t="str">
            <v>Refreshment</v>
          </cell>
          <cell r="B227">
            <v>2018</v>
          </cell>
          <cell r="C227" t="str">
            <v>Ops</v>
          </cell>
          <cell r="D227" t="str">
            <v>HK-SHKL</v>
          </cell>
          <cell r="E227">
            <v>0</v>
          </cell>
          <cell r="F227" t="str">
            <v>Desktop Refreshments</v>
          </cell>
          <cell r="G227" t="str">
            <v>PC Replacement</v>
          </cell>
          <cell r="H227" t="str">
            <v>HKL</v>
          </cell>
          <cell r="I227" t="str">
            <v>HP</v>
          </cell>
          <cell r="J227" t="str">
            <v>HKD</v>
          </cell>
          <cell r="K227">
            <v>162593</v>
          </cell>
          <cell r="L227" t="str">
            <v>HKD</v>
          </cell>
          <cell r="M227">
            <v>162593</v>
          </cell>
          <cell r="N227">
            <v>1</v>
          </cell>
          <cell r="O227">
            <v>11</v>
          </cell>
          <cell r="P227">
            <v>48</v>
          </cell>
          <cell r="Q227">
            <v>37260.895833333328</v>
          </cell>
        </row>
        <row r="228">
          <cell r="A228" t="str">
            <v>Refreshment</v>
          </cell>
          <cell r="B228">
            <v>2018</v>
          </cell>
          <cell r="C228" t="str">
            <v>Ops</v>
          </cell>
          <cell r="D228" t="str">
            <v>HK-SHKL</v>
          </cell>
          <cell r="E228">
            <v>0</v>
          </cell>
          <cell r="F228" t="str">
            <v>Desktop Refreshments</v>
          </cell>
          <cell r="G228" t="str">
            <v>Monitor Replacement</v>
          </cell>
          <cell r="H228" t="str">
            <v>HKL</v>
          </cell>
          <cell r="I228" t="str">
            <v>HP</v>
          </cell>
          <cell r="J228" t="str">
            <v>HKD</v>
          </cell>
          <cell r="K228">
            <v>44892</v>
          </cell>
          <cell r="L228" t="str">
            <v>HKD</v>
          </cell>
          <cell r="M228">
            <v>44892</v>
          </cell>
          <cell r="N228">
            <v>1</v>
          </cell>
          <cell r="O228">
            <v>11</v>
          </cell>
          <cell r="P228">
            <v>48</v>
          </cell>
          <cell r="Q228">
            <v>10287.75</v>
          </cell>
        </row>
        <row r="229">
          <cell r="A229" t="str">
            <v>Refreshment</v>
          </cell>
          <cell r="B229">
            <v>2018</v>
          </cell>
          <cell r="C229" t="str">
            <v>Ops</v>
          </cell>
          <cell r="D229" t="str">
            <v>HK-SHKL</v>
          </cell>
          <cell r="E229">
            <v>0</v>
          </cell>
          <cell r="F229" t="str">
            <v>Desktop Refreshments</v>
          </cell>
          <cell r="G229" t="str">
            <v xml:space="preserve">PC Software Upgrade </v>
          </cell>
          <cell r="H229" t="str">
            <v>HKL</v>
          </cell>
          <cell r="I229" t="str">
            <v>Software One</v>
          </cell>
          <cell r="J229" t="str">
            <v>HKD</v>
          </cell>
          <cell r="K229">
            <v>60000</v>
          </cell>
          <cell r="L229" t="str">
            <v>HKD</v>
          </cell>
          <cell r="M229">
            <v>60000</v>
          </cell>
          <cell r="N229">
            <v>1</v>
          </cell>
          <cell r="O229">
            <v>11</v>
          </cell>
          <cell r="P229">
            <v>48</v>
          </cell>
          <cell r="Q229">
            <v>13750</v>
          </cell>
        </row>
        <row r="230">
          <cell r="A230" t="str">
            <v>Refreshment</v>
          </cell>
          <cell r="B230">
            <v>2018</v>
          </cell>
          <cell r="C230" t="str">
            <v>Ops</v>
          </cell>
          <cell r="D230" t="str">
            <v>HK-SRL</v>
          </cell>
          <cell r="E230">
            <v>0</v>
          </cell>
          <cell r="F230" t="str">
            <v>Desktop Refreshments</v>
          </cell>
          <cell r="G230" t="str">
            <v>PC Replacement</v>
          </cell>
          <cell r="H230" t="str">
            <v>RL</v>
          </cell>
          <cell r="I230" t="str">
            <v>HP</v>
          </cell>
          <cell r="J230" t="str">
            <v>HKD</v>
          </cell>
          <cell r="K230">
            <v>58687</v>
          </cell>
          <cell r="L230" t="str">
            <v>HKD</v>
          </cell>
          <cell r="M230">
            <v>58687</v>
          </cell>
          <cell r="N230">
            <v>1</v>
          </cell>
          <cell r="O230">
            <v>11</v>
          </cell>
          <cell r="P230">
            <v>48</v>
          </cell>
          <cell r="Q230">
            <v>13449.104166666666</v>
          </cell>
        </row>
        <row r="231">
          <cell r="A231" t="str">
            <v>Refreshment</v>
          </cell>
          <cell r="B231">
            <v>2018</v>
          </cell>
          <cell r="C231" t="str">
            <v>Ops</v>
          </cell>
          <cell r="D231" t="str">
            <v>HK-SRL</v>
          </cell>
          <cell r="E231">
            <v>0</v>
          </cell>
          <cell r="F231" t="str">
            <v>Desktop Refreshments</v>
          </cell>
          <cell r="G231" t="str">
            <v>Monitor Replacement</v>
          </cell>
          <cell r="H231" t="str">
            <v>RL</v>
          </cell>
          <cell r="I231" t="str">
            <v>HP</v>
          </cell>
          <cell r="J231" t="str">
            <v>HKD</v>
          </cell>
          <cell r="K231">
            <v>9000</v>
          </cell>
          <cell r="L231" t="str">
            <v>HKD</v>
          </cell>
          <cell r="M231">
            <v>9000</v>
          </cell>
          <cell r="N231">
            <v>1</v>
          </cell>
          <cell r="O231">
            <v>11</v>
          </cell>
          <cell r="P231">
            <v>48</v>
          </cell>
          <cell r="Q231">
            <v>2062.5</v>
          </cell>
        </row>
        <row r="232">
          <cell r="A232" t="str">
            <v>Refreshment</v>
          </cell>
          <cell r="B232">
            <v>2018</v>
          </cell>
          <cell r="C232" t="str">
            <v>Ops</v>
          </cell>
          <cell r="D232" t="str">
            <v>HK-SRL</v>
          </cell>
          <cell r="E232">
            <v>0</v>
          </cell>
          <cell r="F232" t="str">
            <v>Desktop Refreshments</v>
          </cell>
          <cell r="G232" t="str">
            <v>Software Upgrade</v>
          </cell>
          <cell r="H232" t="str">
            <v>RL</v>
          </cell>
          <cell r="I232" t="str">
            <v>Software One</v>
          </cell>
          <cell r="J232" t="str">
            <v>HKD</v>
          </cell>
          <cell r="K232">
            <v>3000</v>
          </cell>
          <cell r="L232" t="str">
            <v>HKD</v>
          </cell>
          <cell r="M232">
            <v>3000</v>
          </cell>
          <cell r="N232">
            <v>1</v>
          </cell>
          <cell r="O232">
            <v>11</v>
          </cell>
          <cell r="P232">
            <v>48</v>
          </cell>
          <cell r="Q232">
            <v>687.5</v>
          </cell>
        </row>
        <row r="233">
          <cell r="A233" t="str">
            <v>Refreshment</v>
          </cell>
          <cell r="B233">
            <v>2018</v>
          </cell>
          <cell r="C233" t="str">
            <v>Ops</v>
          </cell>
          <cell r="D233" t="str">
            <v>HK-VPSL</v>
          </cell>
          <cell r="E233">
            <v>0</v>
          </cell>
          <cell r="F233" t="str">
            <v>Desktop Refreshments</v>
          </cell>
          <cell r="G233" t="str">
            <v>PC Replacement</v>
          </cell>
          <cell r="H233" t="str">
            <v>VPSL</v>
          </cell>
          <cell r="I233" t="str">
            <v>HP</v>
          </cell>
          <cell r="J233" t="str">
            <v>HKD</v>
          </cell>
          <cell r="K233">
            <v>63577</v>
          </cell>
          <cell r="L233" t="str">
            <v>HKD</v>
          </cell>
          <cell r="M233">
            <v>63577</v>
          </cell>
          <cell r="N233">
            <v>1</v>
          </cell>
          <cell r="O233">
            <v>11</v>
          </cell>
          <cell r="P233">
            <v>48</v>
          </cell>
          <cell r="Q233">
            <v>14569.729166666666</v>
          </cell>
        </row>
        <row r="234">
          <cell r="A234" t="str">
            <v>Refreshment</v>
          </cell>
          <cell r="B234">
            <v>2018</v>
          </cell>
          <cell r="C234" t="str">
            <v>Ops</v>
          </cell>
          <cell r="D234" t="str">
            <v>HK-VPSL</v>
          </cell>
          <cell r="E234">
            <v>0</v>
          </cell>
          <cell r="F234" t="str">
            <v>Desktop Refreshments</v>
          </cell>
          <cell r="G234" t="str">
            <v>Monitor Replacement</v>
          </cell>
          <cell r="H234" t="str">
            <v>VPSL</v>
          </cell>
          <cell r="I234" t="str">
            <v>HP</v>
          </cell>
          <cell r="J234" t="str">
            <v>HKD</v>
          </cell>
          <cell r="K234">
            <v>14850</v>
          </cell>
          <cell r="L234" t="str">
            <v>HKD</v>
          </cell>
          <cell r="M234">
            <v>14850</v>
          </cell>
          <cell r="N234">
            <v>1</v>
          </cell>
          <cell r="O234">
            <v>11</v>
          </cell>
          <cell r="P234">
            <v>48</v>
          </cell>
          <cell r="Q234">
            <v>3403.125</v>
          </cell>
        </row>
        <row r="235">
          <cell r="A235" t="str">
            <v>Refreshment</v>
          </cell>
          <cell r="B235">
            <v>2018</v>
          </cell>
          <cell r="C235" t="str">
            <v>Ops</v>
          </cell>
          <cell r="D235" t="str">
            <v>HK-VPSL</v>
          </cell>
          <cell r="E235">
            <v>0</v>
          </cell>
          <cell r="F235" t="str">
            <v>Desktop Refreshments</v>
          </cell>
          <cell r="G235" t="str">
            <v>Software Upgrade</v>
          </cell>
          <cell r="H235" t="str">
            <v>VPSL</v>
          </cell>
          <cell r="I235" t="str">
            <v>Software One</v>
          </cell>
          <cell r="J235" t="str">
            <v>HKD</v>
          </cell>
          <cell r="K235">
            <v>5000</v>
          </cell>
          <cell r="L235" t="str">
            <v>HKD</v>
          </cell>
          <cell r="M235">
            <v>5000</v>
          </cell>
          <cell r="N235">
            <v>1</v>
          </cell>
          <cell r="O235">
            <v>11</v>
          </cell>
          <cell r="P235">
            <v>48</v>
          </cell>
          <cell r="Q235">
            <v>1145.8333333333335</v>
          </cell>
        </row>
        <row r="236">
          <cell r="A236" t="str">
            <v>Refreshment</v>
          </cell>
          <cell r="B236">
            <v>2018</v>
          </cell>
          <cell r="C236" t="str">
            <v>Ops</v>
          </cell>
          <cell r="D236" t="str">
            <v>HK-MSL</v>
          </cell>
          <cell r="E236">
            <v>0</v>
          </cell>
          <cell r="F236" t="str">
            <v>Desktop Refreshments</v>
          </cell>
          <cell r="G236" t="str">
            <v>PC Replacement</v>
          </cell>
          <cell r="H236" t="str">
            <v>MSL</v>
          </cell>
          <cell r="I236" t="str">
            <v>HP</v>
          </cell>
          <cell r="J236" t="str">
            <v>HKD</v>
          </cell>
          <cell r="K236">
            <v>34320</v>
          </cell>
          <cell r="L236" t="str">
            <v>HKD</v>
          </cell>
          <cell r="M236">
            <v>34320</v>
          </cell>
          <cell r="N236">
            <v>1</v>
          </cell>
          <cell r="O236">
            <v>11</v>
          </cell>
          <cell r="P236">
            <v>48</v>
          </cell>
          <cell r="Q236">
            <v>7865</v>
          </cell>
        </row>
        <row r="237">
          <cell r="A237" t="str">
            <v>Refreshment</v>
          </cell>
          <cell r="B237">
            <v>2018</v>
          </cell>
          <cell r="C237" t="str">
            <v>Ops</v>
          </cell>
          <cell r="D237" t="str">
            <v>HK-MSL</v>
          </cell>
          <cell r="E237">
            <v>0</v>
          </cell>
          <cell r="F237" t="str">
            <v>Desktop Refreshments</v>
          </cell>
          <cell r="G237" t="str">
            <v>Monitor Replacement</v>
          </cell>
          <cell r="H237" t="str">
            <v>MSL</v>
          </cell>
          <cell r="I237" t="str">
            <v>HP</v>
          </cell>
          <cell r="J237" t="str">
            <v>HKD</v>
          </cell>
          <cell r="K237">
            <v>9000</v>
          </cell>
          <cell r="L237" t="str">
            <v>HKD</v>
          </cell>
          <cell r="M237">
            <v>9000</v>
          </cell>
          <cell r="N237">
            <v>1</v>
          </cell>
          <cell r="O237">
            <v>11</v>
          </cell>
          <cell r="P237">
            <v>48</v>
          </cell>
          <cell r="Q237">
            <v>2062.5</v>
          </cell>
        </row>
        <row r="238">
          <cell r="A238" t="str">
            <v>Refreshment</v>
          </cell>
          <cell r="B238">
            <v>2018</v>
          </cell>
          <cell r="C238" t="str">
            <v>Ops</v>
          </cell>
          <cell r="D238" t="str">
            <v>HK-MSL</v>
          </cell>
          <cell r="E238">
            <v>0</v>
          </cell>
          <cell r="F238" t="str">
            <v>Desktop Refreshments</v>
          </cell>
          <cell r="G238" t="str">
            <v>PC Software Upgrade</v>
          </cell>
          <cell r="H238" t="str">
            <v>MSL</v>
          </cell>
          <cell r="I238" t="str">
            <v>Software One</v>
          </cell>
          <cell r="J238" t="str">
            <v>HKD</v>
          </cell>
          <cell r="K238">
            <v>20000</v>
          </cell>
          <cell r="L238" t="str">
            <v>HKD</v>
          </cell>
          <cell r="M238">
            <v>20000</v>
          </cell>
          <cell r="N238">
            <v>1</v>
          </cell>
          <cell r="O238">
            <v>11</v>
          </cell>
          <cell r="P238">
            <v>48</v>
          </cell>
          <cell r="Q238">
            <v>4583.3333333333339</v>
          </cell>
        </row>
        <row r="239">
          <cell r="A239" t="str">
            <v>Refreshment</v>
          </cell>
          <cell r="B239">
            <v>2018</v>
          </cell>
          <cell r="C239" t="str">
            <v>Edmond</v>
          </cell>
          <cell r="D239" t="str">
            <v>TH</v>
          </cell>
          <cell r="E239">
            <v>0</v>
          </cell>
          <cell r="F239" t="str">
            <v>Desktop Refreshments</v>
          </cell>
          <cell r="G239" t="str">
            <v>Software upgrade</v>
          </cell>
          <cell r="H239" t="str">
            <v>TH</v>
          </cell>
          <cell r="I239">
            <v>0</v>
          </cell>
          <cell r="J239" t="str">
            <v>HKD</v>
          </cell>
          <cell r="K239">
            <v>24754</v>
          </cell>
          <cell r="L239" t="str">
            <v>HKD</v>
          </cell>
          <cell r="M239">
            <v>24754</v>
          </cell>
          <cell r="N239">
            <v>4</v>
          </cell>
          <cell r="O239">
            <v>8</v>
          </cell>
          <cell r="P239">
            <v>48</v>
          </cell>
          <cell r="Q239">
            <v>4125.666666666667</v>
          </cell>
        </row>
        <row r="240">
          <cell r="A240" t="str">
            <v>Refreshment</v>
          </cell>
          <cell r="B240">
            <v>2018</v>
          </cell>
          <cell r="C240" t="str">
            <v>Kassapa</v>
          </cell>
          <cell r="D240" t="str">
            <v>TH</v>
          </cell>
          <cell r="E240">
            <v>0</v>
          </cell>
          <cell r="F240" t="str">
            <v>Desktop Refreshments</v>
          </cell>
          <cell r="G240" t="str">
            <v>Purchase 20 set PC</v>
          </cell>
          <cell r="H240" t="str">
            <v>TH</v>
          </cell>
          <cell r="I240">
            <v>0</v>
          </cell>
          <cell r="J240" t="str">
            <v>THB</v>
          </cell>
          <cell r="K240">
            <v>410000</v>
          </cell>
          <cell r="L240" t="str">
            <v>HKD</v>
          </cell>
          <cell r="M240">
            <v>90856</v>
          </cell>
          <cell r="N240">
            <v>2</v>
          </cell>
          <cell r="O240">
            <v>10</v>
          </cell>
          <cell r="P240">
            <v>48</v>
          </cell>
          <cell r="Q240">
            <v>18928.333333333332</v>
          </cell>
        </row>
        <row r="241">
          <cell r="A241" t="str">
            <v>Refreshment</v>
          </cell>
          <cell r="B241">
            <v>2018</v>
          </cell>
          <cell r="C241" t="str">
            <v>Kassapa</v>
          </cell>
          <cell r="D241" t="str">
            <v>TH</v>
          </cell>
          <cell r="E241">
            <v>0</v>
          </cell>
          <cell r="F241" t="str">
            <v>Desktop Refreshments</v>
          </cell>
          <cell r="G241" t="str">
            <v>Purchase 5 monitors (19")</v>
          </cell>
          <cell r="H241" t="str">
            <v>TH</v>
          </cell>
          <cell r="I241">
            <v>0</v>
          </cell>
          <cell r="J241" t="str">
            <v>THB</v>
          </cell>
          <cell r="K241">
            <v>30000</v>
          </cell>
          <cell r="L241" t="str">
            <v>HKD</v>
          </cell>
          <cell r="M241">
            <v>6648</v>
          </cell>
          <cell r="N241">
            <v>2</v>
          </cell>
          <cell r="O241">
            <v>10</v>
          </cell>
          <cell r="P241">
            <v>48</v>
          </cell>
          <cell r="Q241">
            <v>1385</v>
          </cell>
        </row>
        <row r="242">
          <cell r="A242" t="str">
            <v>New Project</v>
          </cell>
          <cell r="B242">
            <v>2016</v>
          </cell>
          <cell r="C242" t="str">
            <v>Ops</v>
          </cell>
          <cell r="D242" t="str">
            <v>HK-GPML</v>
          </cell>
          <cell r="E242">
            <v>0</v>
          </cell>
          <cell r="F242" t="str">
            <v>DMS - Propose HR System implemnetation at GPML (ASTA)</v>
          </cell>
          <cell r="G242" t="str">
            <v>DMS - Propose HR System implemnetation at GPML (ASTA)</v>
          </cell>
          <cell r="H242" t="str">
            <v>GPML</v>
          </cell>
          <cell r="I242">
            <v>0</v>
          </cell>
          <cell r="J242" t="str">
            <v>HKD</v>
          </cell>
          <cell r="K242">
            <v>200000</v>
          </cell>
          <cell r="L242" t="str">
            <v>HKD</v>
          </cell>
          <cell r="M242">
            <v>200000</v>
          </cell>
          <cell r="N242">
            <v>1</v>
          </cell>
          <cell r="O242">
            <v>11</v>
          </cell>
          <cell r="P242">
            <v>48</v>
          </cell>
          <cell r="Q242">
            <v>45833.333333333336</v>
          </cell>
        </row>
        <row r="243">
          <cell r="A243" t="str">
            <v>Proposed Project</v>
          </cell>
          <cell r="B243">
            <v>2016</v>
          </cell>
          <cell r="C243" t="str">
            <v>Frankie</v>
          </cell>
          <cell r="D243" t="str">
            <v>HK-SPML</v>
          </cell>
          <cell r="E243">
            <v>0</v>
          </cell>
          <cell r="F243" t="str">
            <v>Document filing</v>
          </cell>
          <cell r="G243" t="str">
            <v>Reduce filing storage space in head office</v>
          </cell>
          <cell r="H243" t="str">
            <v>SPML</v>
          </cell>
          <cell r="I243">
            <v>0</v>
          </cell>
          <cell r="J243" t="str">
            <v>HKD</v>
          </cell>
          <cell r="K243">
            <v>1</v>
          </cell>
          <cell r="L243" t="str">
            <v>HKD</v>
          </cell>
          <cell r="M243">
            <v>1</v>
          </cell>
          <cell r="N243">
            <v>1</v>
          </cell>
          <cell r="O243">
            <v>11</v>
          </cell>
          <cell r="P243">
            <v>60</v>
          </cell>
          <cell r="Q243">
            <v>0.18333333333333332</v>
          </cell>
        </row>
        <row r="244">
          <cell r="A244" t="str">
            <v>Refreshment</v>
          </cell>
          <cell r="B244">
            <v>2015</v>
          </cell>
          <cell r="C244" t="str">
            <v>Quen</v>
          </cell>
          <cell r="D244" t="str">
            <v>VN</v>
          </cell>
          <cell r="E244">
            <v>0</v>
          </cell>
          <cell r="F244" t="str">
            <v>Domain Controller + File server ( Hanoi )</v>
          </cell>
          <cell r="G244" t="str">
            <v>Replace the VNFS2 server in HN</v>
          </cell>
          <cell r="H244" t="str">
            <v>VN</v>
          </cell>
          <cell r="I244" t="str">
            <v>HP</v>
          </cell>
          <cell r="J244" t="str">
            <v>VND</v>
          </cell>
          <cell r="K244">
            <v>300000000</v>
          </cell>
          <cell r="L244" t="str">
            <v>HKD</v>
          </cell>
          <cell r="M244">
            <v>120000</v>
          </cell>
          <cell r="N244">
            <v>3</v>
          </cell>
          <cell r="O244">
            <v>9</v>
          </cell>
          <cell r="P244">
            <v>48</v>
          </cell>
          <cell r="Q244">
            <v>22500</v>
          </cell>
        </row>
        <row r="245">
          <cell r="A245" t="str">
            <v>Expansion</v>
          </cell>
          <cell r="B245">
            <v>2015</v>
          </cell>
          <cell r="C245" t="str">
            <v>Jess</v>
          </cell>
          <cell r="D245" t="str">
            <v>SG</v>
          </cell>
          <cell r="E245">
            <v>0</v>
          </cell>
          <cell r="F245" t="str">
            <v>DPM</v>
          </cell>
          <cell r="G245" t="str">
            <v>Additonal HDD for DPM server</v>
          </cell>
          <cell r="H245" t="str">
            <v>SG</v>
          </cell>
          <cell r="I245" t="str">
            <v>HP</v>
          </cell>
          <cell r="J245" t="str">
            <v>SGD</v>
          </cell>
          <cell r="K245">
            <v>1500</v>
          </cell>
          <cell r="L245" t="str">
            <v>HKD</v>
          </cell>
          <cell r="M245">
            <v>8481.75</v>
          </cell>
          <cell r="N245">
            <v>4</v>
          </cell>
          <cell r="O245">
            <v>8</v>
          </cell>
          <cell r="P245">
            <v>48</v>
          </cell>
          <cell r="Q245">
            <v>1413.625</v>
          </cell>
        </row>
        <row r="246">
          <cell r="A246" t="str">
            <v>Refreshment</v>
          </cell>
          <cell r="B246">
            <v>2016</v>
          </cell>
          <cell r="C246" t="str">
            <v>Infra</v>
          </cell>
          <cell r="D246" t="str">
            <v>HK-MSL</v>
          </cell>
          <cell r="E246">
            <v>0</v>
          </cell>
          <cell r="F246" t="str">
            <v>DR - 2016 Reshment</v>
          </cell>
          <cell r="G246" t="str">
            <v>Disaster Recovery Refreshment Project - 3 Years</v>
          </cell>
          <cell r="H246" t="str">
            <v>MSL</v>
          </cell>
          <cell r="I246">
            <v>0</v>
          </cell>
          <cell r="J246" t="str">
            <v>HKD</v>
          </cell>
          <cell r="K246">
            <v>6000000</v>
          </cell>
          <cell r="L246" t="str">
            <v>HKD</v>
          </cell>
          <cell r="M246">
            <v>6000000</v>
          </cell>
          <cell r="N246">
            <v>6</v>
          </cell>
          <cell r="O246">
            <v>6</v>
          </cell>
          <cell r="P246">
            <v>48</v>
          </cell>
          <cell r="Q246">
            <v>750000</v>
          </cell>
        </row>
        <row r="247">
          <cell r="A247" t="str">
            <v>Proposed Project</v>
          </cell>
          <cell r="B247">
            <v>2015</v>
          </cell>
          <cell r="C247" t="str">
            <v>Jess</v>
          </cell>
          <cell r="D247" t="str">
            <v>SG</v>
          </cell>
          <cell r="E247">
            <v>0</v>
          </cell>
          <cell r="F247" t="str">
            <v>E-Expense</v>
          </cell>
          <cell r="G247" t="str">
            <v>Expense claim solution Singapore</v>
          </cell>
          <cell r="H247" t="str">
            <v>SG</v>
          </cell>
          <cell r="I247">
            <v>0</v>
          </cell>
          <cell r="J247" t="str">
            <v>SGD</v>
          </cell>
          <cell r="K247">
            <v>41000</v>
          </cell>
          <cell r="L247" t="str">
            <v>HKD</v>
          </cell>
          <cell r="M247">
            <v>231834.49999999997</v>
          </cell>
          <cell r="N247">
            <v>1</v>
          </cell>
          <cell r="O247">
            <v>11</v>
          </cell>
          <cell r="P247">
            <v>48</v>
          </cell>
          <cell r="Q247">
            <v>53128.739583333328</v>
          </cell>
        </row>
        <row r="248">
          <cell r="A248" t="str">
            <v>New Project</v>
          </cell>
          <cell r="B248">
            <v>2014</v>
          </cell>
          <cell r="C248" t="str">
            <v>Infra</v>
          </cell>
          <cell r="D248" t="str">
            <v>HK-MSL</v>
          </cell>
          <cell r="E248">
            <v>0</v>
          </cell>
          <cell r="F248" t="str">
            <v>Email reporting solution</v>
          </cell>
          <cell r="G248" t="str">
            <v>Exchange Details User Reporting</v>
          </cell>
          <cell r="H248" t="str">
            <v>AP Region</v>
          </cell>
          <cell r="I248">
            <v>0</v>
          </cell>
          <cell r="J248" t="str">
            <v>HKD</v>
          </cell>
          <cell r="K248">
            <v>120000</v>
          </cell>
          <cell r="L248" t="str">
            <v>HKD</v>
          </cell>
          <cell r="M248">
            <v>120000</v>
          </cell>
          <cell r="N248">
            <v>7</v>
          </cell>
          <cell r="O248">
            <v>5</v>
          </cell>
          <cell r="P248">
            <v>36</v>
          </cell>
          <cell r="Q248">
            <v>16666.666666666668</v>
          </cell>
        </row>
        <row r="249">
          <cell r="A249" t="str">
            <v>Refreshment</v>
          </cell>
          <cell r="B249">
            <v>2016</v>
          </cell>
          <cell r="C249" t="str">
            <v>Jess</v>
          </cell>
          <cell r="D249" t="str">
            <v>SG</v>
          </cell>
          <cell r="E249">
            <v>0</v>
          </cell>
          <cell r="F249" t="str">
            <v>Email Server</v>
          </cell>
          <cell r="G249" t="str">
            <v>Email server</v>
          </cell>
          <cell r="H249" t="str">
            <v>SG</v>
          </cell>
          <cell r="I249" t="str">
            <v>HP</v>
          </cell>
          <cell r="J249" t="str">
            <v>SGD</v>
          </cell>
          <cell r="K249">
            <v>26527.54</v>
          </cell>
          <cell r="L249" t="str">
            <v>HKD</v>
          </cell>
          <cell r="M249">
            <v>149999.97493</v>
          </cell>
          <cell r="N249">
            <v>9</v>
          </cell>
          <cell r="O249">
            <v>3</v>
          </cell>
          <cell r="P249">
            <v>36</v>
          </cell>
          <cell r="Q249">
            <v>12499.997910833334</v>
          </cell>
        </row>
        <row r="250">
          <cell r="A250" t="str">
            <v>New Project</v>
          </cell>
          <cell r="B250">
            <v>2016</v>
          </cell>
          <cell r="C250" t="str">
            <v>Hiroshi</v>
          </cell>
          <cell r="D250" t="str">
            <v>JP</v>
          </cell>
          <cell r="E250">
            <v>0</v>
          </cell>
          <cell r="F250" t="str">
            <v>Exchange 2013 Upgrade</v>
          </cell>
          <cell r="G250">
            <v>0</v>
          </cell>
          <cell r="H250" t="str">
            <v>JP</v>
          </cell>
          <cell r="I250">
            <v>0</v>
          </cell>
          <cell r="J250" t="str">
            <v>JPY</v>
          </cell>
          <cell r="K250">
            <v>2726890.4638930559</v>
          </cell>
          <cell r="L250" t="str">
            <v>HKD</v>
          </cell>
          <cell r="M250">
            <v>170703.3430397053</v>
          </cell>
          <cell r="N250">
            <v>1</v>
          </cell>
          <cell r="O250">
            <v>11</v>
          </cell>
          <cell r="P250">
            <v>36</v>
          </cell>
          <cell r="Q250">
            <v>52159.354817687723</v>
          </cell>
        </row>
        <row r="251">
          <cell r="A251" t="str">
            <v>New Project</v>
          </cell>
          <cell r="B251">
            <v>2016</v>
          </cell>
          <cell r="C251" t="str">
            <v>Edmond</v>
          </cell>
          <cell r="D251" t="str">
            <v>TH</v>
          </cell>
          <cell r="E251">
            <v>0</v>
          </cell>
          <cell r="F251" t="str">
            <v>Exchange 2013 Upgrade</v>
          </cell>
          <cell r="G251" t="str">
            <v>New Exchange server</v>
          </cell>
          <cell r="H251" t="str">
            <v>TH</v>
          </cell>
          <cell r="I251">
            <v>0</v>
          </cell>
          <cell r="J251" t="str">
            <v>HKD</v>
          </cell>
          <cell r="K251">
            <v>110000</v>
          </cell>
          <cell r="L251" t="str">
            <v>HKD</v>
          </cell>
          <cell r="M251">
            <v>110000</v>
          </cell>
          <cell r="N251">
            <v>9</v>
          </cell>
          <cell r="O251">
            <v>3</v>
          </cell>
          <cell r="P251">
            <v>36</v>
          </cell>
          <cell r="Q251">
            <v>9166.6666666666679</v>
          </cell>
        </row>
        <row r="252">
          <cell r="A252" t="str">
            <v>New Project</v>
          </cell>
          <cell r="B252">
            <v>2015</v>
          </cell>
          <cell r="C252" t="str">
            <v>Infra</v>
          </cell>
          <cell r="D252" t="str">
            <v>HK-MSL</v>
          </cell>
          <cell r="E252">
            <v>0</v>
          </cell>
          <cell r="F252" t="str">
            <v>Exchange 2013 Upgrade HK</v>
          </cell>
          <cell r="G252" t="str">
            <v>Exchange 2013 Upgrade HK (4 Servers)</v>
          </cell>
          <cell r="H252" t="str">
            <v>HK All</v>
          </cell>
          <cell r="I252">
            <v>0</v>
          </cell>
          <cell r="J252" t="str">
            <v>HKD</v>
          </cell>
          <cell r="K252">
            <v>600000</v>
          </cell>
          <cell r="L252" t="str">
            <v>HKD</v>
          </cell>
          <cell r="M252">
            <v>600000</v>
          </cell>
          <cell r="N252">
            <v>8</v>
          </cell>
          <cell r="O252">
            <v>4</v>
          </cell>
          <cell r="P252">
            <v>36</v>
          </cell>
          <cell r="Q252">
            <v>66666.666666666672</v>
          </cell>
        </row>
        <row r="253">
          <cell r="A253" t="str">
            <v>Refreshment</v>
          </cell>
          <cell r="B253">
            <v>2016</v>
          </cell>
          <cell r="C253" t="str">
            <v>Josh</v>
          </cell>
          <cell r="D253" t="str">
            <v>TW</v>
          </cell>
          <cell r="E253">
            <v>0</v>
          </cell>
          <cell r="F253" t="str">
            <v>Exchange Server</v>
          </cell>
          <cell r="G253" t="str">
            <v>Mail Server</v>
          </cell>
          <cell r="H253" t="str">
            <v>TW</v>
          </cell>
          <cell r="I253" t="str">
            <v>eTatung</v>
          </cell>
          <cell r="J253" t="str">
            <v>TWD</v>
          </cell>
          <cell r="K253">
            <v>400000</v>
          </cell>
          <cell r="L253" t="str">
            <v>HKD</v>
          </cell>
          <cell r="M253">
            <v>98000</v>
          </cell>
          <cell r="N253">
            <v>10</v>
          </cell>
          <cell r="O253">
            <v>2</v>
          </cell>
          <cell r="P253">
            <v>36</v>
          </cell>
          <cell r="Q253">
            <v>5444.4444444444443</v>
          </cell>
        </row>
        <row r="254">
          <cell r="A254" t="str">
            <v>Refreshment</v>
          </cell>
          <cell r="B254">
            <v>2014</v>
          </cell>
          <cell r="C254" t="str">
            <v>Hiroshi</v>
          </cell>
          <cell r="D254" t="str">
            <v>JP</v>
          </cell>
          <cell r="E254">
            <v>0</v>
          </cell>
          <cell r="F254" t="str">
            <v>File Server</v>
          </cell>
          <cell r="G254" t="str">
            <v>JPFS1</v>
          </cell>
          <cell r="H254" t="str">
            <v>JP</v>
          </cell>
          <cell r="I254" t="str">
            <v>HP</v>
          </cell>
          <cell r="J254" t="str">
            <v>JPY</v>
          </cell>
          <cell r="K254">
            <v>2887295.7852985295</v>
          </cell>
          <cell r="L254" t="str">
            <v>HKD</v>
          </cell>
          <cell r="M254">
            <v>180744.71615968796</v>
          </cell>
          <cell r="N254">
            <v>10</v>
          </cell>
          <cell r="O254">
            <v>2</v>
          </cell>
          <cell r="P254">
            <v>36</v>
          </cell>
          <cell r="Q254">
            <v>10041.373119982665</v>
          </cell>
        </row>
        <row r="255">
          <cell r="A255" t="str">
            <v>Refreshment</v>
          </cell>
          <cell r="B255">
            <v>2016</v>
          </cell>
          <cell r="C255" t="str">
            <v>Jess</v>
          </cell>
          <cell r="D255" t="str">
            <v>SG</v>
          </cell>
          <cell r="E255">
            <v>0</v>
          </cell>
          <cell r="F255" t="str">
            <v>File Server</v>
          </cell>
          <cell r="G255" t="str">
            <v>Server with disk enclosure</v>
          </cell>
          <cell r="H255" t="str">
            <v>SG</v>
          </cell>
          <cell r="I255" t="str">
            <v>HP</v>
          </cell>
          <cell r="J255" t="str">
            <v>SGD</v>
          </cell>
          <cell r="K255">
            <v>19958</v>
          </cell>
          <cell r="L255" t="str">
            <v>HKD</v>
          </cell>
          <cell r="M255">
            <v>112852.511</v>
          </cell>
          <cell r="N255">
            <v>4</v>
          </cell>
          <cell r="O255">
            <v>8</v>
          </cell>
          <cell r="P255">
            <v>36</v>
          </cell>
          <cell r="Q255">
            <v>25078.335777777778</v>
          </cell>
        </row>
        <row r="256">
          <cell r="A256" t="str">
            <v>Refreshment</v>
          </cell>
          <cell r="B256">
            <v>2016</v>
          </cell>
          <cell r="C256" t="str">
            <v>Josh</v>
          </cell>
          <cell r="D256" t="str">
            <v>TW</v>
          </cell>
          <cell r="E256">
            <v>0</v>
          </cell>
          <cell r="F256" t="str">
            <v>File Server + DC</v>
          </cell>
          <cell r="G256" t="str">
            <v>File Server + DC</v>
          </cell>
          <cell r="H256" t="str">
            <v>TW</v>
          </cell>
          <cell r="I256" t="str">
            <v>eTatung</v>
          </cell>
          <cell r="J256" t="str">
            <v>TWD</v>
          </cell>
          <cell r="K256">
            <v>400000</v>
          </cell>
          <cell r="L256" t="str">
            <v>HKD</v>
          </cell>
          <cell r="M256">
            <v>98000</v>
          </cell>
          <cell r="N256">
            <v>10</v>
          </cell>
          <cell r="O256">
            <v>2</v>
          </cell>
          <cell r="P256">
            <v>36</v>
          </cell>
          <cell r="Q256">
            <v>5444.4444444444443</v>
          </cell>
        </row>
        <row r="257">
          <cell r="A257" t="str">
            <v>Refreshment</v>
          </cell>
          <cell r="B257">
            <v>2015</v>
          </cell>
          <cell r="C257" t="str">
            <v>Jess</v>
          </cell>
          <cell r="D257" t="str">
            <v>SG</v>
          </cell>
          <cell r="E257">
            <v>0</v>
          </cell>
          <cell r="F257" t="str">
            <v>Firewall</v>
          </cell>
          <cell r="G257" t="str">
            <v>Sonicwall NSA 2600 (PT, CKH &amp; D10)</v>
          </cell>
          <cell r="H257" t="str">
            <v>SG</v>
          </cell>
          <cell r="I257" t="str">
            <v>JOS</v>
          </cell>
          <cell r="J257" t="str">
            <v>SGD</v>
          </cell>
          <cell r="K257">
            <v>61897.599999999999</v>
          </cell>
          <cell r="L257" t="str">
            <v>HKD</v>
          </cell>
          <cell r="M257">
            <v>349999.97919999994</v>
          </cell>
          <cell r="N257">
            <v>8</v>
          </cell>
          <cell r="O257">
            <v>4</v>
          </cell>
          <cell r="P257">
            <v>36</v>
          </cell>
          <cell r="Q257">
            <v>38888.886577777768</v>
          </cell>
        </row>
        <row r="258">
          <cell r="A258" t="str">
            <v>New Project</v>
          </cell>
          <cell r="B258">
            <v>2016</v>
          </cell>
          <cell r="C258" t="str">
            <v>Peter</v>
          </cell>
          <cell r="D258" t="str">
            <v>CN</v>
          </cell>
          <cell r="E258">
            <v>0</v>
          </cell>
          <cell r="F258" t="str">
            <v>Flex Property Management System</v>
          </cell>
          <cell r="G258" t="str">
            <v>FLEX PMS Server License (Covers all PM module)</v>
          </cell>
          <cell r="H258" t="str">
            <v>SH</v>
          </cell>
          <cell r="I258" t="str">
            <v>FlexSystem</v>
          </cell>
          <cell r="J258" t="str">
            <v>RMB</v>
          </cell>
          <cell r="K258">
            <v>650000</v>
          </cell>
          <cell r="L258" t="str">
            <v>HKD</v>
          </cell>
          <cell r="M258">
            <v>811525</v>
          </cell>
          <cell r="N258">
            <v>1</v>
          </cell>
          <cell r="O258">
            <v>11</v>
          </cell>
          <cell r="P258">
            <v>48</v>
          </cell>
          <cell r="Q258">
            <v>185974.47916666666</v>
          </cell>
        </row>
        <row r="259">
          <cell r="A259" t="str">
            <v>Proposed Project</v>
          </cell>
          <cell r="B259">
            <v>2016</v>
          </cell>
          <cell r="C259" t="str">
            <v>Frankie</v>
          </cell>
          <cell r="D259" t="str">
            <v>HK-GPML</v>
          </cell>
          <cell r="E259">
            <v>0</v>
          </cell>
          <cell r="F259" t="str">
            <v>FlexWorkflow Implementation</v>
          </cell>
          <cell r="G259" t="str">
            <v>Improve Collabaration on Building/Facility Management</v>
          </cell>
          <cell r="H259" t="str">
            <v>GPML</v>
          </cell>
          <cell r="I259" t="str">
            <v>Savills - MSL</v>
          </cell>
          <cell r="J259" t="str">
            <v>HKD</v>
          </cell>
          <cell r="K259">
            <v>1</v>
          </cell>
          <cell r="L259" t="str">
            <v>HKD</v>
          </cell>
          <cell r="M259">
            <v>1</v>
          </cell>
          <cell r="N259">
            <v>1</v>
          </cell>
          <cell r="O259">
            <v>11</v>
          </cell>
          <cell r="P259">
            <v>60</v>
          </cell>
          <cell r="Q259">
            <v>0.18333333333333332</v>
          </cell>
        </row>
        <row r="260">
          <cell r="A260" t="str">
            <v>Proposed Project</v>
          </cell>
          <cell r="B260">
            <v>2016</v>
          </cell>
          <cell r="C260" t="str">
            <v>Frankie</v>
          </cell>
          <cell r="D260" t="str">
            <v>HK-SPML</v>
          </cell>
          <cell r="E260">
            <v>0</v>
          </cell>
          <cell r="F260" t="str">
            <v>FlexWorkflow Implementation</v>
          </cell>
          <cell r="G260" t="str">
            <v>Improve Collabaration on Building/Facility Management</v>
          </cell>
          <cell r="H260" t="str">
            <v>SPML</v>
          </cell>
          <cell r="I260" t="str">
            <v>Savills - MSL</v>
          </cell>
          <cell r="J260" t="str">
            <v>HKD</v>
          </cell>
          <cell r="K260">
            <v>1</v>
          </cell>
          <cell r="L260" t="str">
            <v>HKD</v>
          </cell>
          <cell r="M260">
            <v>1</v>
          </cell>
          <cell r="N260">
            <v>1</v>
          </cell>
          <cell r="O260">
            <v>11</v>
          </cell>
          <cell r="P260">
            <v>60</v>
          </cell>
          <cell r="Q260">
            <v>0.18333333333333332</v>
          </cell>
        </row>
        <row r="261">
          <cell r="A261" t="str">
            <v>Refreshment</v>
          </cell>
          <cell r="B261">
            <v>2016</v>
          </cell>
          <cell r="C261" t="str">
            <v>Infra</v>
          </cell>
          <cell r="D261" t="str">
            <v>HK-MSL</v>
          </cell>
          <cell r="E261">
            <v>0</v>
          </cell>
          <cell r="F261" t="str">
            <v xml:space="preserve">HK Avaya Upgrade Refreshment </v>
          </cell>
          <cell r="G261" t="str">
            <v xml:space="preserve">HK Avaya Upgrade Refreshment </v>
          </cell>
          <cell r="H261" t="str">
            <v>HK All</v>
          </cell>
          <cell r="I261">
            <v>0</v>
          </cell>
          <cell r="J261" t="str">
            <v>HKD</v>
          </cell>
          <cell r="K261">
            <v>3000000</v>
          </cell>
          <cell r="L261" t="str">
            <v>HKD</v>
          </cell>
          <cell r="M261">
            <v>3000000</v>
          </cell>
          <cell r="N261">
            <v>1</v>
          </cell>
          <cell r="O261">
            <v>11</v>
          </cell>
          <cell r="P261">
            <v>60</v>
          </cell>
          <cell r="Q261">
            <v>550000</v>
          </cell>
        </row>
        <row r="262">
          <cell r="A262" t="str">
            <v>Refreshment</v>
          </cell>
          <cell r="B262">
            <v>2016</v>
          </cell>
          <cell r="C262" t="str">
            <v>Josh</v>
          </cell>
          <cell r="D262" t="str">
            <v>TW</v>
          </cell>
          <cell r="E262">
            <v>0</v>
          </cell>
          <cell r="F262" t="str">
            <v>Host Server</v>
          </cell>
          <cell r="G262" t="str">
            <v>VM Host server</v>
          </cell>
          <cell r="H262" t="str">
            <v>TW</v>
          </cell>
          <cell r="I262" t="str">
            <v>eTatung</v>
          </cell>
          <cell r="J262" t="str">
            <v>TWD</v>
          </cell>
          <cell r="K262">
            <v>400000</v>
          </cell>
          <cell r="L262" t="str">
            <v>HKD</v>
          </cell>
          <cell r="M262">
            <v>98000</v>
          </cell>
          <cell r="N262">
            <v>10</v>
          </cell>
          <cell r="O262">
            <v>2</v>
          </cell>
          <cell r="P262">
            <v>48</v>
          </cell>
          <cell r="Q262">
            <v>4083.3333333333335</v>
          </cell>
        </row>
        <row r="263">
          <cell r="A263" t="str">
            <v>Refreshment</v>
          </cell>
          <cell r="B263">
            <v>2015</v>
          </cell>
          <cell r="C263" t="str">
            <v>Jess</v>
          </cell>
          <cell r="D263" t="str">
            <v>SG</v>
          </cell>
          <cell r="E263">
            <v>0</v>
          </cell>
          <cell r="F263" t="str">
            <v xml:space="preserve">Host Server </v>
          </cell>
          <cell r="G263" t="str">
            <v>SGHOST1, SGHOST2 &amp; SGVTSHOST1</v>
          </cell>
          <cell r="H263" t="str">
            <v>SG</v>
          </cell>
          <cell r="I263" t="str">
            <v>HP</v>
          </cell>
          <cell r="J263" t="str">
            <v>SGD</v>
          </cell>
          <cell r="K263">
            <v>55000</v>
          </cell>
          <cell r="L263" t="str">
            <v>HKD</v>
          </cell>
          <cell r="M263">
            <v>310997.5</v>
          </cell>
          <cell r="N263">
            <v>6</v>
          </cell>
          <cell r="O263">
            <v>6</v>
          </cell>
          <cell r="P263">
            <v>48</v>
          </cell>
          <cell r="Q263">
            <v>38874.6875</v>
          </cell>
        </row>
        <row r="264">
          <cell r="A264" t="str">
            <v>Expansion</v>
          </cell>
          <cell r="B264">
            <v>2014</v>
          </cell>
          <cell r="C264" t="str">
            <v>Infra</v>
          </cell>
          <cell r="D264" t="str">
            <v>HK-MSL</v>
          </cell>
          <cell r="E264">
            <v>0</v>
          </cell>
          <cell r="F264" t="str">
            <v>Host Server for Lync and ADFS HA Solution</v>
          </cell>
          <cell r="G264" t="str">
            <v>Host Server for Lync and ADFS HA Solution</v>
          </cell>
          <cell r="H264" t="str">
            <v>AP Region</v>
          </cell>
          <cell r="I264">
            <v>0</v>
          </cell>
          <cell r="J264" t="str">
            <v>HKD</v>
          </cell>
          <cell r="K264">
            <v>100000</v>
          </cell>
          <cell r="L264" t="str">
            <v>HKD</v>
          </cell>
          <cell r="M264">
            <v>100000</v>
          </cell>
          <cell r="N264">
            <v>6</v>
          </cell>
          <cell r="O264">
            <v>6</v>
          </cell>
          <cell r="P264">
            <v>48</v>
          </cell>
          <cell r="Q264">
            <v>12500</v>
          </cell>
        </row>
        <row r="265">
          <cell r="A265" t="str">
            <v>Refreshment</v>
          </cell>
          <cell r="B265">
            <v>2015</v>
          </cell>
          <cell r="C265" t="str">
            <v>Infra</v>
          </cell>
          <cell r="D265" t="str">
            <v>HK-MSL</v>
          </cell>
          <cell r="E265">
            <v>0</v>
          </cell>
          <cell r="F265" t="str">
            <v>HOST Server replacement</v>
          </cell>
          <cell r="G265" t="str">
            <v>replacement of HKHOSTIT</v>
          </cell>
          <cell r="H265" t="str">
            <v>MSL</v>
          </cell>
          <cell r="I265" t="str">
            <v>JOS</v>
          </cell>
          <cell r="J265" t="str">
            <v>HKD</v>
          </cell>
          <cell r="K265">
            <v>140000</v>
          </cell>
          <cell r="L265" t="str">
            <v>HKD</v>
          </cell>
          <cell r="M265">
            <v>140000</v>
          </cell>
          <cell r="N265">
            <v>3</v>
          </cell>
          <cell r="O265">
            <v>9</v>
          </cell>
          <cell r="P265">
            <v>48</v>
          </cell>
          <cell r="Q265">
            <v>26250</v>
          </cell>
        </row>
        <row r="266">
          <cell r="A266" t="str">
            <v>Refreshment</v>
          </cell>
          <cell r="B266">
            <v>2014</v>
          </cell>
          <cell r="C266" t="str">
            <v>Hiroshi</v>
          </cell>
          <cell r="D266" t="str">
            <v>JP</v>
          </cell>
          <cell r="E266">
            <v>0</v>
          </cell>
          <cell r="F266" t="str">
            <v>Host Servers</v>
          </cell>
          <cell r="G266" t="str">
            <v>JPHOST1, JPHOST2, JPHOST3</v>
          </cell>
          <cell r="H266" t="str">
            <v>JP</v>
          </cell>
          <cell r="I266" t="str">
            <v>HP</v>
          </cell>
          <cell r="J266" t="str">
            <v>JPY</v>
          </cell>
          <cell r="K266">
            <v>5447364.7149298927</v>
          </cell>
          <cell r="L266" t="str">
            <v>HKD</v>
          </cell>
          <cell r="M266">
            <v>341005.03115461132</v>
          </cell>
          <cell r="N266">
            <v>10</v>
          </cell>
          <cell r="O266">
            <v>2</v>
          </cell>
          <cell r="P266">
            <v>36</v>
          </cell>
          <cell r="Q266">
            <v>18944.723953033961</v>
          </cell>
        </row>
        <row r="267">
          <cell r="A267" t="str">
            <v>Refreshment</v>
          </cell>
          <cell r="B267">
            <v>2014</v>
          </cell>
          <cell r="C267" t="str">
            <v>Hiroshi</v>
          </cell>
          <cell r="D267" t="str">
            <v>JP</v>
          </cell>
          <cell r="E267">
            <v>0</v>
          </cell>
          <cell r="F267" t="str">
            <v>HP ProCurve 2626 x 2 --&gt; HP ProCurve 2620-24</v>
          </cell>
          <cell r="G267">
            <v>0</v>
          </cell>
          <cell r="H267" t="str">
            <v>JP</v>
          </cell>
          <cell r="I267" t="str">
            <v>HP</v>
          </cell>
          <cell r="J267" t="str">
            <v>JPY</v>
          </cell>
          <cell r="K267">
            <v>96243.192843284327</v>
          </cell>
          <cell r="L267" t="str">
            <v>HKD</v>
          </cell>
          <cell r="M267">
            <v>6024.823871989599</v>
          </cell>
          <cell r="N267">
            <v>10</v>
          </cell>
          <cell r="O267">
            <v>2</v>
          </cell>
          <cell r="P267">
            <v>36</v>
          </cell>
          <cell r="Q267">
            <v>334.71243733275548</v>
          </cell>
        </row>
        <row r="268">
          <cell r="A268" t="str">
            <v>Refreshment</v>
          </cell>
          <cell r="B268">
            <v>2014</v>
          </cell>
          <cell r="C268" t="str">
            <v>Hiroshi</v>
          </cell>
          <cell r="D268" t="str">
            <v>JP</v>
          </cell>
          <cell r="E268">
            <v>0</v>
          </cell>
          <cell r="F268" t="str">
            <v>HP ProCurve 2650 --&gt; HP ProCurve 2620-48</v>
          </cell>
          <cell r="G268">
            <v>0</v>
          </cell>
          <cell r="H268" t="str">
            <v>JP</v>
          </cell>
          <cell r="I268" t="str">
            <v>HP</v>
          </cell>
          <cell r="J268" t="str">
            <v>JPY</v>
          </cell>
          <cell r="K268">
            <v>168425.58747574757</v>
          </cell>
          <cell r="L268" t="str">
            <v>HKD</v>
          </cell>
          <cell r="M268">
            <v>10543.441775981799</v>
          </cell>
          <cell r="N268">
            <v>10</v>
          </cell>
          <cell r="O268">
            <v>2</v>
          </cell>
          <cell r="P268">
            <v>36</v>
          </cell>
          <cell r="Q268">
            <v>585.74676533232218</v>
          </cell>
        </row>
        <row r="269">
          <cell r="A269" t="str">
            <v>Refreshment</v>
          </cell>
          <cell r="B269">
            <v>2014</v>
          </cell>
          <cell r="C269" t="str">
            <v>Hiroshi</v>
          </cell>
          <cell r="D269" t="str">
            <v>JP</v>
          </cell>
          <cell r="E269">
            <v>0</v>
          </cell>
          <cell r="F269" t="str">
            <v>HP ProCurve 2824 -&gt; HP ProCurve 2910al-24G</v>
          </cell>
          <cell r="G269">
            <v>0</v>
          </cell>
          <cell r="H269" t="str">
            <v>JP</v>
          </cell>
          <cell r="I269" t="str">
            <v>HP</v>
          </cell>
          <cell r="J269" t="str">
            <v>JPY</v>
          </cell>
          <cell r="K269">
            <v>320810.64281094773</v>
          </cell>
          <cell r="L269" t="str">
            <v>HKD</v>
          </cell>
          <cell r="M269">
            <v>20082.74623996533</v>
          </cell>
          <cell r="N269">
            <v>10</v>
          </cell>
          <cell r="O269">
            <v>2</v>
          </cell>
          <cell r="P269">
            <v>36</v>
          </cell>
          <cell r="Q269">
            <v>1115.7081244425183</v>
          </cell>
        </row>
        <row r="270">
          <cell r="A270" t="str">
            <v>Refreshment</v>
          </cell>
          <cell r="B270">
            <v>2016</v>
          </cell>
          <cell r="C270" t="str">
            <v>Josh</v>
          </cell>
          <cell r="D270" t="str">
            <v>TW</v>
          </cell>
          <cell r="E270">
            <v>0</v>
          </cell>
          <cell r="F270" t="str">
            <v>HP ProCurve Switch 2620-24</v>
          </cell>
          <cell r="G270" t="str">
            <v>HP ProCurve Switch 2610-24 replacement (TC)</v>
          </cell>
          <cell r="H270" t="str">
            <v>TW</v>
          </cell>
          <cell r="I270" t="str">
            <v>ADCOM</v>
          </cell>
          <cell r="J270" t="str">
            <v>TWD</v>
          </cell>
          <cell r="K270">
            <v>30000</v>
          </cell>
          <cell r="L270" t="str">
            <v>HKD</v>
          </cell>
          <cell r="M270">
            <v>7350</v>
          </cell>
          <cell r="N270">
            <v>10</v>
          </cell>
          <cell r="O270">
            <v>2</v>
          </cell>
          <cell r="P270">
            <v>60</v>
          </cell>
          <cell r="Q270">
            <v>245</v>
          </cell>
        </row>
        <row r="271">
          <cell r="A271" t="str">
            <v>Refreshment</v>
          </cell>
          <cell r="B271">
            <v>2016</v>
          </cell>
          <cell r="C271" t="str">
            <v>Josh</v>
          </cell>
          <cell r="D271" t="str">
            <v>TW</v>
          </cell>
          <cell r="E271">
            <v>0</v>
          </cell>
          <cell r="F271" t="str">
            <v>HP Procurve Switch 2620-48</v>
          </cell>
          <cell r="G271" t="str">
            <v>HP Procurve Switch 2610-48 replacement (HQ) * 2</v>
          </cell>
          <cell r="H271" t="str">
            <v>TW</v>
          </cell>
          <cell r="I271" t="str">
            <v>ADCOM</v>
          </cell>
          <cell r="J271" t="str">
            <v>TWD</v>
          </cell>
          <cell r="K271">
            <v>100000</v>
          </cell>
          <cell r="L271" t="str">
            <v>HKD</v>
          </cell>
          <cell r="M271">
            <v>24500</v>
          </cell>
          <cell r="N271">
            <v>10</v>
          </cell>
          <cell r="O271">
            <v>2</v>
          </cell>
          <cell r="P271">
            <v>60</v>
          </cell>
          <cell r="Q271">
            <v>816.66666666666663</v>
          </cell>
        </row>
        <row r="272">
          <cell r="A272" t="str">
            <v>Refreshment</v>
          </cell>
          <cell r="B272">
            <v>2016</v>
          </cell>
          <cell r="C272" t="str">
            <v>Quen</v>
          </cell>
          <cell r="D272" t="str">
            <v>VN</v>
          </cell>
          <cell r="E272">
            <v>0</v>
          </cell>
          <cell r="F272" t="str">
            <v>HP switches replacment</v>
          </cell>
          <cell r="G272" t="str">
            <v>Replace HP switches (HCM: 01 switch; HN: 01 switch)</v>
          </cell>
          <cell r="H272" t="str">
            <v>VN</v>
          </cell>
          <cell r="I272" t="str">
            <v>HP</v>
          </cell>
          <cell r="J272" t="str">
            <v>VND</v>
          </cell>
          <cell r="K272">
            <v>60000000</v>
          </cell>
          <cell r="L272" t="str">
            <v>HKD</v>
          </cell>
          <cell r="M272">
            <v>24000</v>
          </cell>
          <cell r="N272">
            <v>11</v>
          </cell>
          <cell r="O272">
            <v>1</v>
          </cell>
          <cell r="P272">
            <v>60</v>
          </cell>
          <cell r="Q272">
            <v>400</v>
          </cell>
        </row>
        <row r="273">
          <cell r="A273" t="str">
            <v>Refreshment</v>
          </cell>
          <cell r="B273">
            <v>2017</v>
          </cell>
          <cell r="C273" t="str">
            <v>Quen</v>
          </cell>
          <cell r="D273" t="str">
            <v>VN</v>
          </cell>
          <cell r="E273">
            <v>0</v>
          </cell>
          <cell r="F273" t="str">
            <v>HP switches replacment</v>
          </cell>
          <cell r="G273" t="str">
            <v>Replace HP switches (HCM: 01 switch; HN: 01 switch)</v>
          </cell>
          <cell r="H273" t="str">
            <v>VN</v>
          </cell>
          <cell r="I273" t="str">
            <v>HP</v>
          </cell>
          <cell r="J273" t="str">
            <v>VND</v>
          </cell>
          <cell r="K273">
            <v>60000000</v>
          </cell>
          <cell r="L273" t="str">
            <v>HKD</v>
          </cell>
          <cell r="M273">
            <v>24000</v>
          </cell>
          <cell r="N273">
            <v>5</v>
          </cell>
          <cell r="O273">
            <v>7</v>
          </cell>
          <cell r="P273">
            <v>60</v>
          </cell>
          <cell r="Q273">
            <v>2800</v>
          </cell>
        </row>
        <row r="274">
          <cell r="A274" t="str">
            <v>Refreshment</v>
          </cell>
          <cell r="B274">
            <v>2018</v>
          </cell>
          <cell r="C274" t="str">
            <v>Quen</v>
          </cell>
          <cell r="D274" t="str">
            <v>VN</v>
          </cell>
          <cell r="E274">
            <v>0</v>
          </cell>
          <cell r="F274" t="str">
            <v>HP switches replacment</v>
          </cell>
          <cell r="G274" t="str">
            <v>Replace HP switches (HCM: 01 switch; HN: 01 switch)</v>
          </cell>
          <cell r="H274" t="str">
            <v>VN</v>
          </cell>
          <cell r="I274" t="str">
            <v>HP</v>
          </cell>
          <cell r="J274" t="str">
            <v>VND</v>
          </cell>
          <cell r="K274">
            <v>60000000</v>
          </cell>
          <cell r="L274" t="str">
            <v>HKD</v>
          </cell>
          <cell r="M274">
            <v>24000</v>
          </cell>
          <cell r="N274">
            <v>5</v>
          </cell>
          <cell r="O274">
            <v>7</v>
          </cell>
          <cell r="P274">
            <v>60</v>
          </cell>
          <cell r="Q274">
            <v>2800</v>
          </cell>
        </row>
        <row r="275">
          <cell r="A275" t="str">
            <v>Refreshment</v>
          </cell>
          <cell r="B275">
            <v>2016</v>
          </cell>
          <cell r="C275" t="str">
            <v>Quen</v>
          </cell>
          <cell r="D275" t="str">
            <v>VN</v>
          </cell>
          <cell r="E275">
            <v>0</v>
          </cell>
          <cell r="F275" t="str">
            <v>HR Application</v>
          </cell>
          <cell r="G275" t="str">
            <v>HR Core Solution - Annual License &amp; Maintenance</v>
          </cell>
          <cell r="H275" t="str">
            <v>VN</v>
          </cell>
          <cell r="I275" t="str">
            <v>PAYQ</v>
          </cell>
          <cell r="J275" t="str">
            <v>VND</v>
          </cell>
          <cell r="K275">
            <v>86000000</v>
          </cell>
          <cell r="L275" t="str">
            <v>HKD</v>
          </cell>
          <cell r="M275">
            <v>34400</v>
          </cell>
          <cell r="N275">
            <v>6</v>
          </cell>
          <cell r="O275">
            <v>6</v>
          </cell>
          <cell r="P275">
            <v>12</v>
          </cell>
          <cell r="Q275">
            <v>17200</v>
          </cell>
        </row>
        <row r="276">
          <cell r="A276" t="str">
            <v>New Project</v>
          </cell>
          <cell r="B276">
            <v>2017</v>
          </cell>
          <cell r="C276" t="str">
            <v>Kassapa</v>
          </cell>
          <cell r="D276" t="str">
            <v>TH</v>
          </cell>
          <cell r="E276">
            <v>0</v>
          </cell>
          <cell r="F276" t="str">
            <v>HR Application</v>
          </cell>
          <cell r="G276" t="str">
            <v>Cloud-TA, Cloud-HR and Cloud-Payroll, 400 - 500 users</v>
          </cell>
          <cell r="H276" t="str">
            <v>TH</v>
          </cell>
          <cell r="I276" t="str">
            <v>Innova</v>
          </cell>
          <cell r="J276" t="str">
            <v>THB</v>
          </cell>
          <cell r="K276">
            <v>500000</v>
          </cell>
          <cell r="L276" t="str">
            <v>HKD</v>
          </cell>
          <cell r="M276">
            <v>110800</v>
          </cell>
          <cell r="N276">
            <v>6</v>
          </cell>
          <cell r="O276">
            <v>6</v>
          </cell>
          <cell r="P276">
            <v>48</v>
          </cell>
          <cell r="Q276">
            <v>13850</v>
          </cell>
        </row>
        <row r="277">
          <cell r="A277" t="str">
            <v>Proposed Project</v>
          </cell>
          <cell r="B277">
            <v>2016</v>
          </cell>
          <cell r="C277" t="str">
            <v>Frankie</v>
          </cell>
          <cell r="D277" t="str">
            <v>HK-MSL</v>
          </cell>
          <cell r="E277">
            <v>0</v>
          </cell>
          <cell r="F277" t="str">
            <v>HRIS (HK)</v>
          </cell>
          <cell r="G277" t="str">
            <v>Additional enhancement to streamline operation</v>
          </cell>
          <cell r="H277" t="str">
            <v>SPML</v>
          </cell>
          <cell r="I277" t="str">
            <v>IPL</v>
          </cell>
          <cell r="J277" t="str">
            <v>HKD</v>
          </cell>
          <cell r="K277">
            <v>251250</v>
          </cell>
          <cell r="L277" t="str">
            <v>HKD</v>
          </cell>
          <cell r="M277">
            <v>251250</v>
          </cell>
          <cell r="N277">
            <v>1</v>
          </cell>
          <cell r="O277">
            <v>11</v>
          </cell>
          <cell r="P277">
            <v>60</v>
          </cell>
          <cell r="Q277">
            <v>46062.5</v>
          </cell>
        </row>
        <row r="278">
          <cell r="A278" t="str">
            <v>Proposed Project</v>
          </cell>
          <cell r="B278">
            <v>2016</v>
          </cell>
          <cell r="C278" t="str">
            <v>Frankie</v>
          </cell>
          <cell r="D278" t="str">
            <v>MO</v>
          </cell>
          <cell r="E278">
            <v>0</v>
          </cell>
          <cell r="F278" t="str">
            <v>HRIS (Macao)</v>
          </cell>
          <cell r="G278" t="str">
            <v>Additional enhancement</v>
          </cell>
          <cell r="H278" t="str">
            <v>MO</v>
          </cell>
          <cell r="I278" t="str">
            <v>IPL</v>
          </cell>
          <cell r="J278" t="str">
            <v>HKD</v>
          </cell>
          <cell r="K278">
            <v>67000</v>
          </cell>
          <cell r="L278" t="str">
            <v>HKD</v>
          </cell>
          <cell r="M278">
            <v>67000</v>
          </cell>
          <cell r="N278">
            <v>1</v>
          </cell>
          <cell r="O278">
            <v>11</v>
          </cell>
          <cell r="P278">
            <v>60</v>
          </cell>
          <cell r="Q278">
            <v>12283.333333333334</v>
          </cell>
        </row>
        <row r="279">
          <cell r="A279" t="str">
            <v>Proposed Project</v>
          </cell>
          <cell r="B279">
            <v>2016</v>
          </cell>
          <cell r="C279" t="str">
            <v>Frankie</v>
          </cell>
          <cell r="D279" t="str">
            <v>HK-SPML</v>
          </cell>
          <cell r="E279">
            <v>0</v>
          </cell>
          <cell r="F279" t="str">
            <v>IBM Maximo</v>
          </cell>
          <cell r="G279" t="str">
            <v>Facility Management System</v>
          </cell>
          <cell r="H279" t="str">
            <v>SPML</v>
          </cell>
          <cell r="I279">
            <v>0</v>
          </cell>
          <cell r="J279" t="str">
            <v>HKD</v>
          </cell>
          <cell r="K279">
            <v>1</v>
          </cell>
          <cell r="L279" t="str">
            <v>HKD</v>
          </cell>
          <cell r="M279">
            <v>1</v>
          </cell>
          <cell r="N279">
            <v>1</v>
          </cell>
          <cell r="O279">
            <v>11</v>
          </cell>
          <cell r="P279">
            <v>60</v>
          </cell>
          <cell r="Q279">
            <v>0.18333333333333332</v>
          </cell>
        </row>
        <row r="280">
          <cell r="A280" t="str">
            <v>New Project</v>
          </cell>
          <cell r="B280">
            <v>2016</v>
          </cell>
          <cell r="C280" t="str">
            <v>Allen</v>
          </cell>
          <cell r="D280" t="str">
            <v>HK-SHKL</v>
          </cell>
          <cell r="E280">
            <v>0</v>
          </cell>
          <cell r="F280" t="str">
            <v>Investment Document Library</v>
          </cell>
          <cell r="G280" t="str">
            <v>Block portfolio solution in APP</v>
          </cell>
          <cell r="H280" t="str">
            <v>HKL</v>
          </cell>
          <cell r="I280">
            <v>0</v>
          </cell>
          <cell r="J280" t="str">
            <v>HKD</v>
          </cell>
          <cell r="K280">
            <v>500000</v>
          </cell>
          <cell r="L280" t="str">
            <v>HKD</v>
          </cell>
          <cell r="M280">
            <v>500000</v>
          </cell>
          <cell r="N280">
            <v>1</v>
          </cell>
          <cell r="O280">
            <v>11</v>
          </cell>
          <cell r="P280">
            <v>36</v>
          </cell>
          <cell r="Q280">
            <v>152777.77777777778</v>
          </cell>
        </row>
        <row r="281">
          <cell r="A281" t="str">
            <v>New Project</v>
          </cell>
          <cell r="B281">
            <v>2014</v>
          </cell>
          <cell r="C281" t="str">
            <v>Infra</v>
          </cell>
          <cell r="D281" t="str">
            <v>HK-MSL</v>
          </cell>
          <cell r="E281">
            <v>0</v>
          </cell>
          <cell r="F281" t="str">
            <v>IP Management</v>
          </cell>
          <cell r="G281" t="str">
            <v>Traffic Analyzer + IP Subnet Management (HW + SW), IPAM +scrutinizer</v>
          </cell>
          <cell r="H281" t="str">
            <v>AP Region</v>
          </cell>
          <cell r="I281">
            <v>0</v>
          </cell>
          <cell r="J281" t="str">
            <v>HKD</v>
          </cell>
          <cell r="K281">
            <v>140000</v>
          </cell>
          <cell r="L281" t="str">
            <v>HKD</v>
          </cell>
          <cell r="M281">
            <v>140000</v>
          </cell>
          <cell r="N281">
            <v>3</v>
          </cell>
          <cell r="O281">
            <v>9</v>
          </cell>
          <cell r="P281">
            <v>36</v>
          </cell>
          <cell r="Q281">
            <v>35000</v>
          </cell>
        </row>
        <row r="282">
          <cell r="A282" t="str">
            <v>Refreshment</v>
          </cell>
          <cell r="B282">
            <v>2017</v>
          </cell>
          <cell r="C282" t="str">
            <v>Kim</v>
          </cell>
          <cell r="D282" t="str">
            <v>KR</v>
          </cell>
          <cell r="E282">
            <v>0</v>
          </cell>
          <cell r="F282" t="str">
            <v>IPT System Replacement</v>
          </cell>
          <cell r="G282" t="str">
            <v>PABX System (Avaya)</v>
          </cell>
          <cell r="H282" t="str">
            <v>KR</v>
          </cell>
          <cell r="I282" t="str">
            <v>Avaya</v>
          </cell>
          <cell r="J282" t="str">
            <v>WON</v>
          </cell>
          <cell r="K282">
            <v>42000000</v>
          </cell>
          <cell r="L282" t="str">
            <v>HKD</v>
          </cell>
          <cell r="M282">
            <v>281400</v>
          </cell>
          <cell r="N282">
            <v>10</v>
          </cell>
          <cell r="O282">
            <v>2</v>
          </cell>
          <cell r="P282">
            <v>48</v>
          </cell>
          <cell r="Q282">
            <v>11725</v>
          </cell>
        </row>
        <row r="283">
          <cell r="A283" t="str">
            <v>Expansion</v>
          </cell>
          <cell r="B283">
            <v>2016</v>
          </cell>
          <cell r="C283" t="str">
            <v>Kassapa</v>
          </cell>
          <cell r="D283" t="str">
            <v>TH</v>
          </cell>
          <cell r="E283">
            <v>0</v>
          </cell>
          <cell r="F283" t="str">
            <v>Laptop for ENG</v>
          </cell>
          <cell r="G283" t="str">
            <v>HP EliteBook 840 i5-5300U 14" x 5</v>
          </cell>
          <cell r="H283" t="str">
            <v>TH</v>
          </cell>
          <cell r="I283">
            <v>0</v>
          </cell>
          <cell r="J283" t="str">
            <v>THB</v>
          </cell>
          <cell r="K283">
            <v>190000</v>
          </cell>
          <cell r="L283" t="str">
            <v>HKD</v>
          </cell>
          <cell r="M283">
            <v>42104</v>
          </cell>
          <cell r="N283">
            <v>2</v>
          </cell>
          <cell r="O283">
            <v>10</v>
          </cell>
          <cell r="P283">
            <v>36</v>
          </cell>
          <cell r="Q283">
            <v>11695.555555555557</v>
          </cell>
        </row>
        <row r="284">
          <cell r="A284" t="str">
            <v>Expansion</v>
          </cell>
          <cell r="B284">
            <v>2014</v>
          </cell>
          <cell r="C284" t="str">
            <v>Infra</v>
          </cell>
          <cell r="D284" t="str">
            <v>HK-MSL</v>
          </cell>
          <cell r="E284">
            <v>0</v>
          </cell>
          <cell r="F284" t="str">
            <v>Lync conference call enhancement</v>
          </cell>
          <cell r="G284" t="str">
            <v>Media Gateway Appliance for PSTN conference of Lync</v>
          </cell>
          <cell r="H284" t="str">
            <v>HK All</v>
          </cell>
          <cell r="I284">
            <v>0</v>
          </cell>
          <cell r="J284" t="str">
            <v>HKD</v>
          </cell>
          <cell r="K284">
            <v>150000</v>
          </cell>
          <cell r="L284" t="str">
            <v>HKD</v>
          </cell>
          <cell r="M284">
            <v>150000</v>
          </cell>
          <cell r="N284">
            <v>8</v>
          </cell>
          <cell r="O284">
            <v>4</v>
          </cell>
          <cell r="P284">
            <v>48</v>
          </cell>
          <cell r="Q284">
            <v>12500</v>
          </cell>
        </row>
        <row r="285">
          <cell r="A285" t="str">
            <v>Expansion</v>
          </cell>
          <cell r="B285">
            <v>2014</v>
          </cell>
          <cell r="C285" t="str">
            <v>Hiroshi</v>
          </cell>
          <cell r="D285" t="str">
            <v>JP</v>
          </cell>
          <cell r="E285">
            <v>0</v>
          </cell>
          <cell r="F285" t="str">
            <v>Lync License of Polycom Units</v>
          </cell>
          <cell r="G285">
            <v>0</v>
          </cell>
          <cell r="H285" t="str">
            <v>JP</v>
          </cell>
          <cell r="I285" t="str">
            <v>HP</v>
          </cell>
          <cell r="J285" t="str">
            <v>JPY</v>
          </cell>
          <cell r="K285">
            <v>160405.32140547386</v>
          </cell>
          <cell r="L285" t="str">
            <v>HKD</v>
          </cell>
          <cell r="M285">
            <v>10041.373119982665</v>
          </cell>
          <cell r="N285">
            <v>10</v>
          </cell>
          <cell r="O285">
            <v>2</v>
          </cell>
          <cell r="P285">
            <v>36</v>
          </cell>
          <cell r="Q285">
            <v>557.85406222125914</v>
          </cell>
        </row>
        <row r="286">
          <cell r="A286" t="str">
            <v>Expansion</v>
          </cell>
          <cell r="B286">
            <v>2014</v>
          </cell>
          <cell r="C286">
            <v>0</v>
          </cell>
          <cell r="D286" t="str">
            <v>MO</v>
          </cell>
          <cell r="E286">
            <v>0</v>
          </cell>
          <cell r="F286" t="str">
            <v>Lync License of Polycom Units</v>
          </cell>
          <cell r="G286" t="str">
            <v>Lync License of Polycom Units</v>
          </cell>
          <cell r="H286" t="str">
            <v>MO</v>
          </cell>
          <cell r="I286">
            <v>0</v>
          </cell>
          <cell r="J286" t="str">
            <v>HKD</v>
          </cell>
          <cell r="K286">
            <v>10000</v>
          </cell>
          <cell r="L286" t="str">
            <v>HKD</v>
          </cell>
          <cell r="M286">
            <v>10000</v>
          </cell>
          <cell r="N286">
            <v>2</v>
          </cell>
          <cell r="O286">
            <v>10</v>
          </cell>
          <cell r="P286">
            <v>48</v>
          </cell>
          <cell r="Q286">
            <v>2083.3333333333335</v>
          </cell>
        </row>
        <row r="287">
          <cell r="A287" t="str">
            <v>Refreshment</v>
          </cell>
          <cell r="B287">
            <v>2015</v>
          </cell>
          <cell r="C287" t="str">
            <v>Infra</v>
          </cell>
          <cell r="D287" t="str">
            <v>HK-MSL</v>
          </cell>
          <cell r="E287">
            <v>0</v>
          </cell>
          <cell r="F287" t="str">
            <v>Main firewall replacement</v>
          </cell>
          <cell r="G287" t="str">
            <v>TDC Main Firewall replacement</v>
          </cell>
          <cell r="H287" t="str">
            <v>HK All</v>
          </cell>
          <cell r="I287">
            <v>0</v>
          </cell>
          <cell r="J287" t="str">
            <v>HKD</v>
          </cell>
          <cell r="K287">
            <v>1000000</v>
          </cell>
          <cell r="L287" t="str">
            <v>HKD</v>
          </cell>
          <cell r="M287">
            <v>1000000</v>
          </cell>
          <cell r="N287">
            <v>6</v>
          </cell>
          <cell r="O287">
            <v>6</v>
          </cell>
          <cell r="P287">
            <v>36</v>
          </cell>
          <cell r="Q287">
            <v>166666.66666666666</v>
          </cell>
        </row>
        <row r="288">
          <cell r="A288" t="str">
            <v>Expansion</v>
          </cell>
          <cell r="B288">
            <v>2016</v>
          </cell>
          <cell r="C288" t="str">
            <v>Peter</v>
          </cell>
          <cell r="D288" t="str">
            <v>CN</v>
          </cell>
          <cell r="E288">
            <v>0</v>
          </cell>
          <cell r="F288" t="str">
            <v>Microsoft Office 365 Exchange Plan 1</v>
          </cell>
          <cell r="G288" t="str">
            <v>New Licenses to cover Est. Headcount increase (30% of 415 in 2016) &amp; 26% increase in cost</v>
          </cell>
          <cell r="H288" t="str">
            <v>China PM</v>
          </cell>
          <cell r="I288" t="str">
            <v>Microsoft (HK) Limited</v>
          </cell>
          <cell r="J288" t="str">
            <v>RMB</v>
          </cell>
          <cell r="K288">
            <v>60238.080000000002</v>
          </cell>
          <cell r="L288" t="str">
            <v>HKD</v>
          </cell>
          <cell r="M288">
            <v>75207.242880000005</v>
          </cell>
          <cell r="N288">
            <v>6</v>
          </cell>
          <cell r="O288">
            <v>6</v>
          </cell>
          <cell r="P288">
            <v>36</v>
          </cell>
          <cell r="Q288">
            <v>12534.54048</v>
          </cell>
        </row>
        <row r="289">
          <cell r="A289" t="str">
            <v>Expansion</v>
          </cell>
          <cell r="B289">
            <v>2016</v>
          </cell>
          <cell r="C289" t="str">
            <v>Peter</v>
          </cell>
          <cell r="D289" t="str">
            <v>CN</v>
          </cell>
          <cell r="E289">
            <v>0</v>
          </cell>
          <cell r="F289" t="str">
            <v>Microsoft Office 365 Plan E3</v>
          </cell>
          <cell r="G289" t="str">
            <v>New Licenses to cover Est. Headcount increase (10% of 2185 in 2016) &amp; 5% increase in cost</v>
          </cell>
          <cell r="H289" t="str">
            <v>CN</v>
          </cell>
          <cell r="I289" t="str">
            <v>Microsoft (HK) Limited</v>
          </cell>
          <cell r="J289" t="str">
            <v>RMB</v>
          </cell>
          <cell r="K289">
            <v>357084</v>
          </cell>
          <cell r="L289" t="str">
            <v>HKD</v>
          </cell>
          <cell r="M289">
            <v>445819.37399999995</v>
          </cell>
          <cell r="N289">
            <v>6</v>
          </cell>
          <cell r="O289">
            <v>6</v>
          </cell>
          <cell r="P289">
            <v>36</v>
          </cell>
          <cell r="Q289">
            <v>74303.228999999992</v>
          </cell>
        </row>
        <row r="290">
          <cell r="A290" t="str">
            <v>New Project</v>
          </cell>
          <cell r="B290">
            <v>2016</v>
          </cell>
          <cell r="C290" t="str">
            <v>Kassapa</v>
          </cell>
          <cell r="D290" t="str">
            <v>TH</v>
          </cell>
          <cell r="E290">
            <v>0</v>
          </cell>
          <cell r="F290" t="str">
            <v>MicroTAB</v>
          </cell>
          <cell r="G290" t="str">
            <v>USB PC Stick x 2</v>
          </cell>
          <cell r="H290" t="str">
            <v>TH</v>
          </cell>
          <cell r="I290">
            <v>0</v>
          </cell>
          <cell r="J290" t="str">
            <v>THB</v>
          </cell>
          <cell r="K290">
            <v>12000</v>
          </cell>
          <cell r="L290" t="str">
            <v>HKD</v>
          </cell>
          <cell r="M290">
            <v>2659.2</v>
          </cell>
          <cell r="N290">
            <v>4</v>
          </cell>
          <cell r="O290">
            <v>8</v>
          </cell>
          <cell r="P290">
            <v>36</v>
          </cell>
          <cell r="Q290">
            <v>590.93333333333328</v>
          </cell>
        </row>
        <row r="291">
          <cell r="A291" t="str">
            <v>Proposed Project</v>
          </cell>
          <cell r="B291">
            <v>2016</v>
          </cell>
          <cell r="C291" t="str">
            <v>Frankie</v>
          </cell>
          <cell r="D291" t="str">
            <v>HK-GPML</v>
          </cell>
          <cell r="E291">
            <v>0</v>
          </cell>
          <cell r="F291" t="str">
            <v>Mobile Application for Resident</v>
          </cell>
          <cell r="G291" t="str">
            <v>Allow client to access to billing &amp; payment history to improve efficiency and credit contorl</v>
          </cell>
          <cell r="H291" t="str">
            <v>GPML</v>
          </cell>
          <cell r="I291">
            <v>0</v>
          </cell>
          <cell r="J291" t="str">
            <v>HKD</v>
          </cell>
          <cell r="K291">
            <v>1</v>
          </cell>
          <cell r="L291" t="str">
            <v>HKD</v>
          </cell>
          <cell r="M291">
            <v>1</v>
          </cell>
          <cell r="N291">
            <v>1</v>
          </cell>
          <cell r="O291">
            <v>11</v>
          </cell>
          <cell r="P291">
            <v>60</v>
          </cell>
          <cell r="Q291">
            <v>0.18333333333333332</v>
          </cell>
        </row>
        <row r="292">
          <cell r="A292" t="str">
            <v>Refreshment</v>
          </cell>
          <cell r="B292">
            <v>2015</v>
          </cell>
          <cell r="C292" t="str">
            <v>Hiroshi</v>
          </cell>
          <cell r="D292" t="str">
            <v>JP</v>
          </cell>
          <cell r="E292">
            <v>0</v>
          </cell>
          <cell r="F292" t="str">
            <v>Monitor Replacement</v>
          </cell>
          <cell r="G292" t="str">
            <v xml:space="preserve">60 x 21.5" monitors (w/Office Relocation) </v>
          </cell>
          <cell r="H292" t="str">
            <v>JP</v>
          </cell>
          <cell r="I292" t="str">
            <v>HP</v>
          </cell>
          <cell r="J292" t="str">
            <v>JPY</v>
          </cell>
          <cell r="K292">
            <v>1310040</v>
          </cell>
          <cell r="L292" t="str">
            <v>HKD</v>
          </cell>
          <cell r="M292">
            <v>82008.504000000001</v>
          </cell>
          <cell r="N292">
            <v>9</v>
          </cell>
          <cell r="O292">
            <v>3</v>
          </cell>
          <cell r="P292">
            <v>48</v>
          </cell>
          <cell r="Q292">
            <v>5125.5315000000001</v>
          </cell>
        </row>
        <row r="293">
          <cell r="A293" t="str">
            <v>Refreshment</v>
          </cell>
          <cell r="B293">
            <v>2015</v>
          </cell>
          <cell r="C293">
            <v>0</v>
          </cell>
          <cell r="D293" t="str">
            <v>MO</v>
          </cell>
          <cell r="E293">
            <v>0</v>
          </cell>
          <cell r="F293" t="str">
            <v>Desktop Refreshments</v>
          </cell>
          <cell r="G293" t="str">
            <v>Monitor Replacement</v>
          </cell>
          <cell r="H293" t="str">
            <v>MO</v>
          </cell>
          <cell r="I293">
            <v>0</v>
          </cell>
          <cell r="J293" t="str">
            <v>HKD</v>
          </cell>
          <cell r="K293">
            <v>6240</v>
          </cell>
          <cell r="L293" t="str">
            <v>HKD</v>
          </cell>
          <cell r="M293">
            <v>6240</v>
          </cell>
          <cell r="N293">
            <v>9</v>
          </cell>
          <cell r="O293">
            <v>3</v>
          </cell>
          <cell r="P293">
            <v>48</v>
          </cell>
          <cell r="Q293">
            <v>390</v>
          </cell>
        </row>
        <row r="294">
          <cell r="A294" t="str">
            <v>Refreshment</v>
          </cell>
          <cell r="B294">
            <v>2015</v>
          </cell>
          <cell r="C294" t="str">
            <v>Edmond</v>
          </cell>
          <cell r="D294" t="str">
            <v>TH</v>
          </cell>
          <cell r="E294">
            <v>0</v>
          </cell>
          <cell r="F294" t="str">
            <v>Desktop Refreshments</v>
          </cell>
          <cell r="G294" t="str">
            <v>Monitor Replacement (5)</v>
          </cell>
          <cell r="H294" t="str">
            <v>TH</v>
          </cell>
          <cell r="I294">
            <v>0</v>
          </cell>
          <cell r="J294" t="str">
            <v>HKD</v>
          </cell>
          <cell r="K294">
            <v>4455</v>
          </cell>
          <cell r="L294" t="str">
            <v>HKD</v>
          </cell>
          <cell r="M294">
            <v>4455</v>
          </cell>
          <cell r="N294">
            <v>4</v>
          </cell>
          <cell r="O294">
            <v>8</v>
          </cell>
          <cell r="P294">
            <v>48</v>
          </cell>
          <cell r="Q294">
            <v>742.5</v>
          </cell>
        </row>
        <row r="295">
          <cell r="A295" t="str">
            <v>Refreshment</v>
          </cell>
          <cell r="B295">
            <v>2016</v>
          </cell>
          <cell r="C295" t="str">
            <v>Hiroshi</v>
          </cell>
          <cell r="D295" t="str">
            <v>JP</v>
          </cell>
          <cell r="E295">
            <v>0</v>
          </cell>
          <cell r="F295" t="str">
            <v>Desktop Refreshments</v>
          </cell>
          <cell r="G295" t="str">
            <v>10 x 21.5" monitors</v>
          </cell>
          <cell r="H295" t="str">
            <v>JP</v>
          </cell>
          <cell r="I295" t="str">
            <v>HP</v>
          </cell>
          <cell r="J295" t="str">
            <v>JPY</v>
          </cell>
          <cell r="K295">
            <v>218340</v>
          </cell>
          <cell r="L295" t="str">
            <v>HKD</v>
          </cell>
          <cell r="M295">
            <v>13668.084000000001</v>
          </cell>
          <cell r="N295">
            <v>1</v>
          </cell>
          <cell r="O295">
            <v>11</v>
          </cell>
          <cell r="P295">
            <v>48</v>
          </cell>
          <cell r="Q295">
            <v>3132.2692500000003</v>
          </cell>
        </row>
        <row r="296">
          <cell r="A296" t="str">
            <v>Refreshment</v>
          </cell>
          <cell r="B296">
            <v>2016</v>
          </cell>
          <cell r="C296">
            <v>0</v>
          </cell>
          <cell r="D296" t="str">
            <v>MO</v>
          </cell>
          <cell r="E296">
            <v>0</v>
          </cell>
          <cell r="F296" t="str">
            <v>Desktop Refreshments</v>
          </cell>
          <cell r="G296" t="str">
            <v>Monitor Replacement</v>
          </cell>
          <cell r="H296" t="str">
            <v>MO</v>
          </cell>
          <cell r="I296">
            <v>0</v>
          </cell>
          <cell r="J296" t="str">
            <v>HKD</v>
          </cell>
          <cell r="K296">
            <v>6240</v>
          </cell>
          <cell r="L296" t="str">
            <v>HKD</v>
          </cell>
          <cell r="M296">
            <v>6240</v>
          </cell>
          <cell r="N296">
            <v>3</v>
          </cell>
          <cell r="O296">
            <v>9</v>
          </cell>
          <cell r="P296">
            <v>48</v>
          </cell>
          <cell r="Q296">
            <v>1170</v>
          </cell>
        </row>
        <row r="297">
          <cell r="A297" t="str">
            <v>Refreshment</v>
          </cell>
          <cell r="B297">
            <v>2016</v>
          </cell>
          <cell r="C297" t="str">
            <v>Josh</v>
          </cell>
          <cell r="D297" t="str">
            <v>TW</v>
          </cell>
          <cell r="E297">
            <v>0</v>
          </cell>
          <cell r="F297" t="str">
            <v>Desktop Refreshments</v>
          </cell>
          <cell r="G297" t="str">
            <v>8 monitors</v>
          </cell>
          <cell r="H297" t="str">
            <v>TW</v>
          </cell>
          <cell r="I297" t="str">
            <v>HP</v>
          </cell>
          <cell r="J297" t="str">
            <v>TWD</v>
          </cell>
          <cell r="K297">
            <v>41600</v>
          </cell>
          <cell r="L297" t="str">
            <v>HKD</v>
          </cell>
          <cell r="M297">
            <v>10192</v>
          </cell>
          <cell r="N297">
            <v>8</v>
          </cell>
          <cell r="O297">
            <v>4</v>
          </cell>
          <cell r="P297">
            <v>48</v>
          </cell>
          <cell r="Q297">
            <v>849.33333333333337</v>
          </cell>
        </row>
        <row r="298">
          <cell r="A298" t="str">
            <v>Refreshment</v>
          </cell>
          <cell r="B298">
            <v>2016</v>
          </cell>
          <cell r="C298" t="str">
            <v>Kassapa</v>
          </cell>
          <cell r="D298" t="str">
            <v>TH</v>
          </cell>
          <cell r="E298">
            <v>0</v>
          </cell>
          <cell r="F298" t="str">
            <v>Desktop Refreshments</v>
          </cell>
          <cell r="G298" t="str">
            <v>Purchase 9 monitors (19")</v>
          </cell>
          <cell r="H298" t="str">
            <v>TH</v>
          </cell>
          <cell r="I298">
            <v>0</v>
          </cell>
          <cell r="J298" t="str">
            <v>THB</v>
          </cell>
          <cell r="K298">
            <v>54000</v>
          </cell>
          <cell r="L298" t="str">
            <v>HKD</v>
          </cell>
          <cell r="M298">
            <v>11966.4</v>
          </cell>
          <cell r="N298">
            <v>1</v>
          </cell>
          <cell r="O298">
            <v>11</v>
          </cell>
          <cell r="P298">
            <v>48</v>
          </cell>
          <cell r="Q298">
            <v>2742.2999999999997</v>
          </cell>
        </row>
        <row r="299">
          <cell r="A299" t="str">
            <v>Refreshment</v>
          </cell>
          <cell r="B299">
            <v>2017</v>
          </cell>
          <cell r="C299" t="str">
            <v>Hiroshi</v>
          </cell>
          <cell r="D299" t="str">
            <v>JP</v>
          </cell>
          <cell r="E299">
            <v>0</v>
          </cell>
          <cell r="F299" t="str">
            <v>Desktop Refreshments</v>
          </cell>
          <cell r="G299" t="str">
            <v>10 x 21.5" monitors</v>
          </cell>
          <cell r="H299" t="str">
            <v>JP</v>
          </cell>
          <cell r="I299" t="str">
            <v>HP</v>
          </cell>
          <cell r="J299" t="str">
            <v>JPY</v>
          </cell>
          <cell r="K299">
            <v>218340</v>
          </cell>
          <cell r="L299" t="str">
            <v>HKD</v>
          </cell>
          <cell r="M299">
            <v>13668.084000000001</v>
          </cell>
          <cell r="N299">
            <v>1</v>
          </cell>
          <cell r="O299">
            <v>11</v>
          </cell>
          <cell r="P299">
            <v>48</v>
          </cell>
          <cell r="Q299">
            <v>3132.2692500000003</v>
          </cell>
        </row>
        <row r="300">
          <cell r="A300" t="str">
            <v>Refreshment</v>
          </cell>
          <cell r="B300">
            <v>2017</v>
          </cell>
          <cell r="C300">
            <v>0</v>
          </cell>
          <cell r="D300" t="str">
            <v>MO</v>
          </cell>
          <cell r="E300">
            <v>0</v>
          </cell>
          <cell r="F300" t="str">
            <v>Desktop Refreshments</v>
          </cell>
          <cell r="G300" t="str">
            <v>Monitor Replacement</v>
          </cell>
          <cell r="H300" t="str">
            <v>MO</v>
          </cell>
          <cell r="I300">
            <v>0</v>
          </cell>
          <cell r="J300" t="str">
            <v>HKD</v>
          </cell>
          <cell r="K300">
            <v>6240</v>
          </cell>
          <cell r="L300" t="str">
            <v>HKD</v>
          </cell>
          <cell r="M300">
            <v>6240</v>
          </cell>
          <cell r="N300">
            <v>10</v>
          </cell>
          <cell r="O300">
            <v>2</v>
          </cell>
          <cell r="P300">
            <v>48</v>
          </cell>
          <cell r="Q300">
            <v>260</v>
          </cell>
        </row>
        <row r="301">
          <cell r="A301" t="str">
            <v>Refreshment</v>
          </cell>
          <cell r="B301">
            <v>2017</v>
          </cell>
          <cell r="C301" t="str">
            <v>Josh</v>
          </cell>
          <cell r="D301" t="str">
            <v>TW</v>
          </cell>
          <cell r="E301">
            <v>0</v>
          </cell>
          <cell r="F301" t="str">
            <v>Desktop Refreshments</v>
          </cell>
          <cell r="G301" t="str">
            <v>8 monitors</v>
          </cell>
          <cell r="H301" t="str">
            <v>TW</v>
          </cell>
          <cell r="I301" t="str">
            <v>HP</v>
          </cell>
          <cell r="J301" t="str">
            <v>TWD</v>
          </cell>
          <cell r="K301">
            <v>41600</v>
          </cell>
          <cell r="L301" t="str">
            <v>HKD</v>
          </cell>
          <cell r="M301">
            <v>10192</v>
          </cell>
          <cell r="N301">
            <v>8</v>
          </cell>
          <cell r="O301">
            <v>4</v>
          </cell>
          <cell r="P301">
            <v>48</v>
          </cell>
          <cell r="Q301">
            <v>849.33333333333337</v>
          </cell>
        </row>
        <row r="302">
          <cell r="A302" t="str">
            <v>Refreshment</v>
          </cell>
          <cell r="B302">
            <v>2017</v>
          </cell>
          <cell r="C302" t="str">
            <v>Edmond</v>
          </cell>
          <cell r="D302" t="str">
            <v>TH</v>
          </cell>
          <cell r="E302">
            <v>0</v>
          </cell>
          <cell r="F302" t="str">
            <v>Desktop Refreshments</v>
          </cell>
          <cell r="G302" t="str">
            <v>Monitor Replacement (5)</v>
          </cell>
          <cell r="H302" t="str">
            <v>TH</v>
          </cell>
          <cell r="I302">
            <v>0</v>
          </cell>
          <cell r="J302" t="str">
            <v>HKD</v>
          </cell>
          <cell r="K302">
            <v>4455</v>
          </cell>
          <cell r="L302" t="str">
            <v>HKD</v>
          </cell>
          <cell r="M302">
            <v>4455</v>
          </cell>
          <cell r="N302">
            <v>4</v>
          </cell>
          <cell r="O302">
            <v>8</v>
          </cell>
          <cell r="P302">
            <v>48</v>
          </cell>
          <cell r="Q302">
            <v>742.5</v>
          </cell>
        </row>
        <row r="303">
          <cell r="A303" t="str">
            <v>Refreshment</v>
          </cell>
          <cell r="B303">
            <v>2018</v>
          </cell>
          <cell r="C303" t="str">
            <v>Hiroshi</v>
          </cell>
          <cell r="D303" t="str">
            <v>JP</v>
          </cell>
          <cell r="E303">
            <v>0</v>
          </cell>
          <cell r="F303" t="str">
            <v>Desktop Refreshments</v>
          </cell>
          <cell r="G303" t="str">
            <v>10 x 21.5" monitors</v>
          </cell>
          <cell r="H303" t="str">
            <v>JP</v>
          </cell>
          <cell r="I303" t="str">
            <v>HP</v>
          </cell>
          <cell r="J303" t="str">
            <v>JPY</v>
          </cell>
          <cell r="K303">
            <v>218340</v>
          </cell>
          <cell r="L303" t="str">
            <v>HKD</v>
          </cell>
          <cell r="M303">
            <v>13668.084000000001</v>
          </cell>
          <cell r="N303">
            <v>1</v>
          </cell>
          <cell r="O303">
            <v>11</v>
          </cell>
          <cell r="P303">
            <v>48</v>
          </cell>
          <cell r="Q303">
            <v>3132.2692500000003</v>
          </cell>
        </row>
        <row r="304">
          <cell r="A304" t="str">
            <v>Refreshment</v>
          </cell>
          <cell r="B304">
            <v>2018</v>
          </cell>
          <cell r="C304" t="str">
            <v>Josh</v>
          </cell>
          <cell r="D304" t="str">
            <v>TW</v>
          </cell>
          <cell r="E304">
            <v>0</v>
          </cell>
          <cell r="F304" t="str">
            <v>Desktop Refreshments</v>
          </cell>
          <cell r="G304" t="str">
            <v>8 monitors</v>
          </cell>
          <cell r="H304" t="str">
            <v>TW</v>
          </cell>
          <cell r="I304" t="str">
            <v>HP</v>
          </cell>
          <cell r="J304" t="str">
            <v>TWD</v>
          </cell>
          <cell r="K304">
            <v>41600</v>
          </cell>
          <cell r="L304" t="str">
            <v>HKD</v>
          </cell>
          <cell r="M304">
            <v>10192</v>
          </cell>
          <cell r="N304">
            <v>8</v>
          </cell>
          <cell r="O304">
            <v>4</v>
          </cell>
          <cell r="P304">
            <v>48</v>
          </cell>
          <cell r="Q304">
            <v>849.33333333333337</v>
          </cell>
        </row>
        <row r="305">
          <cell r="A305" t="str">
            <v>Refreshment</v>
          </cell>
          <cell r="B305">
            <v>2018</v>
          </cell>
          <cell r="C305" t="str">
            <v>Edmond</v>
          </cell>
          <cell r="D305" t="str">
            <v>TH</v>
          </cell>
          <cell r="E305">
            <v>0</v>
          </cell>
          <cell r="F305" t="str">
            <v>Desktop Refreshments</v>
          </cell>
          <cell r="G305" t="str">
            <v>Monitor Replacement (5)</v>
          </cell>
          <cell r="H305" t="str">
            <v>TH</v>
          </cell>
          <cell r="I305">
            <v>0</v>
          </cell>
          <cell r="J305" t="str">
            <v>HKD</v>
          </cell>
          <cell r="K305">
            <v>4455</v>
          </cell>
          <cell r="L305" t="str">
            <v>HKD</v>
          </cell>
          <cell r="M305">
            <v>4455</v>
          </cell>
          <cell r="N305">
            <v>4</v>
          </cell>
          <cell r="O305">
            <v>8</v>
          </cell>
          <cell r="P305">
            <v>48</v>
          </cell>
          <cell r="Q305">
            <v>742.5</v>
          </cell>
        </row>
        <row r="306">
          <cell r="A306" t="str">
            <v>New Project</v>
          </cell>
          <cell r="B306">
            <v>2016</v>
          </cell>
          <cell r="C306" t="str">
            <v>Allen</v>
          </cell>
          <cell r="D306" t="str">
            <v>HK-VPSL</v>
          </cell>
          <cell r="E306">
            <v>0</v>
          </cell>
          <cell r="F306" t="str">
            <v>Mortgage Valuation System</v>
          </cell>
          <cell r="G306" t="str">
            <v>To replace current Pivotal Valuation System (7 years+)</v>
          </cell>
          <cell r="H306" t="str">
            <v>VPSL</v>
          </cell>
          <cell r="I306">
            <v>0</v>
          </cell>
          <cell r="J306" t="str">
            <v>HKD</v>
          </cell>
          <cell r="K306">
            <v>750000</v>
          </cell>
          <cell r="L306" t="str">
            <v>HKD</v>
          </cell>
          <cell r="M306">
            <v>750000</v>
          </cell>
          <cell r="N306">
            <v>1</v>
          </cell>
          <cell r="O306">
            <v>11</v>
          </cell>
          <cell r="P306">
            <v>60</v>
          </cell>
          <cell r="Q306">
            <v>137500</v>
          </cell>
        </row>
        <row r="307">
          <cell r="A307" t="str">
            <v>Proposed Project</v>
          </cell>
          <cell r="B307">
            <v>2015</v>
          </cell>
          <cell r="C307" t="str">
            <v>Quen</v>
          </cell>
          <cell r="D307" t="str">
            <v>VN</v>
          </cell>
          <cell r="E307">
            <v>0</v>
          </cell>
          <cell r="F307" t="str">
            <v>MS CRM 2012</v>
          </cell>
          <cell r="G307" t="str">
            <v xml:space="preserve">MS CRM 2012 for VN </v>
          </cell>
          <cell r="H307" t="str">
            <v>VN</v>
          </cell>
          <cell r="I307" t="str">
            <v>Microsoft</v>
          </cell>
          <cell r="J307" t="str">
            <v>VND</v>
          </cell>
          <cell r="K307">
            <v>500000000</v>
          </cell>
          <cell r="L307" t="str">
            <v>HKD</v>
          </cell>
          <cell r="M307">
            <v>200000</v>
          </cell>
          <cell r="N307">
            <v>2</v>
          </cell>
          <cell r="O307">
            <v>10</v>
          </cell>
          <cell r="P307">
            <v>60</v>
          </cell>
          <cell r="Q307">
            <v>33333.333333333336</v>
          </cell>
        </row>
        <row r="308">
          <cell r="A308" t="str">
            <v>Proposed Project</v>
          </cell>
          <cell r="B308">
            <v>2016</v>
          </cell>
          <cell r="C308" t="str">
            <v>Josh</v>
          </cell>
          <cell r="D308" t="str">
            <v>TW</v>
          </cell>
          <cell r="E308">
            <v>0</v>
          </cell>
          <cell r="F308" t="str">
            <v>MSSQL License - HR System</v>
          </cell>
          <cell r="G308" t="str">
            <v>MS SQL Server Std - 4 core license</v>
          </cell>
          <cell r="H308" t="str">
            <v>TW</v>
          </cell>
          <cell r="I308" t="str">
            <v>Microsoft</v>
          </cell>
          <cell r="J308" t="str">
            <v>TWD</v>
          </cell>
          <cell r="K308">
            <v>155000</v>
          </cell>
          <cell r="L308" t="str">
            <v>HKD</v>
          </cell>
          <cell r="M308">
            <v>37975</v>
          </cell>
          <cell r="N308">
            <v>7</v>
          </cell>
          <cell r="O308">
            <v>5</v>
          </cell>
          <cell r="P308">
            <v>36</v>
          </cell>
          <cell r="Q308">
            <v>5274.3055555555557</v>
          </cell>
        </row>
        <row r="309">
          <cell r="A309" t="str">
            <v>Expansion</v>
          </cell>
          <cell r="B309">
            <v>2016</v>
          </cell>
          <cell r="C309" t="str">
            <v>Kassapa</v>
          </cell>
          <cell r="D309" t="str">
            <v>TH</v>
          </cell>
          <cell r="E309">
            <v>0</v>
          </cell>
          <cell r="F309" t="str">
            <v>NAS Project for sites office</v>
          </cell>
          <cell r="G309" t="str">
            <v>NAS synology DS215J x 10</v>
          </cell>
          <cell r="H309" t="str">
            <v>TH</v>
          </cell>
          <cell r="I309">
            <v>0</v>
          </cell>
          <cell r="J309" t="str">
            <v>THB</v>
          </cell>
          <cell r="K309">
            <v>80000</v>
          </cell>
          <cell r="L309" t="str">
            <v>HKD</v>
          </cell>
          <cell r="M309">
            <v>17728</v>
          </cell>
          <cell r="N309">
            <v>2</v>
          </cell>
          <cell r="O309">
            <v>10</v>
          </cell>
          <cell r="P309">
            <v>36</v>
          </cell>
          <cell r="Q309">
            <v>4924.4444444444443</v>
          </cell>
        </row>
        <row r="310">
          <cell r="A310" t="str">
            <v>Expansion</v>
          </cell>
          <cell r="B310">
            <v>2016</v>
          </cell>
          <cell r="C310" t="str">
            <v>Kassapa</v>
          </cell>
          <cell r="D310" t="str">
            <v>TH</v>
          </cell>
          <cell r="E310">
            <v>0</v>
          </cell>
          <cell r="F310" t="str">
            <v>NAS Upgrades</v>
          </cell>
          <cell r="G310" t="str">
            <v>HDD for NAS 1TB x 20</v>
          </cell>
          <cell r="H310" t="str">
            <v>TH</v>
          </cell>
          <cell r="I310">
            <v>0</v>
          </cell>
          <cell r="J310" t="str">
            <v>THB</v>
          </cell>
          <cell r="K310">
            <v>50000</v>
          </cell>
          <cell r="L310" t="str">
            <v>HKD</v>
          </cell>
          <cell r="M310">
            <v>11080</v>
          </cell>
          <cell r="N310">
            <v>2</v>
          </cell>
          <cell r="O310">
            <v>10</v>
          </cell>
          <cell r="P310">
            <v>36</v>
          </cell>
          <cell r="Q310">
            <v>3077.7777777777778</v>
          </cell>
        </row>
        <row r="311">
          <cell r="A311" t="str">
            <v>New Project</v>
          </cell>
          <cell r="B311">
            <v>2016</v>
          </cell>
          <cell r="C311" t="str">
            <v>Infra</v>
          </cell>
          <cell r="D311" t="str">
            <v>HK-MSL</v>
          </cell>
          <cell r="E311">
            <v>0</v>
          </cell>
          <cell r="F311" t="str">
            <v xml:space="preserve">Netscaler Insight </v>
          </cell>
          <cell r="G311" t="str">
            <v>NS Insight (Monitoring Tools)</v>
          </cell>
          <cell r="H311" t="str">
            <v>HK All</v>
          </cell>
          <cell r="I311">
            <v>0</v>
          </cell>
          <cell r="J311" t="str">
            <v>HKD</v>
          </cell>
          <cell r="K311">
            <v>200000</v>
          </cell>
          <cell r="L311" t="str">
            <v>HKD</v>
          </cell>
          <cell r="M311">
            <v>200000</v>
          </cell>
          <cell r="N311">
            <v>5</v>
          </cell>
          <cell r="O311">
            <v>7</v>
          </cell>
          <cell r="P311">
            <v>36</v>
          </cell>
          <cell r="Q311">
            <v>38888.888888888891</v>
          </cell>
        </row>
        <row r="312">
          <cell r="A312" t="str">
            <v>Refreshment</v>
          </cell>
          <cell r="B312">
            <v>2016</v>
          </cell>
          <cell r="C312" t="str">
            <v>Kim</v>
          </cell>
          <cell r="D312" t="str">
            <v>KR</v>
          </cell>
          <cell r="E312">
            <v>0</v>
          </cell>
          <cell r="F312" t="str">
            <v>Network Equipment</v>
          </cell>
          <cell r="G312" t="str">
            <v xml:space="preserve">Purchase Sonicwall </v>
          </cell>
          <cell r="H312" t="str">
            <v>KR</v>
          </cell>
          <cell r="I312" t="str">
            <v>Dell</v>
          </cell>
          <cell r="J312" t="str">
            <v>WON</v>
          </cell>
          <cell r="K312">
            <v>18000000</v>
          </cell>
          <cell r="L312" t="str">
            <v>HKD</v>
          </cell>
          <cell r="M312">
            <v>120600</v>
          </cell>
          <cell r="N312">
            <v>9</v>
          </cell>
          <cell r="O312">
            <v>3</v>
          </cell>
          <cell r="P312">
            <v>48</v>
          </cell>
          <cell r="Q312">
            <v>7537.5</v>
          </cell>
        </row>
        <row r="313">
          <cell r="A313" t="str">
            <v>Refreshment</v>
          </cell>
          <cell r="B313">
            <v>2018</v>
          </cell>
          <cell r="C313" t="str">
            <v>Kim</v>
          </cell>
          <cell r="D313" t="str">
            <v>KR</v>
          </cell>
          <cell r="E313">
            <v>0</v>
          </cell>
          <cell r="F313" t="str">
            <v>Network Equipment</v>
          </cell>
          <cell r="G313" t="str">
            <v>Purchase Network equipments</v>
          </cell>
          <cell r="H313" t="str">
            <v>KR</v>
          </cell>
          <cell r="I313" t="str">
            <v>Dell</v>
          </cell>
          <cell r="J313" t="str">
            <v>WON</v>
          </cell>
          <cell r="K313">
            <v>15800000</v>
          </cell>
          <cell r="L313" t="str">
            <v>HKD</v>
          </cell>
          <cell r="M313">
            <v>105860</v>
          </cell>
          <cell r="N313">
            <v>10</v>
          </cell>
          <cell r="O313">
            <v>2</v>
          </cell>
          <cell r="P313">
            <v>48</v>
          </cell>
          <cell r="Q313">
            <v>4410.833333333333</v>
          </cell>
        </row>
        <row r="314">
          <cell r="A314" t="str">
            <v>Refreshment</v>
          </cell>
          <cell r="B314">
            <v>2015</v>
          </cell>
          <cell r="C314">
            <v>0</v>
          </cell>
          <cell r="D314" t="str">
            <v>MO</v>
          </cell>
          <cell r="E314">
            <v>0</v>
          </cell>
          <cell r="F314" t="str">
            <v>Network equipment refreshment</v>
          </cell>
          <cell r="G314" t="str">
            <v>Firewall (Sonicwall NSA 240)  replacement</v>
          </cell>
          <cell r="H314" t="str">
            <v>MO</v>
          </cell>
          <cell r="I314">
            <v>0</v>
          </cell>
          <cell r="J314" t="str">
            <v>HKD</v>
          </cell>
          <cell r="K314">
            <v>60000</v>
          </cell>
          <cell r="L314" t="str">
            <v>HKD</v>
          </cell>
          <cell r="M314">
            <v>60000</v>
          </cell>
          <cell r="N314">
            <v>1</v>
          </cell>
          <cell r="O314">
            <v>11</v>
          </cell>
          <cell r="P314">
            <v>36</v>
          </cell>
          <cell r="Q314">
            <v>18333.333333333336</v>
          </cell>
        </row>
        <row r="315">
          <cell r="A315" t="str">
            <v>Refreshment</v>
          </cell>
          <cell r="B315">
            <v>2016</v>
          </cell>
          <cell r="C315">
            <v>0</v>
          </cell>
          <cell r="D315" t="str">
            <v>MO</v>
          </cell>
          <cell r="E315">
            <v>0</v>
          </cell>
          <cell r="F315" t="str">
            <v>Network equipment refreshment</v>
          </cell>
          <cell r="G315" t="str">
            <v>Firewall for wifi network (Sonicwall + sonicwall + CGSS)</v>
          </cell>
          <cell r="H315" t="str">
            <v>MO</v>
          </cell>
          <cell r="I315">
            <v>0</v>
          </cell>
          <cell r="J315" t="str">
            <v>HKD</v>
          </cell>
          <cell r="K315">
            <v>20000</v>
          </cell>
          <cell r="L315" t="str">
            <v>HKD</v>
          </cell>
          <cell r="M315">
            <v>20000</v>
          </cell>
          <cell r="N315">
            <v>1</v>
          </cell>
          <cell r="O315">
            <v>11</v>
          </cell>
          <cell r="P315">
            <v>36</v>
          </cell>
          <cell r="Q315">
            <v>6111.1111111111113</v>
          </cell>
        </row>
        <row r="316">
          <cell r="A316" t="str">
            <v>Refreshment</v>
          </cell>
          <cell r="B316">
            <v>2016</v>
          </cell>
          <cell r="C316" t="str">
            <v>Edmond</v>
          </cell>
          <cell r="D316" t="str">
            <v>TH</v>
          </cell>
          <cell r="E316">
            <v>0</v>
          </cell>
          <cell r="F316" t="str">
            <v>Network refreshment</v>
          </cell>
          <cell r="G316" t="str">
            <v>Replacement of HP 2650 user switch</v>
          </cell>
          <cell r="H316" t="str">
            <v>TH</v>
          </cell>
          <cell r="I316">
            <v>0</v>
          </cell>
          <cell r="J316" t="str">
            <v>HKD</v>
          </cell>
          <cell r="K316">
            <v>8963</v>
          </cell>
          <cell r="L316" t="str">
            <v>HKD</v>
          </cell>
          <cell r="M316">
            <v>8963</v>
          </cell>
          <cell r="N316">
            <v>11</v>
          </cell>
          <cell r="O316">
            <v>1</v>
          </cell>
          <cell r="P316">
            <v>36</v>
          </cell>
          <cell r="Q316">
            <v>248.97222222222223</v>
          </cell>
        </row>
        <row r="317">
          <cell r="A317" t="str">
            <v>Refreshment</v>
          </cell>
          <cell r="B317">
            <v>2015</v>
          </cell>
          <cell r="C317" t="str">
            <v>Peter</v>
          </cell>
          <cell r="D317" t="str">
            <v>CN</v>
          </cell>
          <cell r="E317">
            <v>0</v>
          </cell>
          <cell r="F317" t="str">
            <v>Network Replacement</v>
          </cell>
          <cell r="G317" t="str">
            <v>HP ProCurve 2650 x 17 --&gt; HP ProCurve 2620-48</v>
          </cell>
          <cell r="H317" t="str">
            <v>CN</v>
          </cell>
          <cell r="I317" t="str">
            <v>HP</v>
          </cell>
          <cell r="J317" t="str">
            <v>RMB</v>
          </cell>
          <cell r="K317">
            <v>200000</v>
          </cell>
          <cell r="L317" t="str">
            <v>HKD</v>
          </cell>
          <cell r="M317">
            <v>249700</v>
          </cell>
          <cell r="N317">
            <v>10</v>
          </cell>
          <cell r="O317">
            <v>2</v>
          </cell>
          <cell r="P317">
            <v>48</v>
          </cell>
          <cell r="Q317">
            <v>10404.166666666666</v>
          </cell>
        </row>
        <row r="318">
          <cell r="A318" t="str">
            <v>Refreshment</v>
          </cell>
          <cell r="B318">
            <v>2015</v>
          </cell>
          <cell r="C318" t="str">
            <v>Peter</v>
          </cell>
          <cell r="D318" t="str">
            <v>CN</v>
          </cell>
          <cell r="E318">
            <v>0</v>
          </cell>
          <cell r="F318" t="str">
            <v>Network Replacement</v>
          </cell>
          <cell r="G318" t="str">
            <v>HP ProCurve 2626 x 7 --&gt; HP ProCurve 2620-24</v>
          </cell>
          <cell r="H318" t="str">
            <v>CN</v>
          </cell>
          <cell r="I318" t="str">
            <v>HP</v>
          </cell>
          <cell r="J318" t="str">
            <v>RMB</v>
          </cell>
          <cell r="K318">
            <v>48000</v>
          </cell>
          <cell r="L318" t="str">
            <v>HKD</v>
          </cell>
          <cell r="M318">
            <v>59928</v>
          </cell>
          <cell r="N318">
            <v>10</v>
          </cell>
          <cell r="O318">
            <v>2</v>
          </cell>
          <cell r="P318">
            <v>48</v>
          </cell>
          <cell r="Q318">
            <v>2497</v>
          </cell>
        </row>
        <row r="319">
          <cell r="A319" t="str">
            <v>Refreshment</v>
          </cell>
          <cell r="B319">
            <v>2015</v>
          </cell>
          <cell r="C319" t="str">
            <v>Peter</v>
          </cell>
          <cell r="D319" t="str">
            <v>CN</v>
          </cell>
          <cell r="E319">
            <v>0</v>
          </cell>
          <cell r="F319" t="str">
            <v>Network Replacement</v>
          </cell>
          <cell r="G319" t="str">
            <v>HP ProCurve 2824 x 6 -&gt; HP ProCurve 2910al-24G</v>
          </cell>
          <cell r="H319" t="str">
            <v>CN</v>
          </cell>
          <cell r="I319" t="str">
            <v>HP</v>
          </cell>
          <cell r="J319" t="str">
            <v>RMB</v>
          </cell>
          <cell r="K319">
            <v>130000</v>
          </cell>
          <cell r="L319" t="str">
            <v>HKD</v>
          </cell>
          <cell r="M319">
            <v>162305</v>
          </cell>
          <cell r="N319">
            <v>10</v>
          </cell>
          <cell r="O319">
            <v>2</v>
          </cell>
          <cell r="P319">
            <v>48</v>
          </cell>
          <cell r="Q319">
            <v>6762.708333333333</v>
          </cell>
        </row>
        <row r="320">
          <cell r="A320" t="str">
            <v>Refreshment</v>
          </cell>
          <cell r="B320">
            <v>2015</v>
          </cell>
          <cell r="C320" t="str">
            <v>Peter</v>
          </cell>
          <cell r="D320" t="str">
            <v>CN</v>
          </cell>
          <cell r="E320">
            <v>0</v>
          </cell>
          <cell r="F320" t="str">
            <v>Network Replacement</v>
          </cell>
          <cell r="G320" t="str">
            <v>BJ NSA 2400 -&gt; NSA 2600 with 3 yrs warranty &amp; CGSS</v>
          </cell>
          <cell r="H320" t="str">
            <v>BJ</v>
          </cell>
          <cell r="I320" t="str">
            <v>HP</v>
          </cell>
          <cell r="J320" t="str">
            <v>RMB</v>
          </cell>
          <cell r="K320">
            <v>39000</v>
          </cell>
          <cell r="L320" t="str">
            <v>HKD</v>
          </cell>
          <cell r="M320">
            <v>48691.5</v>
          </cell>
          <cell r="N320">
            <v>10</v>
          </cell>
          <cell r="O320">
            <v>2</v>
          </cell>
          <cell r="P320">
            <v>48</v>
          </cell>
          <cell r="Q320">
            <v>2028.8125</v>
          </cell>
        </row>
        <row r="321">
          <cell r="A321" t="str">
            <v>Refreshment</v>
          </cell>
          <cell r="B321">
            <v>2015</v>
          </cell>
          <cell r="C321" t="str">
            <v>Peter</v>
          </cell>
          <cell r="D321" t="str">
            <v>CN</v>
          </cell>
          <cell r="E321">
            <v>0</v>
          </cell>
          <cell r="F321" t="str">
            <v>Network Replacement</v>
          </cell>
          <cell r="G321" t="str">
            <v>SH NSA 2400 -&gt; NSA 3600 HA with  3 yrs warranty &amp; CGSS</v>
          </cell>
          <cell r="H321" t="str">
            <v>CN</v>
          </cell>
          <cell r="I321" t="str">
            <v>HP</v>
          </cell>
          <cell r="J321" t="str">
            <v>RMB</v>
          </cell>
          <cell r="K321">
            <v>500000</v>
          </cell>
          <cell r="L321" t="str">
            <v>HKD</v>
          </cell>
          <cell r="M321">
            <v>624250</v>
          </cell>
          <cell r="N321">
            <v>10</v>
          </cell>
          <cell r="O321">
            <v>2</v>
          </cell>
          <cell r="P321">
            <v>48</v>
          </cell>
          <cell r="Q321">
            <v>26010.416666666668</v>
          </cell>
        </row>
        <row r="322">
          <cell r="A322" t="str">
            <v>Refreshment</v>
          </cell>
          <cell r="B322">
            <v>2015</v>
          </cell>
          <cell r="C322" t="str">
            <v>Peter</v>
          </cell>
          <cell r="D322" t="str">
            <v>CN</v>
          </cell>
          <cell r="E322">
            <v>0</v>
          </cell>
          <cell r="F322" t="str">
            <v>Network Replacement</v>
          </cell>
          <cell r="G322" t="str">
            <v>ZH TZ210W -&gt; TZ215W</v>
          </cell>
          <cell r="H322" t="str">
            <v>ZH</v>
          </cell>
          <cell r="I322" t="str">
            <v>HP</v>
          </cell>
          <cell r="J322" t="str">
            <v>RMB</v>
          </cell>
          <cell r="K322">
            <v>13400</v>
          </cell>
          <cell r="L322" t="str">
            <v>HKD</v>
          </cell>
          <cell r="M322">
            <v>16729.899999999998</v>
          </cell>
          <cell r="N322">
            <v>10</v>
          </cell>
          <cell r="O322">
            <v>2</v>
          </cell>
          <cell r="P322">
            <v>48</v>
          </cell>
          <cell r="Q322">
            <v>697.07916666666654</v>
          </cell>
        </row>
        <row r="323">
          <cell r="A323" t="str">
            <v>Refreshment</v>
          </cell>
          <cell r="B323">
            <v>2015</v>
          </cell>
          <cell r="C323" t="str">
            <v>Peter</v>
          </cell>
          <cell r="D323" t="str">
            <v>CN</v>
          </cell>
          <cell r="E323">
            <v>0</v>
          </cell>
          <cell r="F323" t="str">
            <v>Network Replacement</v>
          </cell>
          <cell r="G323" t="str">
            <v>Citrix Repeater Warranty Renewal (2015-2016)</v>
          </cell>
          <cell r="H323" t="str">
            <v>CN</v>
          </cell>
          <cell r="I323" t="str">
            <v>HP</v>
          </cell>
          <cell r="J323" t="str">
            <v>RMB</v>
          </cell>
          <cell r="K323">
            <v>90000</v>
          </cell>
          <cell r="L323" t="str">
            <v>HKD</v>
          </cell>
          <cell r="M323">
            <v>112365</v>
          </cell>
          <cell r="N323">
            <v>10</v>
          </cell>
          <cell r="O323">
            <v>2</v>
          </cell>
          <cell r="P323">
            <v>48</v>
          </cell>
          <cell r="Q323">
            <v>4681.875</v>
          </cell>
        </row>
        <row r="324">
          <cell r="A324" t="str">
            <v>Refreshment</v>
          </cell>
          <cell r="B324">
            <v>2015</v>
          </cell>
          <cell r="C324" t="str">
            <v>Peter</v>
          </cell>
          <cell r="D324" t="str">
            <v>CN</v>
          </cell>
          <cell r="E324">
            <v>0</v>
          </cell>
          <cell r="F324" t="str">
            <v>Network Replacement</v>
          </cell>
          <cell r="G324" t="str">
            <v>Citrix NetScaler Branch Repeater (SH Primary Repeater)</v>
          </cell>
          <cell r="H324" t="str">
            <v>CN</v>
          </cell>
          <cell r="I324" t="str">
            <v>HP</v>
          </cell>
          <cell r="J324" t="str">
            <v>RMB</v>
          </cell>
          <cell r="K324">
            <v>400000</v>
          </cell>
          <cell r="L324" t="str">
            <v>HKD</v>
          </cell>
          <cell r="M324">
            <v>499400</v>
          </cell>
          <cell r="N324">
            <v>10</v>
          </cell>
          <cell r="O324">
            <v>2</v>
          </cell>
          <cell r="P324">
            <v>48</v>
          </cell>
          <cell r="Q324">
            <v>20808.333333333332</v>
          </cell>
        </row>
        <row r="325">
          <cell r="A325" t="str">
            <v>Refreshment</v>
          </cell>
          <cell r="B325">
            <v>2015</v>
          </cell>
          <cell r="C325" t="str">
            <v>Peter</v>
          </cell>
          <cell r="D325" t="str">
            <v>CN</v>
          </cell>
          <cell r="E325">
            <v>0</v>
          </cell>
          <cell r="F325" t="str">
            <v>Network Replacement</v>
          </cell>
          <cell r="G325" t="str">
            <v xml:space="preserve">Citrix NetScaler Access Gateway Upgrade </v>
          </cell>
          <cell r="H325" t="str">
            <v>CN</v>
          </cell>
          <cell r="I325" t="str">
            <v>HP</v>
          </cell>
          <cell r="J325" t="str">
            <v>RMB</v>
          </cell>
          <cell r="K325">
            <v>50000</v>
          </cell>
          <cell r="L325" t="str">
            <v>HKD</v>
          </cell>
          <cell r="M325">
            <v>62425</v>
          </cell>
          <cell r="N325">
            <v>10</v>
          </cell>
          <cell r="O325">
            <v>2</v>
          </cell>
          <cell r="P325">
            <v>48</v>
          </cell>
          <cell r="Q325">
            <v>2601.0416666666665</v>
          </cell>
        </row>
        <row r="326">
          <cell r="A326" t="str">
            <v>Refreshment</v>
          </cell>
          <cell r="B326">
            <v>2016</v>
          </cell>
          <cell r="C326" t="str">
            <v>Peter</v>
          </cell>
          <cell r="D326" t="str">
            <v>CN</v>
          </cell>
          <cell r="E326">
            <v>0</v>
          </cell>
          <cell r="F326" t="str">
            <v>Network Replacement</v>
          </cell>
          <cell r="G326" t="str">
            <v>Sonicwall TZ210W -&gt; TZ215W</v>
          </cell>
          <cell r="H326" t="str">
            <v>HZ</v>
          </cell>
          <cell r="I326" t="str">
            <v>Sonicwall</v>
          </cell>
          <cell r="J326" t="str">
            <v>RMB</v>
          </cell>
          <cell r="K326">
            <v>13400</v>
          </cell>
          <cell r="L326" t="str">
            <v>HKD</v>
          </cell>
          <cell r="M326">
            <v>16729.899999999998</v>
          </cell>
          <cell r="N326">
            <v>6</v>
          </cell>
          <cell r="O326">
            <v>6</v>
          </cell>
          <cell r="P326">
            <v>36</v>
          </cell>
          <cell r="Q326">
            <v>2788.3166666666662</v>
          </cell>
        </row>
        <row r="327">
          <cell r="A327" t="str">
            <v>Refreshment</v>
          </cell>
          <cell r="B327">
            <v>2016</v>
          </cell>
          <cell r="C327" t="str">
            <v>Peter</v>
          </cell>
          <cell r="D327" t="str">
            <v>CN</v>
          </cell>
          <cell r="E327">
            <v>0</v>
          </cell>
          <cell r="F327" t="str">
            <v>Network Replacement</v>
          </cell>
          <cell r="G327" t="str">
            <v>Sonicwall TZ210W -&gt; TZ215W</v>
          </cell>
          <cell r="H327" t="str">
            <v>DL</v>
          </cell>
          <cell r="I327" t="str">
            <v>Sonicwall</v>
          </cell>
          <cell r="J327" t="str">
            <v>RMB</v>
          </cell>
          <cell r="K327">
            <v>13400</v>
          </cell>
          <cell r="L327" t="str">
            <v>HKD</v>
          </cell>
          <cell r="M327">
            <v>16729.899999999998</v>
          </cell>
          <cell r="N327">
            <v>6</v>
          </cell>
          <cell r="O327">
            <v>6</v>
          </cell>
          <cell r="P327">
            <v>36</v>
          </cell>
          <cell r="Q327">
            <v>2788.3166666666662</v>
          </cell>
        </row>
        <row r="328">
          <cell r="A328" t="str">
            <v>Refreshment</v>
          </cell>
          <cell r="B328">
            <v>2016</v>
          </cell>
          <cell r="C328" t="str">
            <v>Peter</v>
          </cell>
          <cell r="D328" t="str">
            <v>CN</v>
          </cell>
          <cell r="E328">
            <v>0</v>
          </cell>
          <cell r="F328" t="str">
            <v>Network Replacement</v>
          </cell>
          <cell r="G328" t="str">
            <v>Sonicwall TZ210W -&gt; TZ215W</v>
          </cell>
          <cell r="H328" t="str">
            <v>SY</v>
          </cell>
          <cell r="I328" t="str">
            <v>Sonicwall</v>
          </cell>
          <cell r="J328" t="str">
            <v>RMB</v>
          </cell>
          <cell r="K328">
            <v>13400</v>
          </cell>
          <cell r="L328" t="str">
            <v>HKD</v>
          </cell>
          <cell r="M328">
            <v>16729.899999999998</v>
          </cell>
          <cell r="N328">
            <v>6</v>
          </cell>
          <cell r="O328">
            <v>6</v>
          </cell>
          <cell r="P328">
            <v>36</v>
          </cell>
          <cell r="Q328">
            <v>2788.3166666666662</v>
          </cell>
        </row>
        <row r="329">
          <cell r="A329" t="str">
            <v>Refreshment</v>
          </cell>
          <cell r="B329">
            <v>2016</v>
          </cell>
          <cell r="C329" t="str">
            <v>Peter</v>
          </cell>
          <cell r="D329" t="str">
            <v>CN</v>
          </cell>
          <cell r="E329">
            <v>0</v>
          </cell>
          <cell r="F329" t="str">
            <v>Network Replacement</v>
          </cell>
          <cell r="G329" t="str">
            <v>Sonicwall TZ210W -&gt; TZ215W</v>
          </cell>
          <cell r="H329" t="str">
            <v>QD</v>
          </cell>
          <cell r="I329" t="str">
            <v>Sonicwall</v>
          </cell>
          <cell r="J329" t="str">
            <v>RMB</v>
          </cell>
          <cell r="K329">
            <v>13400</v>
          </cell>
          <cell r="L329" t="str">
            <v>HKD</v>
          </cell>
          <cell r="M329">
            <v>16729.899999999998</v>
          </cell>
          <cell r="N329">
            <v>6</v>
          </cell>
          <cell r="O329">
            <v>6</v>
          </cell>
          <cell r="P329">
            <v>36</v>
          </cell>
          <cell r="Q329">
            <v>2788.3166666666662</v>
          </cell>
        </row>
        <row r="330">
          <cell r="A330" t="str">
            <v>Refreshment</v>
          </cell>
          <cell r="B330">
            <v>2016</v>
          </cell>
          <cell r="C330" t="str">
            <v>Peter</v>
          </cell>
          <cell r="D330" t="str">
            <v>CN</v>
          </cell>
          <cell r="E330">
            <v>0</v>
          </cell>
          <cell r="F330" t="str">
            <v>Network Replacement</v>
          </cell>
          <cell r="G330" t="str">
            <v>Sonicwall TZ210W -&gt; TZ215W</v>
          </cell>
          <cell r="H330" t="str">
            <v>XA</v>
          </cell>
          <cell r="I330" t="str">
            <v>Sonicwall</v>
          </cell>
          <cell r="J330" t="str">
            <v>RMB</v>
          </cell>
          <cell r="K330">
            <v>13400</v>
          </cell>
          <cell r="L330" t="str">
            <v>HKD</v>
          </cell>
          <cell r="M330">
            <v>16729.899999999998</v>
          </cell>
          <cell r="N330">
            <v>6</v>
          </cell>
          <cell r="O330">
            <v>6</v>
          </cell>
          <cell r="P330">
            <v>36</v>
          </cell>
          <cell r="Q330">
            <v>2788.3166666666662</v>
          </cell>
        </row>
        <row r="331">
          <cell r="A331" t="str">
            <v>Refreshment</v>
          </cell>
          <cell r="B331">
            <v>2016</v>
          </cell>
          <cell r="C331" t="str">
            <v>Peter</v>
          </cell>
          <cell r="D331" t="str">
            <v>CN</v>
          </cell>
          <cell r="E331">
            <v>0</v>
          </cell>
          <cell r="F331" t="str">
            <v>Network Replacement</v>
          </cell>
          <cell r="G331" t="str">
            <v>Sonicwall TZ210W -&gt; TZ215W</v>
          </cell>
          <cell r="H331" t="str">
            <v>ZH</v>
          </cell>
          <cell r="I331" t="str">
            <v>Sonicwall</v>
          </cell>
          <cell r="J331" t="str">
            <v>RMB</v>
          </cell>
          <cell r="K331">
            <v>13400</v>
          </cell>
          <cell r="L331" t="str">
            <v>HKD</v>
          </cell>
          <cell r="M331">
            <v>16729.899999999998</v>
          </cell>
          <cell r="N331">
            <v>6</v>
          </cell>
          <cell r="O331">
            <v>6</v>
          </cell>
          <cell r="P331">
            <v>36</v>
          </cell>
          <cell r="Q331">
            <v>2788.3166666666662</v>
          </cell>
        </row>
        <row r="332">
          <cell r="A332" t="str">
            <v>Refreshment</v>
          </cell>
          <cell r="B332">
            <v>2016</v>
          </cell>
          <cell r="C332" t="str">
            <v>Peter</v>
          </cell>
          <cell r="D332" t="str">
            <v>CN</v>
          </cell>
          <cell r="E332">
            <v>0</v>
          </cell>
          <cell r="F332" t="str">
            <v>Network Replacement</v>
          </cell>
          <cell r="G332" t="str">
            <v>Sonicwall TZ210W -&gt; TZ215W</v>
          </cell>
          <cell r="H332" t="str">
            <v>CQ</v>
          </cell>
          <cell r="I332" t="str">
            <v>Sonicwall</v>
          </cell>
          <cell r="J332" t="str">
            <v>RMB</v>
          </cell>
          <cell r="K332">
            <v>13400</v>
          </cell>
          <cell r="L332" t="str">
            <v>HKD</v>
          </cell>
          <cell r="M332">
            <v>16729.899999999998</v>
          </cell>
          <cell r="N332">
            <v>6</v>
          </cell>
          <cell r="O332">
            <v>6</v>
          </cell>
          <cell r="P332">
            <v>36</v>
          </cell>
          <cell r="Q332">
            <v>2788.3166666666662</v>
          </cell>
        </row>
        <row r="333">
          <cell r="A333" t="str">
            <v>Refreshment</v>
          </cell>
          <cell r="B333">
            <v>2016</v>
          </cell>
          <cell r="C333" t="str">
            <v>Peter</v>
          </cell>
          <cell r="D333" t="str">
            <v>CN</v>
          </cell>
          <cell r="E333">
            <v>0</v>
          </cell>
          <cell r="F333" t="str">
            <v>Network Replacement</v>
          </cell>
          <cell r="G333" t="str">
            <v>Sonicwall TZ210 -&gt; TZ215</v>
          </cell>
          <cell r="H333" t="str">
            <v>SH</v>
          </cell>
          <cell r="I333" t="str">
            <v>Sonicwall</v>
          </cell>
          <cell r="J333" t="str">
            <v>RMB</v>
          </cell>
          <cell r="K333">
            <v>12400</v>
          </cell>
          <cell r="L333" t="str">
            <v>HKD</v>
          </cell>
          <cell r="M333">
            <v>15481.4</v>
          </cell>
          <cell r="N333">
            <v>6</v>
          </cell>
          <cell r="O333">
            <v>6</v>
          </cell>
          <cell r="P333">
            <v>36</v>
          </cell>
          <cell r="Q333">
            <v>2580.2333333333336</v>
          </cell>
        </row>
        <row r="334">
          <cell r="A334" t="str">
            <v>Refreshment</v>
          </cell>
          <cell r="B334">
            <v>2016</v>
          </cell>
          <cell r="C334" t="str">
            <v>Peter</v>
          </cell>
          <cell r="D334" t="str">
            <v>CN</v>
          </cell>
          <cell r="E334">
            <v>0</v>
          </cell>
          <cell r="F334" t="str">
            <v>Network Replacement</v>
          </cell>
          <cell r="G334" t="str">
            <v>Sonicwall TZ210 -&gt; TZ215</v>
          </cell>
          <cell r="H334" t="str">
            <v>TJ</v>
          </cell>
          <cell r="I334" t="str">
            <v>Sonicwall</v>
          </cell>
          <cell r="J334" t="str">
            <v>RMB</v>
          </cell>
          <cell r="K334">
            <v>12400</v>
          </cell>
          <cell r="L334" t="str">
            <v>HKD</v>
          </cell>
          <cell r="M334">
            <v>15481.4</v>
          </cell>
          <cell r="N334">
            <v>6</v>
          </cell>
          <cell r="O334">
            <v>6</v>
          </cell>
          <cell r="P334">
            <v>36</v>
          </cell>
          <cell r="Q334">
            <v>2580.2333333333336</v>
          </cell>
        </row>
        <row r="335">
          <cell r="A335" t="str">
            <v>Refreshment</v>
          </cell>
          <cell r="B335">
            <v>2016</v>
          </cell>
          <cell r="C335" t="str">
            <v>Peter</v>
          </cell>
          <cell r="D335" t="str">
            <v>CN</v>
          </cell>
          <cell r="E335">
            <v>0</v>
          </cell>
          <cell r="F335" t="str">
            <v>Network Replacement</v>
          </cell>
          <cell r="G335" t="str">
            <v>Sonicwall TZ210 -&gt; TZ215</v>
          </cell>
          <cell r="H335" t="str">
            <v>GZ</v>
          </cell>
          <cell r="I335" t="str">
            <v>Sonicwall</v>
          </cell>
          <cell r="J335" t="str">
            <v>RMB</v>
          </cell>
          <cell r="K335">
            <v>12400</v>
          </cell>
          <cell r="L335" t="str">
            <v>HKD</v>
          </cell>
          <cell r="M335">
            <v>15481.4</v>
          </cell>
          <cell r="N335">
            <v>6</v>
          </cell>
          <cell r="O335">
            <v>6</v>
          </cell>
          <cell r="P335">
            <v>36</v>
          </cell>
          <cell r="Q335">
            <v>2580.2333333333336</v>
          </cell>
        </row>
        <row r="336">
          <cell r="A336" t="str">
            <v>Refreshment</v>
          </cell>
          <cell r="B336">
            <v>2016</v>
          </cell>
          <cell r="C336" t="str">
            <v>Peter</v>
          </cell>
          <cell r="D336" t="str">
            <v>CN</v>
          </cell>
          <cell r="E336">
            <v>0</v>
          </cell>
          <cell r="F336" t="str">
            <v>Network Replacement</v>
          </cell>
          <cell r="G336" t="str">
            <v>Sonicwall TZ210 -&gt; TZ215</v>
          </cell>
          <cell r="H336" t="str">
            <v>SZ</v>
          </cell>
          <cell r="I336" t="str">
            <v>Sonicwall</v>
          </cell>
          <cell r="J336" t="str">
            <v>RMB</v>
          </cell>
          <cell r="K336">
            <v>12400</v>
          </cell>
          <cell r="L336" t="str">
            <v>HKD</v>
          </cell>
          <cell r="M336">
            <v>15481.4</v>
          </cell>
          <cell r="N336">
            <v>6</v>
          </cell>
          <cell r="O336">
            <v>6</v>
          </cell>
          <cell r="P336">
            <v>36</v>
          </cell>
          <cell r="Q336">
            <v>2580.2333333333336</v>
          </cell>
        </row>
        <row r="337">
          <cell r="A337" t="str">
            <v>Refreshment</v>
          </cell>
          <cell r="B337">
            <v>2016</v>
          </cell>
          <cell r="C337" t="str">
            <v>Peter</v>
          </cell>
          <cell r="D337" t="str">
            <v>CN</v>
          </cell>
          <cell r="E337">
            <v>0</v>
          </cell>
          <cell r="F337" t="str">
            <v>Network Replacement</v>
          </cell>
          <cell r="G337" t="str">
            <v>Sonicwall TZ210 -&gt; TZ215</v>
          </cell>
          <cell r="H337" t="str">
            <v>CD</v>
          </cell>
          <cell r="I337" t="str">
            <v>Sonicwall</v>
          </cell>
          <cell r="J337" t="str">
            <v>RMB</v>
          </cell>
          <cell r="K337">
            <v>12400</v>
          </cell>
          <cell r="L337" t="str">
            <v>HKD</v>
          </cell>
          <cell r="M337">
            <v>15481.4</v>
          </cell>
          <cell r="N337">
            <v>6</v>
          </cell>
          <cell r="O337">
            <v>6</v>
          </cell>
          <cell r="P337">
            <v>36</v>
          </cell>
          <cell r="Q337">
            <v>2580.2333333333336</v>
          </cell>
        </row>
        <row r="338">
          <cell r="A338" t="str">
            <v>Refreshment</v>
          </cell>
          <cell r="B338">
            <v>2017</v>
          </cell>
          <cell r="C338" t="str">
            <v>Edmond</v>
          </cell>
          <cell r="D338" t="str">
            <v>TH</v>
          </cell>
          <cell r="E338">
            <v>0</v>
          </cell>
          <cell r="F338" t="str">
            <v>Network security</v>
          </cell>
          <cell r="G338" t="str">
            <v>Sonicwall NSA2600 CGSS renewal</v>
          </cell>
          <cell r="H338" t="str">
            <v>TH</v>
          </cell>
          <cell r="I338">
            <v>0</v>
          </cell>
          <cell r="J338" t="str">
            <v>HKD</v>
          </cell>
          <cell r="K338">
            <v>8100</v>
          </cell>
          <cell r="L338" t="str">
            <v>HKD</v>
          </cell>
          <cell r="M338">
            <v>8100</v>
          </cell>
          <cell r="N338">
            <v>10</v>
          </cell>
          <cell r="O338">
            <v>2</v>
          </cell>
          <cell r="P338">
            <v>36</v>
          </cell>
          <cell r="Q338">
            <v>450</v>
          </cell>
        </row>
        <row r="339">
          <cell r="A339" t="str">
            <v>New Project</v>
          </cell>
          <cell r="B339">
            <v>2015</v>
          </cell>
          <cell r="C339" t="str">
            <v>Infra</v>
          </cell>
          <cell r="D339" t="str">
            <v>HK-MSL</v>
          </cell>
          <cell r="E339">
            <v>0</v>
          </cell>
          <cell r="F339" t="str">
            <v>Network switch management Tools</v>
          </cell>
          <cell r="G339" t="str">
            <v>HP Intelligent Management Center (Licenses for 200 nodes + one VM Server</v>
          </cell>
          <cell r="H339" t="str">
            <v>AP Region</v>
          </cell>
          <cell r="I339">
            <v>0</v>
          </cell>
          <cell r="J339" t="str">
            <v>HKD</v>
          </cell>
          <cell r="K339">
            <v>150000</v>
          </cell>
          <cell r="L339" t="str">
            <v>HKD</v>
          </cell>
          <cell r="M339">
            <v>150000</v>
          </cell>
          <cell r="N339">
            <v>2</v>
          </cell>
          <cell r="O339">
            <v>10</v>
          </cell>
          <cell r="P339">
            <v>48</v>
          </cell>
          <cell r="Q339">
            <v>31250</v>
          </cell>
        </row>
        <row r="340">
          <cell r="A340" t="str">
            <v>New Project</v>
          </cell>
          <cell r="B340">
            <v>2015</v>
          </cell>
          <cell r="C340" t="str">
            <v>Hiroshi</v>
          </cell>
          <cell r="D340" t="str">
            <v>JP</v>
          </cell>
          <cell r="E340">
            <v>0</v>
          </cell>
          <cell r="F340" t="str">
            <v>New Domain Controller</v>
          </cell>
          <cell r="G340">
            <v>0</v>
          </cell>
          <cell r="H340" t="str">
            <v>JP</v>
          </cell>
          <cell r="I340" t="str">
            <v>HP</v>
          </cell>
          <cell r="J340" t="str">
            <v>JPY</v>
          </cell>
          <cell r="K340">
            <v>898269.79987065366</v>
          </cell>
          <cell r="L340" t="str">
            <v>HKD</v>
          </cell>
          <cell r="M340">
            <v>56231.689471902922</v>
          </cell>
          <cell r="N340">
            <v>10</v>
          </cell>
          <cell r="O340">
            <v>2</v>
          </cell>
          <cell r="P340">
            <v>36</v>
          </cell>
          <cell r="Q340">
            <v>3123.9827484390512</v>
          </cell>
        </row>
        <row r="341">
          <cell r="A341" t="str">
            <v>New Project</v>
          </cell>
          <cell r="B341">
            <v>2016</v>
          </cell>
          <cell r="C341" t="str">
            <v>Peter</v>
          </cell>
          <cell r="D341" t="str">
            <v>CN</v>
          </cell>
          <cell r="E341">
            <v>0</v>
          </cell>
          <cell r="F341" t="str">
            <v>New Laptop with monitor</v>
          </cell>
          <cell r="G341" t="str">
            <v>6 set Laptop for new staff</v>
          </cell>
          <cell r="H341" t="str">
            <v>SH</v>
          </cell>
          <cell r="I341" t="str">
            <v>HP</v>
          </cell>
          <cell r="J341" t="str">
            <v>RMB</v>
          </cell>
          <cell r="K341">
            <v>48000</v>
          </cell>
          <cell r="L341" t="str">
            <v>HKD</v>
          </cell>
          <cell r="M341">
            <v>59928</v>
          </cell>
          <cell r="N341">
            <v>6</v>
          </cell>
          <cell r="O341">
            <v>6</v>
          </cell>
          <cell r="P341">
            <v>48</v>
          </cell>
          <cell r="Q341">
            <v>7491</v>
          </cell>
        </row>
        <row r="342">
          <cell r="A342" t="str">
            <v>New Project</v>
          </cell>
          <cell r="B342">
            <v>2016</v>
          </cell>
          <cell r="C342" t="str">
            <v>Peter</v>
          </cell>
          <cell r="D342" t="str">
            <v>CN</v>
          </cell>
          <cell r="E342">
            <v>0</v>
          </cell>
          <cell r="F342" t="str">
            <v>New Laptop with monitor</v>
          </cell>
          <cell r="G342" t="str">
            <v>0 set Laptop for new staff</v>
          </cell>
          <cell r="H342" t="str">
            <v>HZ</v>
          </cell>
          <cell r="I342" t="str">
            <v>HP</v>
          </cell>
          <cell r="J342" t="str">
            <v>RMB</v>
          </cell>
          <cell r="K342">
            <v>0</v>
          </cell>
          <cell r="L342" t="str">
            <v>HKD</v>
          </cell>
          <cell r="M342">
            <v>0</v>
          </cell>
          <cell r="N342">
            <v>6</v>
          </cell>
          <cell r="O342">
            <v>6</v>
          </cell>
          <cell r="P342">
            <v>48</v>
          </cell>
          <cell r="Q342">
            <v>0</v>
          </cell>
        </row>
        <row r="343">
          <cell r="A343" t="str">
            <v>New Project</v>
          </cell>
          <cell r="B343">
            <v>2016</v>
          </cell>
          <cell r="C343" t="str">
            <v>Peter</v>
          </cell>
          <cell r="D343" t="str">
            <v>CN</v>
          </cell>
          <cell r="E343">
            <v>0</v>
          </cell>
          <cell r="F343" t="str">
            <v>New Laptop with monitor</v>
          </cell>
          <cell r="G343" t="str">
            <v>0 set Laptop for new staff</v>
          </cell>
          <cell r="H343" t="str">
            <v>NJ</v>
          </cell>
          <cell r="I343" t="str">
            <v>HP</v>
          </cell>
          <cell r="J343" t="str">
            <v>RMB</v>
          </cell>
          <cell r="K343">
            <v>0</v>
          </cell>
          <cell r="L343" t="str">
            <v>HKD</v>
          </cell>
          <cell r="M343">
            <v>0</v>
          </cell>
          <cell r="N343">
            <v>6</v>
          </cell>
          <cell r="O343">
            <v>6</v>
          </cell>
          <cell r="P343">
            <v>48</v>
          </cell>
          <cell r="Q343">
            <v>0</v>
          </cell>
        </row>
        <row r="344">
          <cell r="A344" t="str">
            <v>New Project</v>
          </cell>
          <cell r="B344">
            <v>2016</v>
          </cell>
          <cell r="C344" t="str">
            <v>Peter</v>
          </cell>
          <cell r="D344" t="str">
            <v>CN</v>
          </cell>
          <cell r="E344">
            <v>0</v>
          </cell>
          <cell r="F344" t="str">
            <v>New Laptop with monitor</v>
          </cell>
          <cell r="G344" t="str">
            <v>4 set Laptop for new staff</v>
          </cell>
          <cell r="H344" t="str">
            <v>BJ</v>
          </cell>
          <cell r="I344" t="str">
            <v>HP</v>
          </cell>
          <cell r="J344" t="str">
            <v>RMB</v>
          </cell>
          <cell r="K344">
            <v>32000</v>
          </cell>
          <cell r="L344" t="str">
            <v>HKD</v>
          </cell>
          <cell r="M344">
            <v>39952</v>
          </cell>
          <cell r="N344">
            <v>6</v>
          </cell>
          <cell r="O344">
            <v>6</v>
          </cell>
          <cell r="P344">
            <v>48</v>
          </cell>
          <cell r="Q344">
            <v>4994</v>
          </cell>
        </row>
        <row r="345">
          <cell r="A345" t="str">
            <v>New Project</v>
          </cell>
          <cell r="B345">
            <v>2016</v>
          </cell>
          <cell r="C345" t="str">
            <v>Peter</v>
          </cell>
          <cell r="D345" t="str">
            <v>CN</v>
          </cell>
          <cell r="E345">
            <v>0</v>
          </cell>
          <cell r="F345" t="str">
            <v>New Laptop with monitor</v>
          </cell>
          <cell r="G345" t="str">
            <v>1 set Laptop for new staff</v>
          </cell>
          <cell r="H345" t="str">
            <v>TJ</v>
          </cell>
          <cell r="I345" t="str">
            <v>HP</v>
          </cell>
          <cell r="J345" t="str">
            <v>RMB</v>
          </cell>
          <cell r="K345">
            <v>8000</v>
          </cell>
          <cell r="L345" t="str">
            <v>HKD</v>
          </cell>
          <cell r="M345">
            <v>9988</v>
          </cell>
          <cell r="N345">
            <v>6</v>
          </cell>
          <cell r="O345">
            <v>6</v>
          </cell>
          <cell r="P345">
            <v>48</v>
          </cell>
          <cell r="Q345">
            <v>1248.5</v>
          </cell>
        </row>
        <row r="346">
          <cell r="A346" t="str">
            <v>New Project</v>
          </cell>
          <cell r="B346">
            <v>2016</v>
          </cell>
          <cell r="C346" t="str">
            <v>Peter</v>
          </cell>
          <cell r="D346" t="str">
            <v>CN</v>
          </cell>
          <cell r="E346">
            <v>0</v>
          </cell>
          <cell r="F346" t="str">
            <v>New Laptop with monitor</v>
          </cell>
          <cell r="G346" t="str">
            <v>1 set Laptop for new staff</v>
          </cell>
          <cell r="H346" t="str">
            <v>DL</v>
          </cell>
          <cell r="I346" t="str">
            <v>HP</v>
          </cell>
          <cell r="J346" t="str">
            <v>RMB</v>
          </cell>
          <cell r="K346">
            <v>8000</v>
          </cell>
          <cell r="L346" t="str">
            <v>HKD</v>
          </cell>
          <cell r="M346">
            <v>9988</v>
          </cell>
          <cell r="N346">
            <v>6</v>
          </cell>
          <cell r="O346">
            <v>6</v>
          </cell>
          <cell r="P346">
            <v>48</v>
          </cell>
          <cell r="Q346">
            <v>1248.5</v>
          </cell>
        </row>
        <row r="347">
          <cell r="A347" t="str">
            <v>New Project</v>
          </cell>
          <cell r="B347">
            <v>2016</v>
          </cell>
          <cell r="C347" t="str">
            <v>Peter</v>
          </cell>
          <cell r="D347" t="str">
            <v>CN</v>
          </cell>
          <cell r="E347">
            <v>0</v>
          </cell>
          <cell r="F347" t="str">
            <v>New Laptop with monitor</v>
          </cell>
          <cell r="G347" t="str">
            <v>1 set Laptop for new staff</v>
          </cell>
          <cell r="H347" t="str">
            <v>SY</v>
          </cell>
          <cell r="I347" t="str">
            <v>HP</v>
          </cell>
          <cell r="J347" t="str">
            <v>RMB</v>
          </cell>
          <cell r="K347">
            <v>8000</v>
          </cell>
          <cell r="L347" t="str">
            <v>HKD</v>
          </cell>
          <cell r="M347">
            <v>9988</v>
          </cell>
          <cell r="N347">
            <v>6</v>
          </cell>
          <cell r="O347">
            <v>6</v>
          </cell>
          <cell r="P347">
            <v>48</v>
          </cell>
          <cell r="Q347">
            <v>1248.5</v>
          </cell>
        </row>
        <row r="348">
          <cell r="A348" t="str">
            <v>New Project</v>
          </cell>
          <cell r="B348">
            <v>2016</v>
          </cell>
          <cell r="C348" t="str">
            <v>Peter</v>
          </cell>
          <cell r="D348" t="str">
            <v>CN</v>
          </cell>
          <cell r="E348">
            <v>0</v>
          </cell>
          <cell r="F348" t="str">
            <v>New Laptop with monitor</v>
          </cell>
          <cell r="G348" t="str">
            <v>0 set Laptop for new staff</v>
          </cell>
          <cell r="H348" t="str">
            <v>QD</v>
          </cell>
          <cell r="I348" t="str">
            <v>HP</v>
          </cell>
          <cell r="J348" t="str">
            <v>RMB</v>
          </cell>
          <cell r="K348">
            <v>0</v>
          </cell>
          <cell r="L348" t="str">
            <v>HKD</v>
          </cell>
          <cell r="M348">
            <v>0</v>
          </cell>
          <cell r="N348">
            <v>6</v>
          </cell>
          <cell r="O348">
            <v>6</v>
          </cell>
          <cell r="P348">
            <v>48</v>
          </cell>
          <cell r="Q348">
            <v>0</v>
          </cell>
        </row>
        <row r="349">
          <cell r="A349" t="str">
            <v>New Project</v>
          </cell>
          <cell r="B349">
            <v>2016</v>
          </cell>
          <cell r="C349" t="str">
            <v>Peter</v>
          </cell>
          <cell r="D349" t="str">
            <v>CN</v>
          </cell>
          <cell r="E349">
            <v>0</v>
          </cell>
          <cell r="F349" t="str">
            <v>New Laptop with monitor</v>
          </cell>
          <cell r="G349" t="str">
            <v>3 set Laptop for new staff</v>
          </cell>
          <cell r="H349" t="str">
            <v>GZ</v>
          </cell>
          <cell r="I349" t="str">
            <v>HP</v>
          </cell>
          <cell r="J349" t="str">
            <v>RMB</v>
          </cell>
          <cell r="K349">
            <v>24000</v>
          </cell>
          <cell r="L349" t="str">
            <v>HKD</v>
          </cell>
          <cell r="M349">
            <v>29964</v>
          </cell>
          <cell r="N349">
            <v>6</v>
          </cell>
          <cell r="O349">
            <v>6</v>
          </cell>
          <cell r="P349">
            <v>48</v>
          </cell>
          <cell r="Q349">
            <v>3745.5</v>
          </cell>
        </row>
        <row r="350">
          <cell r="A350" t="str">
            <v>New Project</v>
          </cell>
          <cell r="B350">
            <v>2016</v>
          </cell>
          <cell r="C350" t="str">
            <v>Peter</v>
          </cell>
          <cell r="D350" t="str">
            <v>CN</v>
          </cell>
          <cell r="E350">
            <v>0</v>
          </cell>
          <cell r="F350" t="str">
            <v>New Laptop with monitor</v>
          </cell>
          <cell r="G350" t="str">
            <v>1 set Laptop for new staff</v>
          </cell>
          <cell r="H350" t="str">
            <v>SZ</v>
          </cell>
          <cell r="I350" t="str">
            <v>HP</v>
          </cell>
          <cell r="J350" t="str">
            <v>RMB</v>
          </cell>
          <cell r="K350">
            <v>8000</v>
          </cell>
          <cell r="L350" t="str">
            <v>HKD</v>
          </cell>
          <cell r="M350">
            <v>9988</v>
          </cell>
          <cell r="N350">
            <v>6</v>
          </cell>
          <cell r="O350">
            <v>6</v>
          </cell>
          <cell r="P350">
            <v>48</v>
          </cell>
          <cell r="Q350">
            <v>1248.5</v>
          </cell>
        </row>
        <row r="351">
          <cell r="A351" t="str">
            <v>New Project</v>
          </cell>
          <cell r="B351">
            <v>2016</v>
          </cell>
          <cell r="C351" t="str">
            <v>Peter</v>
          </cell>
          <cell r="D351" t="str">
            <v>CN</v>
          </cell>
          <cell r="E351">
            <v>0</v>
          </cell>
          <cell r="F351" t="str">
            <v>New Laptop with monitor</v>
          </cell>
          <cell r="G351" t="str">
            <v>1 set Laptop for new staff</v>
          </cell>
          <cell r="H351" t="str">
            <v>XA</v>
          </cell>
          <cell r="I351" t="str">
            <v>HP</v>
          </cell>
          <cell r="J351" t="str">
            <v>RMB</v>
          </cell>
          <cell r="K351">
            <v>8000</v>
          </cell>
          <cell r="L351" t="str">
            <v>HKD</v>
          </cell>
          <cell r="M351">
            <v>9988</v>
          </cell>
          <cell r="N351">
            <v>6</v>
          </cell>
          <cell r="O351">
            <v>6</v>
          </cell>
          <cell r="P351">
            <v>48</v>
          </cell>
          <cell r="Q351">
            <v>1248.5</v>
          </cell>
        </row>
        <row r="352">
          <cell r="A352" t="str">
            <v>New Project</v>
          </cell>
          <cell r="B352">
            <v>2016</v>
          </cell>
          <cell r="C352" t="str">
            <v>Peter</v>
          </cell>
          <cell r="D352" t="str">
            <v>CN</v>
          </cell>
          <cell r="E352">
            <v>0</v>
          </cell>
          <cell r="F352" t="str">
            <v>New Laptop with monitor</v>
          </cell>
          <cell r="G352" t="str">
            <v>0 set Laptop for new staff</v>
          </cell>
          <cell r="H352" t="str">
            <v>ZH</v>
          </cell>
          <cell r="I352" t="str">
            <v>HP</v>
          </cell>
          <cell r="J352" t="str">
            <v>RMB</v>
          </cell>
          <cell r="K352">
            <v>0</v>
          </cell>
          <cell r="L352" t="str">
            <v>HKD</v>
          </cell>
          <cell r="M352">
            <v>0</v>
          </cell>
          <cell r="N352">
            <v>6</v>
          </cell>
          <cell r="O352">
            <v>6</v>
          </cell>
          <cell r="P352">
            <v>48</v>
          </cell>
          <cell r="Q352">
            <v>0</v>
          </cell>
        </row>
        <row r="353">
          <cell r="A353" t="str">
            <v>New Project</v>
          </cell>
          <cell r="B353">
            <v>2016</v>
          </cell>
          <cell r="C353" t="str">
            <v>Peter</v>
          </cell>
          <cell r="D353" t="str">
            <v>CN</v>
          </cell>
          <cell r="E353">
            <v>0</v>
          </cell>
          <cell r="F353" t="str">
            <v>New Laptop with monitor</v>
          </cell>
          <cell r="G353" t="str">
            <v>4 set Laptop for new staff</v>
          </cell>
          <cell r="H353" t="str">
            <v>CD</v>
          </cell>
          <cell r="I353" t="str">
            <v>HP</v>
          </cell>
          <cell r="J353" t="str">
            <v>RMB</v>
          </cell>
          <cell r="K353">
            <v>32000</v>
          </cell>
          <cell r="L353" t="str">
            <v>HKD</v>
          </cell>
          <cell r="M353">
            <v>39952</v>
          </cell>
          <cell r="N353">
            <v>6</v>
          </cell>
          <cell r="O353">
            <v>6</v>
          </cell>
          <cell r="P353">
            <v>48</v>
          </cell>
          <cell r="Q353">
            <v>4994</v>
          </cell>
        </row>
        <row r="354">
          <cell r="A354" t="str">
            <v>New Project</v>
          </cell>
          <cell r="B354">
            <v>2016</v>
          </cell>
          <cell r="C354" t="str">
            <v>Peter</v>
          </cell>
          <cell r="D354" t="str">
            <v>CN</v>
          </cell>
          <cell r="E354">
            <v>0</v>
          </cell>
          <cell r="F354" t="str">
            <v>New Laptop with monitor</v>
          </cell>
          <cell r="G354" t="str">
            <v>1 set Laptop for new staff</v>
          </cell>
          <cell r="H354" t="str">
            <v>CQ</v>
          </cell>
          <cell r="I354" t="str">
            <v>HP</v>
          </cell>
          <cell r="J354" t="str">
            <v>RMB</v>
          </cell>
          <cell r="K354">
            <v>8000</v>
          </cell>
          <cell r="L354" t="str">
            <v>HKD</v>
          </cell>
          <cell r="M354">
            <v>9988</v>
          </cell>
          <cell r="N354">
            <v>6</v>
          </cell>
          <cell r="O354">
            <v>6</v>
          </cell>
          <cell r="P354">
            <v>48</v>
          </cell>
          <cell r="Q354">
            <v>1248.5</v>
          </cell>
        </row>
        <row r="355">
          <cell r="A355" t="str">
            <v>New Project</v>
          </cell>
          <cell r="B355">
            <v>2016</v>
          </cell>
          <cell r="C355" t="str">
            <v>Peter</v>
          </cell>
          <cell r="D355" t="str">
            <v>CN</v>
          </cell>
          <cell r="E355">
            <v>0</v>
          </cell>
          <cell r="F355" t="str">
            <v>New Laptop with monitor</v>
          </cell>
          <cell r="G355" t="str">
            <v>1 set Laptop for new staff</v>
          </cell>
          <cell r="H355" t="str">
            <v>XA</v>
          </cell>
          <cell r="I355" t="str">
            <v>HP</v>
          </cell>
          <cell r="J355" t="str">
            <v>RMB</v>
          </cell>
          <cell r="K355">
            <v>8000</v>
          </cell>
          <cell r="L355" t="str">
            <v>HKD</v>
          </cell>
          <cell r="M355">
            <v>9988</v>
          </cell>
          <cell r="N355">
            <v>6</v>
          </cell>
          <cell r="O355">
            <v>6</v>
          </cell>
          <cell r="P355">
            <v>48</v>
          </cell>
          <cell r="Q355">
            <v>1248.5</v>
          </cell>
        </row>
        <row r="356">
          <cell r="A356" t="str">
            <v>New Project</v>
          </cell>
          <cell r="B356">
            <v>2016</v>
          </cell>
          <cell r="C356" t="str">
            <v>Peter</v>
          </cell>
          <cell r="D356" t="str">
            <v>CN</v>
          </cell>
          <cell r="E356">
            <v>0</v>
          </cell>
          <cell r="F356" t="str">
            <v>New PC with monitor</v>
          </cell>
          <cell r="G356" t="str">
            <v>60 set PC for new staff</v>
          </cell>
          <cell r="H356" t="str">
            <v>SH</v>
          </cell>
          <cell r="I356" t="str">
            <v>HP</v>
          </cell>
          <cell r="J356" t="str">
            <v>RMB</v>
          </cell>
          <cell r="K356">
            <v>300000</v>
          </cell>
          <cell r="L356" t="str">
            <v>HKD</v>
          </cell>
          <cell r="M356">
            <v>374550</v>
          </cell>
          <cell r="N356">
            <v>6</v>
          </cell>
          <cell r="O356">
            <v>6</v>
          </cell>
          <cell r="P356">
            <v>48</v>
          </cell>
          <cell r="Q356">
            <v>46818.75</v>
          </cell>
        </row>
        <row r="357">
          <cell r="A357" t="str">
            <v>New Project</v>
          </cell>
          <cell r="B357">
            <v>2016</v>
          </cell>
          <cell r="C357" t="str">
            <v>Peter</v>
          </cell>
          <cell r="D357" t="str">
            <v>CN</v>
          </cell>
          <cell r="E357">
            <v>0</v>
          </cell>
          <cell r="F357" t="str">
            <v>New PC with monitor</v>
          </cell>
          <cell r="G357" t="str">
            <v>2 set PC for new staff</v>
          </cell>
          <cell r="H357" t="str">
            <v>HZ</v>
          </cell>
          <cell r="I357" t="str">
            <v>HP</v>
          </cell>
          <cell r="J357" t="str">
            <v>RMB</v>
          </cell>
          <cell r="K357">
            <v>10000</v>
          </cell>
          <cell r="L357" t="str">
            <v>HKD</v>
          </cell>
          <cell r="M357">
            <v>12485</v>
          </cell>
          <cell r="N357">
            <v>6</v>
          </cell>
          <cell r="O357">
            <v>6</v>
          </cell>
          <cell r="P357">
            <v>48</v>
          </cell>
          <cell r="Q357">
            <v>1560.625</v>
          </cell>
        </row>
        <row r="358">
          <cell r="A358" t="str">
            <v>New Project</v>
          </cell>
          <cell r="B358">
            <v>2016</v>
          </cell>
          <cell r="C358" t="str">
            <v>Peter</v>
          </cell>
          <cell r="D358" t="str">
            <v>CN</v>
          </cell>
          <cell r="E358">
            <v>0</v>
          </cell>
          <cell r="F358" t="str">
            <v>New PC with monitor</v>
          </cell>
          <cell r="G358" t="str">
            <v>5 set PC for new staff</v>
          </cell>
          <cell r="H358" t="str">
            <v>NJ</v>
          </cell>
          <cell r="I358" t="str">
            <v>HP</v>
          </cell>
          <cell r="J358" t="str">
            <v>RMB</v>
          </cell>
          <cell r="K358">
            <v>25000</v>
          </cell>
          <cell r="L358" t="str">
            <v>HKD</v>
          </cell>
          <cell r="M358">
            <v>31212.5</v>
          </cell>
          <cell r="N358">
            <v>6</v>
          </cell>
          <cell r="O358">
            <v>6</v>
          </cell>
          <cell r="P358">
            <v>48</v>
          </cell>
          <cell r="Q358">
            <v>3901.5625</v>
          </cell>
        </row>
        <row r="359">
          <cell r="A359" t="str">
            <v>New Project</v>
          </cell>
          <cell r="B359">
            <v>2016</v>
          </cell>
          <cell r="C359" t="str">
            <v>Peter</v>
          </cell>
          <cell r="D359" t="str">
            <v>CN</v>
          </cell>
          <cell r="E359">
            <v>0</v>
          </cell>
          <cell r="F359" t="str">
            <v>New PC with monitor</v>
          </cell>
          <cell r="G359" t="str">
            <v>8 set PC for new staff</v>
          </cell>
          <cell r="H359" t="str">
            <v>BJ</v>
          </cell>
          <cell r="I359" t="str">
            <v>HP</v>
          </cell>
          <cell r="J359" t="str">
            <v>RMB</v>
          </cell>
          <cell r="K359">
            <v>40000</v>
          </cell>
          <cell r="L359" t="str">
            <v>HKD</v>
          </cell>
          <cell r="M359">
            <v>49940</v>
          </cell>
          <cell r="N359">
            <v>6</v>
          </cell>
          <cell r="O359">
            <v>6</v>
          </cell>
          <cell r="P359">
            <v>48</v>
          </cell>
          <cell r="Q359">
            <v>6242.5</v>
          </cell>
        </row>
        <row r="360">
          <cell r="A360" t="str">
            <v>New Project</v>
          </cell>
          <cell r="B360">
            <v>2016</v>
          </cell>
          <cell r="C360" t="str">
            <v>Peter</v>
          </cell>
          <cell r="D360" t="str">
            <v>CN</v>
          </cell>
          <cell r="E360">
            <v>0</v>
          </cell>
          <cell r="F360" t="str">
            <v>New PC with monitor</v>
          </cell>
          <cell r="G360" t="str">
            <v>5 set PC for new staff</v>
          </cell>
          <cell r="H360" t="str">
            <v>TJ</v>
          </cell>
          <cell r="I360" t="str">
            <v>HP</v>
          </cell>
          <cell r="J360" t="str">
            <v>RMB</v>
          </cell>
          <cell r="K360">
            <v>25000</v>
          </cell>
          <cell r="L360" t="str">
            <v>HKD</v>
          </cell>
          <cell r="M360">
            <v>31212.5</v>
          </cell>
          <cell r="N360">
            <v>6</v>
          </cell>
          <cell r="O360">
            <v>6</v>
          </cell>
          <cell r="P360">
            <v>48</v>
          </cell>
          <cell r="Q360">
            <v>3901.5625</v>
          </cell>
        </row>
        <row r="361">
          <cell r="A361" t="str">
            <v>New Project</v>
          </cell>
          <cell r="B361">
            <v>2016</v>
          </cell>
          <cell r="C361" t="str">
            <v>Peter</v>
          </cell>
          <cell r="D361" t="str">
            <v>CN</v>
          </cell>
          <cell r="E361">
            <v>0</v>
          </cell>
          <cell r="F361" t="str">
            <v>New PC with monitor</v>
          </cell>
          <cell r="G361" t="str">
            <v>2 set PC for new staff</v>
          </cell>
          <cell r="H361" t="str">
            <v>DL</v>
          </cell>
          <cell r="I361" t="str">
            <v>HP</v>
          </cell>
          <cell r="J361" t="str">
            <v>RMB</v>
          </cell>
          <cell r="K361">
            <v>10000</v>
          </cell>
          <cell r="L361" t="str">
            <v>HKD</v>
          </cell>
          <cell r="M361">
            <v>12485</v>
          </cell>
          <cell r="N361">
            <v>6</v>
          </cell>
          <cell r="O361">
            <v>6</v>
          </cell>
          <cell r="P361">
            <v>48</v>
          </cell>
          <cell r="Q361">
            <v>1560.625</v>
          </cell>
        </row>
        <row r="362">
          <cell r="A362" t="str">
            <v>New Project</v>
          </cell>
          <cell r="B362">
            <v>2016</v>
          </cell>
          <cell r="C362" t="str">
            <v>Peter</v>
          </cell>
          <cell r="D362" t="str">
            <v>CN</v>
          </cell>
          <cell r="E362">
            <v>0</v>
          </cell>
          <cell r="F362" t="str">
            <v>New PC with monitor</v>
          </cell>
          <cell r="G362" t="str">
            <v>5 set PC for new staff</v>
          </cell>
          <cell r="H362" t="str">
            <v>SY</v>
          </cell>
          <cell r="I362" t="str">
            <v>HP</v>
          </cell>
          <cell r="J362" t="str">
            <v>RMB</v>
          </cell>
          <cell r="K362">
            <v>25000</v>
          </cell>
          <cell r="L362" t="str">
            <v>HKD</v>
          </cell>
          <cell r="M362">
            <v>31212.5</v>
          </cell>
          <cell r="N362">
            <v>6</v>
          </cell>
          <cell r="O362">
            <v>6</v>
          </cell>
          <cell r="P362">
            <v>48</v>
          </cell>
          <cell r="Q362">
            <v>3901.5625</v>
          </cell>
        </row>
        <row r="363">
          <cell r="A363" t="str">
            <v>New Project</v>
          </cell>
          <cell r="B363">
            <v>2016</v>
          </cell>
          <cell r="C363" t="str">
            <v>Peter</v>
          </cell>
          <cell r="D363" t="str">
            <v>CN</v>
          </cell>
          <cell r="E363">
            <v>0</v>
          </cell>
          <cell r="F363" t="str">
            <v>New PC with monitor</v>
          </cell>
          <cell r="G363" t="str">
            <v>0 set PC for new staff</v>
          </cell>
          <cell r="H363" t="str">
            <v>QD</v>
          </cell>
          <cell r="I363" t="str">
            <v>HP</v>
          </cell>
          <cell r="J363" t="str">
            <v>RMB</v>
          </cell>
          <cell r="K363">
            <v>0</v>
          </cell>
          <cell r="L363" t="str">
            <v>HKD</v>
          </cell>
          <cell r="M363">
            <v>0</v>
          </cell>
          <cell r="N363">
            <v>6</v>
          </cell>
          <cell r="O363">
            <v>6</v>
          </cell>
          <cell r="P363">
            <v>48</v>
          </cell>
          <cell r="Q363">
            <v>0</v>
          </cell>
        </row>
        <row r="364">
          <cell r="A364" t="str">
            <v>New Project</v>
          </cell>
          <cell r="B364">
            <v>2016</v>
          </cell>
          <cell r="C364" t="str">
            <v>Peter</v>
          </cell>
          <cell r="D364" t="str">
            <v>CN</v>
          </cell>
          <cell r="E364">
            <v>0</v>
          </cell>
          <cell r="F364" t="str">
            <v>New PC with monitor</v>
          </cell>
          <cell r="G364" t="str">
            <v>20 set PC for new staff</v>
          </cell>
          <cell r="H364" t="str">
            <v>GZ</v>
          </cell>
          <cell r="I364" t="str">
            <v>HP</v>
          </cell>
          <cell r="J364" t="str">
            <v>RMB</v>
          </cell>
          <cell r="K364">
            <v>100000</v>
          </cell>
          <cell r="L364" t="str">
            <v>HKD</v>
          </cell>
          <cell r="M364">
            <v>124850</v>
          </cell>
          <cell r="N364">
            <v>6</v>
          </cell>
          <cell r="O364">
            <v>6</v>
          </cell>
          <cell r="P364">
            <v>48</v>
          </cell>
          <cell r="Q364">
            <v>15606.25</v>
          </cell>
        </row>
        <row r="365">
          <cell r="A365" t="str">
            <v>New Project</v>
          </cell>
          <cell r="B365">
            <v>2016</v>
          </cell>
          <cell r="C365" t="str">
            <v>Peter</v>
          </cell>
          <cell r="D365" t="str">
            <v>CN</v>
          </cell>
          <cell r="E365">
            <v>0</v>
          </cell>
          <cell r="F365" t="str">
            <v>New PC with monitor</v>
          </cell>
          <cell r="G365" t="str">
            <v>8 set PC for new staff</v>
          </cell>
          <cell r="H365" t="str">
            <v>SZ</v>
          </cell>
          <cell r="I365" t="str">
            <v>HP</v>
          </cell>
          <cell r="J365" t="str">
            <v>RMB</v>
          </cell>
          <cell r="K365">
            <v>40000</v>
          </cell>
          <cell r="L365" t="str">
            <v>HKD</v>
          </cell>
          <cell r="M365">
            <v>49940</v>
          </cell>
          <cell r="N365">
            <v>6</v>
          </cell>
          <cell r="O365">
            <v>6</v>
          </cell>
          <cell r="P365">
            <v>48</v>
          </cell>
          <cell r="Q365">
            <v>6242.5</v>
          </cell>
        </row>
        <row r="366">
          <cell r="A366" t="str">
            <v>New Project</v>
          </cell>
          <cell r="B366">
            <v>2016</v>
          </cell>
          <cell r="C366" t="str">
            <v>Peter</v>
          </cell>
          <cell r="D366" t="str">
            <v>CN</v>
          </cell>
          <cell r="E366">
            <v>0</v>
          </cell>
          <cell r="F366" t="str">
            <v>New PC with monitor</v>
          </cell>
          <cell r="G366" t="str">
            <v>5 set PC for new staff</v>
          </cell>
          <cell r="H366" t="str">
            <v>XA</v>
          </cell>
          <cell r="I366" t="str">
            <v>HP</v>
          </cell>
          <cell r="J366" t="str">
            <v>RMB</v>
          </cell>
          <cell r="K366">
            <v>25000</v>
          </cell>
          <cell r="L366" t="str">
            <v>HKD</v>
          </cell>
          <cell r="M366">
            <v>31212.5</v>
          </cell>
          <cell r="N366">
            <v>6</v>
          </cell>
          <cell r="O366">
            <v>6</v>
          </cell>
          <cell r="P366">
            <v>48</v>
          </cell>
          <cell r="Q366">
            <v>3901.5625</v>
          </cell>
        </row>
        <row r="367">
          <cell r="A367" t="str">
            <v>New Project</v>
          </cell>
          <cell r="B367">
            <v>2016</v>
          </cell>
          <cell r="C367" t="str">
            <v>Peter</v>
          </cell>
          <cell r="D367" t="str">
            <v>CN</v>
          </cell>
          <cell r="E367">
            <v>0</v>
          </cell>
          <cell r="F367" t="str">
            <v>New PC with monitor</v>
          </cell>
          <cell r="G367" t="str">
            <v>2 set PC for new staff</v>
          </cell>
          <cell r="H367" t="str">
            <v>ZH</v>
          </cell>
          <cell r="I367" t="str">
            <v>HP</v>
          </cell>
          <cell r="J367" t="str">
            <v>RMB</v>
          </cell>
          <cell r="K367">
            <v>10000</v>
          </cell>
          <cell r="L367" t="str">
            <v>HKD</v>
          </cell>
          <cell r="M367">
            <v>12485</v>
          </cell>
          <cell r="N367">
            <v>6</v>
          </cell>
          <cell r="O367">
            <v>6</v>
          </cell>
          <cell r="P367">
            <v>48</v>
          </cell>
          <cell r="Q367">
            <v>1560.625</v>
          </cell>
        </row>
        <row r="368">
          <cell r="A368" t="str">
            <v>New Project</v>
          </cell>
          <cell r="B368">
            <v>2016</v>
          </cell>
          <cell r="C368" t="str">
            <v>Peter</v>
          </cell>
          <cell r="D368" t="str">
            <v>CN</v>
          </cell>
          <cell r="E368">
            <v>0</v>
          </cell>
          <cell r="F368" t="str">
            <v>New PC with monitor</v>
          </cell>
          <cell r="G368" t="str">
            <v>20 set PC for new staff</v>
          </cell>
          <cell r="H368" t="str">
            <v>CD</v>
          </cell>
          <cell r="I368" t="str">
            <v>HP</v>
          </cell>
          <cell r="J368" t="str">
            <v>RMB</v>
          </cell>
          <cell r="K368">
            <v>100000</v>
          </cell>
          <cell r="L368" t="str">
            <v>HKD</v>
          </cell>
          <cell r="M368">
            <v>124850</v>
          </cell>
          <cell r="N368">
            <v>6</v>
          </cell>
          <cell r="O368">
            <v>6</v>
          </cell>
          <cell r="P368">
            <v>48</v>
          </cell>
          <cell r="Q368">
            <v>15606.25</v>
          </cell>
        </row>
        <row r="369">
          <cell r="A369" t="str">
            <v>New Project</v>
          </cell>
          <cell r="B369">
            <v>2016</v>
          </cell>
          <cell r="C369" t="str">
            <v>Peter</v>
          </cell>
          <cell r="D369" t="str">
            <v>CN</v>
          </cell>
          <cell r="E369">
            <v>0</v>
          </cell>
          <cell r="F369" t="str">
            <v>New PC with monitor</v>
          </cell>
          <cell r="G369" t="str">
            <v>5 set PC for new staff</v>
          </cell>
          <cell r="H369" t="str">
            <v>CQ</v>
          </cell>
          <cell r="I369" t="str">
            <v>HP</v>
          </cell>
          <cell r="J369" t="str">
            <v>RMB</v>
          </cell>
          <cell r="K369">
            <v>25000</v>
          </cell>
          <cell r="L369" t="str">
            <v>HKD</v>
          </cell>
          <cell r="M369">
            <v>31212.5</v>
          </cell>
          <cell r="N369">
            <v>6</v>
          </cell>
          <cell r="O369">
            <v>6</v>
          </cell>
          <cell r="P369">
            <v>48</v>
          </cell>
          <cell r="Q369">
            <v>3901.5625</v>
          </cell>
        </row>
        <row r="370">
          <cell r="A370" t="str">
            <v>New Project</v>
          </cell>
          <cell r="B370">
            <v>2016</v>
          </cell>
          <cell r="C370" t="str">
            <v>Peter</v>
          </cell>
          <cell r="D370" t="str">
            <v>CN</v>
          </cell>
          <cell r="E370">
            <v>0</v>
          </cell>
          <cell r="F370" t="str">
            <v>New PC with monitor</v>
          </cell>
          <cell r="G370" t="str">
            <v>10 set PC for new staff</v>
          </cell>
          <cell r="H370" t="str">
            <v>XA</v>
          </cell>
          <cell r="I370" t="str">
            <v>HP</v>
          </cell>
          <cell r="J370" t="str">
            <v>RMB</v>
          </cell>
          <cell r="K370">
            <v>50000</v>
          </cell>
          <cell r="L370" t="str">
            <v>HKD</v>
          </cell>
          <cell r="M370">
            <v>62425</v>
          </cell>
          <cell r="N370">
            <v>6</v>
          </cell>
          <cell r="O370">
            <v>6</v>
          </cell>
          <cell r="P370">
            <v>48</v>
          </cell>
          <cell r="Q370">
            <v>7803.125</v>
          </cell>
        </row>
        <row r="371">
          <cell r="A371" t="str">
            <v>Expansion</v>
          </cell>
          <cell r="B371">
            <v>2015</v>
          </cell>
          <cell r="C371" t="str">
            <v>Quen</v>
          </cell>
          <cell r="D371" t="str">
            <v>VN</v>
          </cell>
          <cell r="E371">
            <v>0</v>
          </cell>
          <cell r="F371" t="str">
            <v>New server + PC for Myanmar</v>
          </cell>
          <cell r="G371" t="str">
            <v>Purchase new server + PCs in MM</v>
          </cell>
          <cell r="H371" t="str">
            <v>VN</v>
          </cell>
          <cell r="I371" t="str">
            <v>HP</v>
          </cell>
          <cell r="J371" t="str">
            <v>VND</v>
          </cell>
          <cell r="K371">
            <v>224000000</v>
          </cell>
          <cell r="L371" t="str">
            <v>HKD</v>
          </cell>
          <cell r="M371">
            <v>89600</v>
          </cell>
          <cell r="N371">
            <v>9</v>
          </cell>
          <cell r="O371">
            <v>3</v>
          </cell>
          <cell r="P371">
            <v>48</v>
          </cell>
          <cell r="Q371">
            <v>5600</v>
          </cell>
        </row>
        <row r="372">
          <cell r="A372" t="str">
            <v>Refreshment</v>
          </cell>
          <cell r="B372">
            <v>2015</v>
          </cell>
          <cell r="C372" t="str">
            <v>Infra</v>
          </cell>
          <cell r="D372" t="str">
            <v>HK-GPML</v>
          </cell>
          <cell r="E372">
            <v>0</v>
          </cell>
          <cell r="F372" t="str">
            <v>Nice recording system refreshment</v>
          </cell>
          <cell r="G372" t="str">
            <v>Nice Recording system Upgrade + Server HW  </v>
          </cell>
          <cell r="H372" t="str">
            <v>GPML</v>
          </cell>
          <cell r="I372">
            <v>0</v>
          </cell>
          <cell r="J372" t="str">
            <v>HKD</v>
          </cell>
          <cell r="K372">
            <v>110000</v>
          </cell>
          <cell r="L372" t="str">
            <v>HKD</v>
          </cell>
          <cell r="M372">
            <v>110000</v>
          </cell>
          <cell r="N372">
            <v>4</v>
          </cell>
          <cell r="O372">
            <v>8</v>
          </cell>
          <cell r="P372">
            <v>48</v>
          </cell>
          <cell r="Q372">
            <v>18333.333333333332</v>
          </cell>
        </row>
        <row r="373">
          <cell r="A373" t="str">
            <v>Refreshment</v>
          </cell>
          <cell r="B373">
            <v>2016</v>
          </cell>
          <cell r="C373" t="str">
            <v>Quen</v>
          </cell>
          <cell r="D373" t="str">
            <v>VN</v>
          </cell>
          <cell r="E373">
            <v>0</v>
          </cell>
          <cell r="F373" t="str">
            <v>NSA 220 firewall renewal license in HN</v>
          </cell>
          <cell r="G373" t="str">
            <v>NSA 220 firewall renewal license in HN</v>
          </cell>
          <cell r="H373" t="str">
            <v>VN</v>
          </cell>
          <cell r="I373" t="str">
            <v>Sonnicwall</v>
          </cell>
          <cell r="J373" t="str">
            <v>VND</v>
          </cell>
          <cell r="K373">
            <v>55000000</v>
          </cell>
          <cell r="L373" t="str">
            <v>HKD</v>
          </cell>
          <cell r="M373">
            <v>22000</v>
          </cell>
          <cell r="N373">
            <v>1</v>
          </cell>
          <cell r="O373">
            <v>11</v>
          </cell>
          <cell r="P373">
            <v>36</v>
          </cell>
          <cell r="Q373">
            <v>6722.2222222222217</v>
          </cell>
        </row>
        <row r="374">
          <cell r="A374" t="str">
            <v>Refreshment</v>
          </cell>
          <cell r="B374">
            <v>2017</v>
          </cell>
          <cell r="C374" t="str">
            <v>Quen</v>
          </cell>
          <cell r="D374" t="str">
            <v>VN</v>
          </cell>
          <cell r="E374">
            <v>0</v>
          </cell>
          <cell r="F374" t="str">
            <v>NSA 220 firewall renewal license in HN</v>
          </cell>
          <cell r="G374" t="str">
            <v>NSA 220 firewall renewal license in HN</v>
          </cell>
          <cell r="H374" t="str">
            <v>VN</v>
          </cell>
          <cell r="I374" t="str">
            <v>Sonnicwall</v>
          </cell>
          <cell r="J374" t="str">
            <v>VND</v>
          </cell>
          <cell r="K374">
            <v>55000000</v>
          </cell>
          <cell r="L374" t="str">
            <v>HKD</v>
          </cell>
          <cell r="M374">
            <v>22000</v>
          </cell>
          <cell r="N374">
            <v>1</v>
          </cell>
          <cell r="O374">
            <v>11</v>
          </cell>
          <cell r="P374">
            <v>36</v>
          </cell>
          <cell r="Q374">
            <v>6722.2222222222217</v>
          </cell>
        </row>
        <row r="375">
          <cell r="A375" t="str">
            <v>Refreshment</v>
          </cell>
          <cell r="B375">
            <v>2018</v>
          </cell>
          <cell r="C375" t="str">
            <v>Quen</v>
          </cell>
          <cell r="D375" t="str">
            <v>VN</v>
          </cell>
          <cell r="E375">
            <v>0</v>
          </cell>
          <cell r="F375" t="str">
            <v>NSA 220 firewall replacement in HN</v>
          </cell>
          <cell r="G375" t="str">
            <v>NSA 220 firewall renewal license in HN</v>
          </cell>
          <cell r="H375" t="str">
            <v>VN</v>
          </cell>
          <cell r="I375" t="str">
            <v>Sonnicwall</v>
          </cell>
          <cell r="J375" t="str">
            <v>VND</v>
          </cell>
          <cell r="K375">
            <v>150000000</v>
          </cell>
          <cell r="L375" t="str">
            <v>HKD</v>
          </cell>
          <cell r="M375">
            <v>60000</v>
          </cell>
          <cell r="N375">
            <v>1</v>
          </cell>
          <cell r="O375">
            <v>11</v>
          </cell>
          <cell r="P375">
            <v>36</v>
          </cell>
          <cell r="Q375">
            <v>18333.333333333336</v>
          </cell>
        </row>
        <row r="376">
          <cell r="A376" t="str">
            <v>Refreshment</v>
          </cell>
          <cell r="B376">
            <v>2017</v>
          </cell>
          <cell r="C376" t="str">
            <v>Quen</v>
          </cell>
          <cell r="D376" t="str">
            <v>VN</v>
          </cell>
          <cell r="E376">
            <v>0</v>
          </cell>
          <cell r="F376" t="str">
            <v>NSA 2400 firewall renewal license in HCM</v>
          </cell>
          <cell r="G376" t="str">
            <v>NSA 2400 renewal license in HCM</v>
          </cell>
          <cell r="H376" t="str">
            <v>VN</v>
          </cell>
          <cell r="I376" t="str">
            <v>Sonnicwall</v>
          </cell>
          <cell r="J376" t="str">
            <v>VND</v>
          </cell>
          <cell r="K376">
            <v>65000000</v>
          </cell>
          <cell r="L376" t="str">
            <v>HKD</v>
          </cell>
          <cell r="M376">
            <v>26000</v>
          </cell>
          <cell r="N376">
            <v>11</v>
          </cell>
          <cell r="O376">
            <v>1</v>
          </cell>
          <cell r="P376">
            <v>36</v>
          </cell>
          <cell r="Q376">
            <v>722.22222222222217</v>
          </cell>
        </row>
        <row r="377">
          <cell r="A377" t="str">
            <v>Refreshment</v>
          </cell>
          <cell r="B377">
            <v>2018</v>
          </cell>
          <cell r="C377" t="str">
            <v>Quen</v>
          </cell>
          <cell r="D377" t="str">
            <v>VN</v>
          </cell>
          <cell r="E377">
            <v>0</v>
          </cell>
          <cell r="F377" t="str">
            <v>NSA 2400 firewall renewal license in HCM</v>
          </cell>
          <cell r="G377" t="str">
            <v>NSA 2400 renewal license in HCM</v>
          </cell>
          <cell r="H377" t="str">
            <v>VN</v>
          </cell>
          <cell r="I377" t="str">
            <v>Sonnicwall</v>
          </cell>
          <cell r="J377" t="str">
            <v>VND</v>
          </cell>
          <cell r="K377">
            <v>65000000</v>
          </cell>
          <cell r="L377" t="str">
            <v>HKD</v>
          </cell>
          <cell r="M377">
            <v>26000</v>
          </cell>
          <cell r="N377">
            <v>11</v>
          </cell>
          <cell r="O377">
            <v>1</v>
          </cell>
          <cell r="P377">
            <v>36</v>
          </cell>
          <cell r="Q377">
            <v>722.22222222222217</v>
          </cell>
        </row>
        <row r="378">
          <cell r="A378" t="str">
            <v>Expansion</v>
          </cell>
          <cell r="B378">
            <v>2016</v>
          </cell>
          <cell r="C378" t="str">
            <v>Peter</v>
          </cell>
          <cell r="D378" t="str">
            <v>CN</v>
          </cell>
          <cell r="E378">
            <v>0</v>
          </cell>
          <cell r="F378" t="str">
            <v>OA Core</v>
          </cell>
          <cell r="G378" t="str">
            <v>OA - Increase Concurrent License by 50</v>
          </cell>
          <cell r="H378" t="str">
            <v>CN</v>
          </cell>
          <cell r="I378" t="str">
            <v>Seeyon</v>
          </cell>
          <cell r="J378" t="str">
            <v>RMB</v>
          </cell>
          <cell r="K378">
            <v>18750</v>
          </cell>
          <cell r="L378" t="str">
            <v>HKD</v>
          </cell>
          <cell r="M378">
            <v>23409.375</v>
          </cell>
          <cell r="N378">
            <v>3</v>
          </cell>
          <cell r="O378">
            <v>9</v>
          </cell>
          <cell r="P378">
            <v>24</v>
          </cell>
          <cell r="Q378">
            <v>8778.515625</v>
          </cell>
        </row>
        <row r="379">
          <cell r="A379" t="str">
            <v>Expansion</v>
          </cell>
          <cell r="B379">
            <v>2016</v>
          </cell>
          <cell r="C379" t="str">
            <v>Peter</v>
          </cell>
          <cell r="D379" t="str">
            <v>CN</v>
          </cell>
          <cell r="E379">
            <v>0</v>
          </cell>
          <cell r="F379" t="str">
            <v>OA Mobile</v>
          </cell>
          <cell r="G379" t="str">
            <v xml:space="preserve">OA Mobile Enhancement </v>
          </cell>
          <cell r="H379" t="str">
            <v>CN</v>
          </cell>
          <cell r="I379" t="str">
            <v>DOASH</v>
          </cell>
          <cell r="J379" t="str">
            <v>RMB</v>
          </cell>
          <cell r="K379">
            <v>100000</v>
          </cell>
          <cell r="L379" t="str">
            <v>HKD</v>
          </cell>
          <cell r="M379">
            <v>124850</v>
          </cell>
          <cell r="N379">
            <v>6</v>
          </cell>
          <cell r="O379">
            <v>6</v>
          </cell>
          <cell r="P379">
            <v>36</v>
          </cell>
          <cell r="Q379">
            <v>20808.333333333336</v>
          </cell>
        </row>
        <row r="380">
          <cell r="A380" t="str">
            <v>New Project</v>
          </cell>
          <cell r="B380">
            <v>2015</v>
          </cell>
          <cell r="C380" t="str">
            <v>Infra</v>
          </cell>
          <cell r="D380" t="str">
            <v>HK-MSL</v>
          </cell>
          <cell r="E380">
            <v>0</v>
          </cell>
          <cell r="F380" t="str">
            <v>office365 hybrid</v>
          </cell>
          <cell r="G380" t="str">
            <v>Exchange Hybrid Servers for Office365 (2 VM Servers in HA + MS Support Services)</v>
          </cell>
          <cell r="H380" t="str">
            <v>AP Region</v>
          </cell>
          <cell r="I380">
            <v>0</v>
          </cell>
          <cell r="J380" t="str">
            <v>HKD</v>
          </cell>
          <cell r="K380">
            <v>100000</v>
          </cell>
          <cell r="L380" t="str">
            <v>HKD</v>
          </cell>
          <cell r="M380">
            <v>100000</v>
          </cell>
          <cell r="N380">
            <v>1</v>
          </cell>
          <cell r="O380">
            <v>11</v>
          </cell>
          <cell r="P380">
            <v>36</v>
          </cell>
          <cell r="Q380">
            <v>30555.555555555555</v>
          </cell>
        </row>
        <row r="381">
          <cell r="A381" t="str">
            <v>Refreshment</v>
          </cell>
          <cell r="B381">
            <v>2016</v>
          </cell>
          <cell r="C381" t="str">
            <v>Josh</v>
          </cell>
          <cell r="D381" t="str">
            <v>TW</v>
          </cell>
          <cell r="E381">
            <v>0</v>
          </cell>
          <cell r="F381" t="str">
            <v>Desktop Refreshments</v>
          </cell>
          <cell r="G381" t="str">
            <v>Purchase 12 desktops</v>
          </cell>
          <cell r="H381" t="str">
            <v>TW</v>
          </cell>
          <cell r="I381" t="str">
            <v>HP</v>
          </cell>
          <cell r="J381" t="str">
            <v>TWD</v>
          </cell>
          <cell r="K381">
            <v>216000</v>
          </cell>
          <cell r="L381" t="str">
            <v>HKD</v>
          </cell>
          <cell r="M381">
            <v>52920</v>
          </cell>
          <cell r="N381">
            <v>8</v>
          </cell>
          <cell r="O381">
            <v>4</v>
          </cell>
          <cell r="P381">
            <v>48</v>
          </cell>
          <cell r="Q381">
            <v>4410</v>
          </cell>
        </row>
        <row r="382">
          <cell r="A382" t="str">
            <v>Refreshment</v>
          </cell>
          <cell r="B382">
            <v>2017</v>
          </cell>
          <cell r="C382" t="str">
            <v>Josh</v>
          </cell>
          <cell r="D382" t="str">
            <v>TW</v>
          </cell>
          <cell r="E382">
            <v>0</v>
          </cell>
          <cell r="F382" t="str">
            <v>Desktop Refreshments</v>
          </cell>
          <cell r="G382" t="str">
            <v>Purchase 16 desktops</v>
          </cell>
          <cell r="H382" t="str">
            <v>TW</v>
          </cell>
          <cell r="I382" t="str">
            <v>HP</v>
          </cell>
          <cell r="J382" t="str">
            <v>TWD</v>
          </cell>
          <cell r="K382">
            <v>288000</v>
          </cell>
          <cell r="L382" t="str">
            <v>HKD</v>
          </cell>
          <cell r="M382">
            <v>70560</v>
          </cell>
          <cell r="N382">
            <v>8</v>
          </cell>
          <cell r="O382">
            <v>4</v>
          </cell>
          <cell r="P382">
            <v>48</v>
          </cell>
          <cell r="Q382">
            <v>5880</v>
          </cell>
        </row>
        <row r="383">
          <cell r="A383" t="str">
            <v>Refreshment</v>
          </cell>
          <cell r="B383">
            <v>2018</v>
          </cell>
          <cell r="C383" t="str">
            <v>Josh</v>
          </cell>
          <cell r="D383" t="str">
            <v>TW</v>
          </cell>
          <cell r="E383">
            <v>0</v>
          </cell>
          <cell r="F383" t="str">
            <v>Desktop Refreshments</v>
          </cell>
          <cell r="G383" t="str">
            <v>Purchase 11 desktops</v>
          </cell>
          <cell r="H383" t="str">
            <v>TW</v>
          </cell>
          <cell r="I383" t="str">
            <v>HP</v>
          </cell>
          <cell r="J383" t="str">
            <v>TWD</v>
          </cell>
          <cell r="K383">
            <v>198000</v>
          </cell>
          <cell r="L383" t="str">
            <v>HKD</v>
          </cell>
          <cell r="M383">
            <v>48510</v>
          </cell>
          <cell r="N383">
            <v>8</v>
          </cell>
          <cell r="O383">
            <v>4</v>
          </cell>
          <cell r="P383">
            <v>48</v>
          </cell>
          <cell r="Q383">
            <v>4042.5</v>
          </cell>
        </row>
        <row r="384">
          <cell r="A384" t="str">
            <v>Refreshment</v>
          </cell>
          <cell r="B384">
            <v>2015</v>
          </cell>
          <cell r="C384" t="str">
            <v>Quen</v>
          </cell>
          <cell r="D384" t="str">
            <v>VN</v>
          </cell>
          <cell r="E384">
            <v>0</v>
          </cell>
          <cell r="F384" t="str">
            <v>Desktop Refreshments</v>
          </cell>
          <cell r="G384" t="str">
            <v>Replace 20 PCs (HCM: 15 Pcs; HN: 5PCs)</v>
          </cell>
          <cell r="H384" t="str">
            <v>VN</v>
          </cell>
          <cell r="I384" t="str">
            <v>HP</v>
          </cell>
          <cell r="J384" t="str">
            <v>VND</v>
          </cell>
          <cell r="K384">
            <v>300000000</v>
          </cell>
          <cell r="L384" t="str">
            <v>HKD</v>
          </cell>
          <cell r="M384">
            <v>120000</v>
          </cell>
          <cell r="N384">
            <v>6</v>
          </cell>
          <cell r="O384">
            <v>6</v>
          </cell>
          <cell r="P384">
            <v>48</v>
          </cell>
          <cell r="Q384">
            <v>15000</v>
          </cell>
        </row>
        <row r="385">
          <cell r="A385" t="str">
            <v>Refreshment</v>
          </cell>
          <cell r="B385">
            <v>2016</v>
          </cell>
          <cell r="C385" t="str">
            <v>Kassapa</v>
          </cell>
          <cell r="D385" t="str">
            <v>TH</v>
          </cell>
          <cell r="E385">
            <v>0</v>
          </cell>
          <cell r="F385" t="str">
            <v>Desktop Refreshments</v>
          </cell>
          <cell r="G385" t="str">
            <v>Purchase 15 set PC</v>
          </cell>
          <cell r="H385" t="str">
            <v>TH</v>
          </cell>
          <cell r="I385">
            <v>0</v>
          </cell>
          <cell r="J385" t="str">
            <v>THB</v>
          </cell>
          <cell r="K385">
            <v>307500</v>
          </cell>
          <cell r="L385" t="str">
            <v>HKD</v>
          </cell>
          <cell r="M385">
            <v>68142</v>
          </cell>
          <cell r="N385">
            <v>1</v>
          </cell>
          <cell r="O385">
            <v>11</v>
          </cell>
          <cell r="P385">
            <v>48</v>
          </cell>
          <cell r="Q385">
            <v>15615.875</v>
          </cell>
        </row>
        <row r="386">
          <cell r="A386" t="str">
            <v>Refreshment</v>
          </cell>
          <cell r="B386">
            <v>2017</v>
          </cell>
          <cell r="C386" t="str">
            <v>Quen</v>
          </cell>
          <cell r="D386" t="str">
            <v>VN</v>
          </cell>
          <cell r="E386">
            <v>0</v>
          </cell>
          <cell r="F386" t="str">
            <v>Desktop Refreshments</v>
          </cell>
          <cell r="G386" t="str">
            <v>Replace 40 PCs (HCM: 20 Pcs; HN: 20PCs)</v>
          </cell>
          <cell r="H386" t="str">
            <v>VN</v>
          </cell>
          <cell r="I386" t="str">
            <v>HP</v>
          </cell>
          <cell r="J386" t="str">
            <v>VND</v>
          </cell>
          <cell r="K386">
            <v>600000000</v>
          </cell>
          <cell r="L386" t="str">
            <v>HKD</v>
          </cell>
          <cell r="M386">
            <v>240000</v>
          </cell>
          <cell r="N386">
            <v>6</v>
          </cell>
          <cell r="O386">
            <v>6</v>
          </cell>
          <cell r="P386">
            <v>48</v>
          </cell>
          <cell r="Q386">
            <v>30000</v>
          </cell>
        </row>
        <row r="387">
          <cell r="A387" t="str">
            <v>Refreshment</v>
          </cell>
          <cell r="B387">
            <v>2018</v>
          </cell>
          <cell r="C387" t="str">
            <v>Quen</v>
          </cell>
          <cell r="D387" t="str">
            <v>VN</v>
          </cell>
          <cell r="E387">
            <v>0</v>
          </cell>
          <cell r="F387" t="str">
            <v>Desktop Refreshments</v>
          </cell>
          <cell r="G387" t="str">
            <v>Replace 50 PCs (HCM: 30 Pcs; HN: 20PCs)</v>
          </cell>
          <cell r="H387" t="str">
            <v>VN</v>
          </cell>
          <cell r="I387" t="str">
            <v>HP</v>
          </cell>
          <cell r="J387" t="str">
            <v>VND</v>
          </cell>
          <cell r="K387">
            <v>750000000</v>
          </cell>
          <cell r="L387" t="str">
            <v>HKD</v>
          </cell>
          <cell r="M387">
            <v>300000</v>
          </cell>
          <cell r="N387">
            <v>6</v>
          </cell>
          <cell r="O387">
            <v>6</v>
          </cell>
          <cell r="P387">
            <v>48</v>
          </cell>
          <cell r="Q387">
            <v>37500</v>
          </cell>
        </row>
        <row r="388">
          <cell r="A388" t="str">
            <v>Refreshment</v>
          </cell>
          <cell r="B388">
            <v>2015</v>
          </cell>
          <cell r="C388" t="str">
            <v>Hiroshi</v>
          </cell>
          <cell r="D388" t="str">
            <v>JP</v>
          </cell>
          <cell r="E388">
            <v>0</v>
          </cell>
          <cell r="F388" t="str">
            <v>Desktop Refreshments</v>
          </cell>
          <cell r="G388" t="str">
            <v>10 x Acrobat XI Upgrade</v>
          </cell>
          <cell r="H388" t="str">
            <v>JP</v>
          </cell>
          <cell r="I388" t="str">
            <v>HP</v>
          </cell>
          <cell r="J388" t="str">
            <v>JPY</v>
          </cell>
          <cell r="K388">
            <v>171008</v>
          </cell>
          <cell r="L388" t="str">
            <v>HKD</v>
          </cell>
          <cell r="M388">
            <v>10705.1008</v>
          </cell>
          <cell r="N388">
            <v>9</v>
          </cell>
          <cell r="O388">
            <v>3</v>
          </cell>
          <cell r="P388">
            <v>48</v>
          </cell>
          <cell r="Q388">
            <v>669.06880000000001</v>
          </cell>
        </row>
        <row r="389">
          <cell r="A389" t="str">
            <v>Expansion</v>
          </cell>
          <cell r="B389">
            <v>2014</v>
          </cell>
          <cell r="C389" t="str">
            <v>Infra</v>
          </cell>
          <cell r="D389" t="str">
            <v>HK-MSL</v>
          </cell>
          <cell r="E389">
            <v>0</v>
          </cell>
          <cell r="F389" t="str">
            <v>Performance enhancement for watchguard</v>
          </cell>
          <cell r="G389" t="str">
            <v>Watchguard SSL 560 and 1 year LiveSecurity (250 user license)</v>
          </cell>
          <cell r="H389" t="str">
            <v>MSL</v>
          </cell>
          <cell r="I389">
            <v>0</v>
          </cell>
          <cell r="J389" t="str">
            <v>HKD</v>
          </cell>
          <cell r="K389">
            <v>150000</v>
          </cell>
          <cell r="L389" t="str">
            <v>HKD</v>
          </cell>
          <cell r="M389">
            <v>150000</v>
          </cell>
          <cell r="N389">
            <v>3</v>
          </cell>
          <cell r="O389">
            <v>9</v>
          </cell>
          <cell r="P389">
            <v>36</v>
          </cell>
          <cell r="Q389">
            <v>37500</v>
          </cell>
        </row>
        <row r="390">
          <cell r="A390" t="str">
            <v>Expansion</v>
          </cell>
          <cell r="B390">
            <v>2015</v>
          </cell>
          <cell r="C390" t="str">
            <v>Infra</v>
          </cell>
          <cell r="D390" t="str">
            <v>HK-GPML</v>
          </cell>
          <cell r="E390">
            <v>0</v>
          </cell>
          <cell r="F390" t="str">
            <v>Performance enhancement for watchguard</v>
          </cell>
          <cell r="G390" t="str">
            <v>Watchguard SSL 560 and 3 year LiveSecurity (250 user license)</v>
          </cell>
          <cell r="H390" t="str">
            <v>GPML</v>
          </cell>
          <cell r="I390">
            <v>0</v>
          </cell>
          <cell r="J390" t="str">
            <v>HKD</v>
          </cell>
          <cell r="K390">
            <v>160000</v>
          </cell>
          <cell r="L390" t="str">
            <v>HKD</v>
          </cell>
          <cell r="M390">
            <v>160000</v>
          </cell>
          <cell r="N390">
            <v>1</v>
          </cell>
          <cell r="O390">
            <v>11</v>
          </cell>
          <cell r="P390">
            <v>36</v>
          </cell>
          <cell r="Q390">
            <v>48888.888888888891</v>
          </cell>
        </row>
        <row r="391">
          <cell r="A391" t="str">
            <v>Proposed Project</v>
          </cell>
          <cell r="B391">
            <v>2015</v>
          </cell>
          <cell r="C391" t="str">
            <v>Peter</v>
          </cell>
          <cell r="D391" t="str">
            <v>CN</v>
          </cell>
          <cell r="E391">
            <v>0</v>
          </cell>
          <cell r="F391" t="str">
            <v>Platinum ATS Module</v>
          </cell>
          <cell r="G391" t="str">
            <v>Platinum ATS module for SH PM Sites</v>
          </cell>
          <cell r="H391" t="str">
            <v>SH</v>
          </cell>
          <cell r="I391" t="str">
            <v>Platinum</v>
          </cell>
          <cell r="J391" t="str">
            <v>RMB</v>
          </cell>
          <cell r="K391">
            <v>150000</v>
          </cell>
          <cell r="L391" t="str">
            <v>HKD</v>
          </cell>
          <cell r="M391">
            <v>187275</v>
          </cell>
          <cell r="N391">
            <v>11</v>
          </cell>
          <cell r="O391">
            <v>1</v>
          </cell>
          <cell r="P391">
            <v>48</v>
          </cell>
          <cell r="Q391">
            <v>3901.5625</v>
          </cell>
        </row>
        <row r="392">
          <cell r="A392" t="str">
            <v>Expansion</v>
          </cell>
          <cell r="B392">
            <v>2015</v>
          </cell>
          <cell r="C392" t="str">
            <v>Peter</v>
          </cell>
          <cell r="D392" t="str">
            <v>CN</v>
          </cell>
          <cell r="E392">
            <v>0</v>
          </cell>
          <cell r="F392" t="str">
            <v>Platinum HRM</v>
          </cell>
          <cell r="G392" t="str">
            <v>Platinum HRM - License Increase from 7000-8000</v>
          </cell>
          <cell r="H392" t="str">
            <v>CN</v>
          </cell>
          <cell r="I392" t="str">
            <v>Platinum</v>
          </cell>
          <cell r="J392" t="str">
            <v>RMB</v>
          </cell>
          <cell r="K392">
            <v>27500</v>
          </cell>
          <cell r="L392" t="str">
            <v>HKD</v>
          </cell>
          <cell r="M392">
            <v>34333.75</v>
          </cell>
          <cell r="N392">
            <v>11</v>
          </cell>
          <cell r="O392">
            <v>1</v>
          </cell>
          <cell r="P392">
            <v>24</v>
          </cell>
          <cell r="Q392">
            <v>1430.5729166666667</v>
          </cell>
        </row>
        <row r="393">
          <cell r="A393" t="str">
            <v>Expansion</v>
          </cell>
          <cell r="B393">
            <v>2016</v>
          </cell>
          <cell r="C393" t="str">
            <v>Peter</v>
          </cell>
          <cell r="D393" t="str">
            <v>CN</v>
          </cell>
          <cell r="E393">
            <v>0</v>
          </cell>
          <cell r="F393" t="str">
            <v>Platinum HRM</v>
          </cell>
          <cell r="G393" t="str">
            <v>Platinum HRM - License Increase from 8000-9000</v>
          </cell>
          <cell r="H393" t="str">
            <v>CN</v>
          </cell>
          <cell r="I393" t="str">
            <v>Platinum</v>
          </cell>
          <cell r="J393" t="str">
            <v>RMB</v>
          </cell>
          <cell r="K393">
            <v>31625</v>
          </cell>
          <cell r="L393" t="str">
            <v>HKD</v>
          </cell>
          <cell r="M393">
            <v>39483.8125</v>
          </cell>
          <cell r="N393">
            <v>11</v>
          </cell>
          <cell r="O393">
            <v>1</v>
          </cell>
          <cell r="P393">
            <v>24</v>
          </cell>
          <cell r="Q393">
            <v>1645.1588541666667</v>
          </cell>
        </row>
        <row r="394">
          <cell r="A394" t="str">
            <v>Expansion</v>
          </cell>
          <cell r="B394">
            <v>2015</v>
          </cell>
          <cell r="C394" t="str">
            <v>Infra</v>
          </cell>
          <cell r="D394" t="str">
            <v>HK-MSL</v>
          </cell>
          <cell r="E394">
            <v>0</v>
          </cell>
          <cell r="F394" t="str">
            <v>Poe Switch expansion</v>
          </cell>
          <cell r="G394" t="str">
            <v>Spare PoE switch</v>
          </cell>
          <cell r="H394" t="str">
            <v>MSL</v>
          </cell>
          <cell r="I394">
            <v>0</v>
          </cell>
          <cell r="J394" t="str">
            <v>HKD</v>
          </cell>
          <cell r="K394">
            <v>11000</v>
          </cell>
          <cell r="L394" t="str">
            <v>HKD</v>
          </cell>
          <cell r="M394">
            <v>11000</v>
          </cell>
          <cell r="N394">
            <v>1</v>
          </cell>
          <cell r="O394">
            <v>11</v>
          </cell>
          <cell r="P394">
            <v>60</v>
          </cell>
          <cell r="Q394">
            <v>2016.6666666666667</v>
          </cell>
        </row>
        <row r="395">
          <cell r="A395" t="str">
            <v>Refreshment</v>
          </cell>
          <cell r="B395">
            <v>2017</v>
          </cell>
          <cell r="C395" t="str">
            <v>Infra</v>
          </cell>
          <cell r="D395" t="str">
            <v>CN</v>
          </cell>
          <cell r="E395">
            <v>0</v>
          </cell>
          <cell r="F395" t="str">
            <v xml:space="preserve">Polycom RMX MCU Refreshment             </v>
          </cell>
          <cell r="G395" t="str">
            <v xml:space="preserve">Polycom RMX MCU Refreshment             </v>
          </cell>
          <cell r="H395" t="str">
            <v>CN</v>
          </cell>
          <cell r="I395">
            <v>0</v>
          </cell>
          <cell r="J395" t="str">
            <v>HKD</v>
          </cell>
          <cell r="K395">
            <v>600000</v>
          </cell>
          <cell r="L395" t="str">
            <v>HKD</v>
          </cell>
          <cell r="M395">
            <v>600000</v>
          </cell>
          <cell r="N395">
            <v>1</v>
          </cell>
          <cell r="O395">
            <v>11</v>
          </cell>
          <cell r="P395">
            <v>36</v>
          </cell>
          <cell r="Q395">
            <v>183333.33333333334</v>
          </cell>
        </row>
        <row r="396">
          <cell r="A396" t="str">
            <v>New Project</v>
          </cell>
          <cell r="B396">
            <v>2016</v>
          </cell>
          <cell r="C396" t="str">
            <v>Peter</v>
          </cell>
          <cell r="D396" t="str">
            <v>CN</v>
          </cell>
          <cell r="E396">
            <v>0</v>
          </cell>
          <cell r="F396" t="str">
            <v>Presentation Tool</v>
          </cell>
          <cell r="G396" t="str">
            <v>Epson Projector</v>
          </cell>
          <cell r="H396" t="str">
            <v>NJ</v>
          </cell>
          <cell r="I396" t="str">
            <v>JOS</v>
          </cell>
          <cell r="J396" t="str">
            <v>RMB</v>
          </cell>
          <cell r="K396">
            <v>5000</v>
          </cell>
          <cell r="L396" t="str">
            <v>HKD</v>
          </cell>
          <cell r="M396">
            <v>6242.5</v>
          </cell>
          <cell r="N396">
            <v>6</v>
          </cell>
          <cell r="O396">
            <v>6</v>
          </cell>
          <cell r="P396">
            <v>48</v>
          </cell>
          <cell r="Q396">
            <v>780.3125</v>
          </cell>
        </row>
        <row r="397">
          <cell r="A397" t="str">
            <v>Refreshment</v>
          </cell>
          <cell r="B397">
            <v>2015</v>
          </cell>
          <cell r="C397">
            <v>0</v>
          </cell>
          <cell r="D397" t="str">
            <v>MO</v>
          </cell>
          <cell r="E397">
            <v>0</v>
          </cell>
          <cell r="F397" t="str">
            <v>Printer replacement</v>
          </cell>
          <cell r="G397" t="str">
            <v>HP LaserJet Printer Replacement (HP2015 + 4650N)</v>
          </cell>
          <cell r="H397" t="str">
            <v>MO</v>
          </cell>
          <cell r="I397">
            <v>0</v>
          </cell>
          <cell r="J397" t="str">
            <v>HKD</v>
          </cell>
          <cell r="K397">
            <v>24000</v>
          </cell>
          <cell r="L397" t="str">
            <v>HKD</v>
          </cell>
          <cell r="M397">
            <v>24000</v>
          </cell>
          <cell r="N397">
            <v>10</v>
          </cell>
          <cell r="O397">
            <v>2</v>
          </cell>
          <cell r="P397">
            <v>48</v>
          </cell>
          <cell r="Q397">
            <v>1000</v>
          </cell>
        </row>
        <row r="398">
          <cell r="A398" t="str">
            <v>Refreshment</v>
          </cell>
          <cell r="B398">
            <v>2016</v>
          </cell>
          <cell r="C398" t="str">
            <v>Kim</v>
          </cell>
          <cell r="D398" t="str">
            <v>KR</v>
          </cell>
          <cell r="E398">
            <v>0</v>
          </cell>
          <cell r="F398" t="str">
            <v>Printer Replacement</v>
          </cell>
          <cell r="G398" t="str">
            <v>BW Printer 2 units, Color Printer 1 unit, personal printer 2 units</v>
          </cell>
          <cell r="H398" t="str">
            <v>KR</v>
          </cell>
          <cell r="I398" t="str">
            <v>HP</v>
          </cell>
          <cell r="J398" t="str">
            <v>WON</v>
          </cell>
          <cell r="K398">
            <v>8000000</v>
          </cell>
          <cell r="L398" t="str">
            <v>HKD</v>
          </cell>
          <cell r="M398">
            <v>53600</v>
          </cell>
          <cell r="N398">
            <v>9</v>
          </cell>
          <cell r="O398">
            <v>3</v>
          </cell>
          <cell r="P398">
            <v>48</v>
          </cell>
          <cell r="Q398">
            <v>3350</v>
          </cell>
        </row>
        <row r="399">
          <cell r="A399" t="str">
            <v>Refreshment</v>
          </cell>
          <cell r="B399">
            <v>2016</v>
          </cell>
          <cell r="C399" t="str">
            <v>Edmond</v>
          </cell>
          <cell r="D399" t="str">
            <v>TH</v>
          </cell>
          <cell r="E399">
            <v>0</v>
          </cell>
          <cell r="F399" t="str">
            <v>Printer replacement</v>
          </cell>
          <cell r="G399" t="str">
            <v>Printer Replacement (Epson LQ-310)</v>
          </cell>
          <cell r="H399" t="str">
            <v>TH</v>
          </cell>
          <cell r="I399">
            <v>0</v>
          </cell>
          <cell r="J399" t="str">
            <v>HKD</v>
          </cell>
          <cell r="K399">
            <v>2500</v>
          </cell>
          <cell r="L399" t="str">
            <v>HKD</v>
          </cell>
          <cell r="M399">
            <v>2500</v>
          </cell>
          <cell r="N399">
            <v>4</v>
          </cell>
          <cell r="O399">
            <v>8</v>
          </cell>
          <cell r="P399">
            <v>48</v>
          </cell>
          <cell r="Q399">
            <v>416.66666666666669</v>
          </cell>
        </row>
        <row r="400">
          <cell r="A400" t="str">
            <v>Refreshment</v>
          </cell>
          <cell r="B400">
            <v>2017</v>
          </cell>
          <cell r="C400" t="str">
            <v>Kim</v>
          </cell>
          <cell r="D400" t="str">
            <v>KR</v>
          </cell>
          <cell r="E400">
            <v>0</v>
          </cell>
          <cell r="F400" t="str">
            <v>Printer Replacement</v>
          </cell>
          <cell r="G400" t="str">
            <v>Printer Repacement (Personal Printer 6 units)</v>
          </cell>
          <cell r="H400" t="str">
            <v>KR</v>
          </cell>
          <cell r="I400" t="str">
            <v>HP</v>
          </cell>
          <cell r="J400" t="str">
            <v>WON</v>
          </cell>
          <cell r="K400">
            <v>3100000</v>
          </cell>
          <cell r="L400" t="str">
            <v>HKD</v>
          </cell>
          <cell r="M400">
            <v>20770</v>
          </cell>
          <cell r="N400">
            <v>9</v>
          </cell>
          <cell r="O400">
            <v>3</v>
          </cell>
          <cell r="P400">
            <v>48</v>
          </cell>
          <cell r="Q400">
            <v>1298.125</v>
          </cell>
        </row>
        <row r="401">
          <cell r="A401" t="str">
            <v>Refreshment</v>
          </cell>
          <cell r="B401">
            <v>2018</v>
          </cell>
          <cell r="C401" t="str">
            <v>Kim</v>
          </cell>
          <cell r="D401" t="str">
            <v>KR</v>
          </cell>
          <cell r="E401">
            <v>0</v>
          </cell>
          <cell r="F401" t="str">
            <v>Printer Replacement</v>
          </cell>
          <cell r="G401" t="str">
            <v xml:space="preserve">Printer Repacement </v>
          </cell>
          <cell r="H401" t="str">
            <v>KR</v>
          </cell>
          <cell r="I401" t="str">
            <v>HP</v>
          </cell>
          <cell r="J401" t="str">
            <v>WON</v>
          </cell>
          <cell r="K401">
            <v>5300000</v>
          </cell>
          <cell r="L401" t="str">
            <v>HKD</v>
          </cell>
          <cell r="M401">
            <v>35510</v>
          </cell>
          <cell r="N401">
            <v>9</v>
          </cell>
          <cell r="O401">
            <v>3</v>
          </cell>
          <cell r="P401">
            <v>48</v>
          </cell>
          <cell r="Q401">
            <v>2219.375</v>
          </cell>
        </row>
        <row r="402">
          <cell r="A402" t="str">
            <v>Refreshment</v>
          </cell>
          <cell r="B402">
            <v>2015</v>
          </cell>
          <cell r="C402" t="str">
            <v>Quen</v>
          </cell>
          <cell r="D402" t="str">
            <v>VN</v>
          </cell>
          <cell r="E402">
            <v>0</v>
          </cell>
          <cell r="F402" t="str">
            <v>Printer Replacment</v>
          </cell>
          <cell r="G402" t="str">
            <v>Replace 02 Printer (HCM: 01 prnt; HN: 01 prnt)</v>
          </cell>
          <cell r="H402" t="str">
            <v>VN</v>
          </cell>
          <cell r="I402" t="str">
            <v>HP</v>
          </cell>
          <cell r="J402" t="str">
            <v>VND</v>
          </cell>
          <cell r="K402">
            <v>22400000</v>
          </cell>
          <cell r="L402" t="str">
            <v>HKD</v>
          </cell>
          <cell r="M402">
            <v>8960</v>
          </cell>
          <cell r="N402">
            <v>5</v>
          </cell>
          <cell r="O402">
            <v>7</v>
          </cell>
          <cell r="P402">
            <v>48</v>
          </cell>
          <cell r="Q402">
            <v>1306.6666666666665</v>
          </cell>
        </row>
        <row r="403">
          <cell r="A403" t="str">
            <v>Refreshment</v>
          </cell>
          <cell r="B403">
            <v>2017</v>
          </cell>
          <cell r="C403" t="str">
            <v>Quen</v>
          </cell>
          <cell r="D403" t="str">
            <v>VN</v>
          </cell>
          <cell r="E403">
            <v>0</v>
          </cell>
          <cell r="F403" t="str">
            <v>Printer Replacment</v>
          </cell>
          <cell r="G403" t="str">
            <v>Replace 02 Printer (HCM: 01 prnt; HN: 01 prnt)</v>
          </cell>
          <cell r="H403" t="str">
            <v>VN</v>
          </cell>
          <cell r="I403" t="str">
            <v>HP</v>
          </cell>
          <cell r="J403" t="str">
            <v>VND</v>
          </cell>
          <cell r="K403">
            <v>22400000</v>
          </cell>
          <cell r="L403" t="str">
            <v>HKD</v>
          </cell>
          <cell r="M403">
            <v>8960</v>
          </cell>
          <cell r="N403">
            <v>5</v>
          </cell>
          <cell r="O403">
            <v>7</v>
          </cell>
          <cell r="P403">
            <v>48</v>
          </cell>
          <cell r="Q403">
            <v>1306.6666666666665</v>
          </cell>
        </row>
        <row r="404">
          <cell r="A404" t="str">
            <v>Refreshment</v>
          </cell>
          <cell r="B404">
            <v>2018</v>
          </cell>
          <cell r="C404" t="str">
            <v>Quen</v>
          </cell>
          <cell r="D404" t="str">
            <v>VN</v>
          </cell>
          <cell r="E404">
            <v>0</v>
          </cell>
          <cell r="F404" t="str">
            <v>Printer Replacment</v>
          </cell>
          <cell r="G404" t="str">
            <v>Replace 02 Printer (HCM: 01 prnt; HN: 01 prnt)</v>
          </cell>
          <cell r="H404" t="str">
            <v>VN</v>
          </cell>
          <cell r="I404" t="str">
            <v>HP</v>
          </cell>
          <cell r="J404" t="str">
            <v>VND</v>
          </cell>
          <cell r="K404">
            <v>22400000</v>
          </cell>
          <cell r="L404" t="str">
            <v>HKD</v>
          </cell>
          <cell r="M404">
            <v>8960</v>
          </cell>
          <cell r="N404">
            <v>5</v>
          </cell>
          <cell r="O404">
            <v>7</v>
          </cell>
          <cell r="P404">
            <v>48</v>
          </cell>
          <cell r="Q404">
            <v>1306.6666666666665</v>
          </cell>
        </row>
        <row r="405">
          <cell r="A405" t="str">
            <v>Proposed Project</v>
          </cell>
          <cell r="B405">
            <v>2015</v>
          </cell>
          <cell r="C405" t="str">
            <v>Quen</v>
          </cell>
          <cell r="D405" t="str">
            <v>VN</v>
          </cell>
          <cell r="E405">
            <v>0</v>
          </cell>
          <cell r="F405" t="str">
            <v>Property Management Software</v>
          </cell>
          <cell r="G405" t="str">
            <v xml:space="preserve">Property management software for VN </v>
          </cell>
          <cell r="H405" t="str">
            <v>VN</v>
          </cell>
          <cell r="I405">
            <v>0</v>
          </cell>
          <cell r="J405" t="str">
            <v>VND</v>
          </cell>
          <cell r="K405">
            <v>1022000000</v>
          </cell>
          <cell r="L405" t="str">
            <v>HKD</v>
          </cell>
          <cell r="M405">
            <v>408800</v>
          </cell>
          <cell r="N405">
            <v>2</v>
          </cell>
          <cell r="O405">
            <v>10</v>
          </cell>
          <cell r="P405">
            <v>60</v>
          </cell>
          <cell r="Q405">
            <v>68133.333333333328</v>
          </cell>
        </row>
        <row r="406">
          <cell r="A406" t="str">
            <v>Refreshment</v>
          </cell>
          <cell r="B406">
            <v>2017</v>
          </cell>
          <cell r="C406" t="str">
            <v>Quen</v>
          </cell>
          <cell r="D406" t="str">
            <v>VN</v>
          </cell>
          <cell r="E406">
            <v>0</v>
          </cell>
          <cell r="F406" t="str">
            <v xml:space="preserve">Replace Backup server </v>
          </cell>
          <cell r="G406" t="str">
            <v xml:space="preserve">Replace VNDPM2 backup server </v>
          </cell>
          <cell r="H406" t="str">
            <v>VN</v>
          </cell>
          <cell r="I406" t="str">
            <v>HP</v>
          </cell>
          <cell r="J406" t="str">
            <v>VND</v>
          </cell>
          <cell r="K406">
            <v>250000000</v>
          </cell>
          <cell r="L406" t="str">
            <v>HKD</v>
          </cell>
          <cell r="M406">
            <v>100000</v>
          </cell>
          <cell r="N406">
            <v>10</v>
          </cell>
          <cell r="O406">
            <v>2</v>
          </cell>
          <cell r="P406">
            <v>48</v>
          </cell>
          <cell r="Q406">
            <v>4166.666666666667</v>
          </cell>
        </row>
        <row r="407">
          <cell r="A407" t="str">
            <v>Refreshment</v>
          </cell>
          <cell r="B407">
            <v>2017</v>
          </cell>
          <cell r="C407" t="str">
            <v>Quen</v>
          </cell>
          <cell r="D407" t="str">
            <v>VN</v>
          </cell>
          <cell r="E407">
            <v>0</v>
          </cell>
          <cell r="F407" t="str">
            <v xml:space="preserve">Replace Tape Drive </v>
          </cell>
          <cell r="G407" t="str">
            <v xml:space="preserve">Replace Tape Drive </v>
          </cell>
          <cell r="H407" t="str">
            <v>VN</v>
          </cell>
          <cell r="I407" t="str">
            <v>HP</v>
          </cell>
          <cell r="J407" t="str">
            <v>VND</v>
          </cell>
          <cell r="K407">
            <v>180000000</v>
          </cell>
          <cell r="L407" t="str">
            <v>HKD</v>
          </cell>
          <cell r="M407">
            <v>72000</v>
          </cell>
          <cell r="N407">
            <v>10</v>
          </cell>
          <cell r="O407">
            <v>2</v>
          </cell>
          <cell r="P407">
            <v>48</v>
          </cell>
          <cell r="Q407">
            <v>3000</v>
          </cell>
        </row>
        <row r="408">
          <cell r="A408" t="str">
            <v>Refreshment</v>
          </cell>
          <cell r="B408">
            <v>2017</v>
          </cell>
          <cell r="C408" t="str">
            <v>Quen</v>
          </cell>
          <cell r="D408" t="str">
            <v>VN</v>
          </cell>
          <cell r="E408">
            <v>0</v>
          </cell>
          <cell r="F408" t="str">
            <v xml:space="preserve">Replace VNHOST1 server </v>
          </cell>
          <cell r="G408" t="str">
            <v>Replace VNHOST1 server in HCM</v>
          </cell>
          <cell r="H408" t="str">
            <v>VN</v>
          </cell>
          <cell r="I408" t="str">
            <v>HP</v>
          </cell>
          <cell r="J408" t="str">
            <v>VND</v>
          </cell>
          <cell r="K408">
            <v>300000000</v>
          </cell>
          <cell r="L408" t="str">
            <v>HKD</v>
          </cell>
          <cell r="M408">
            <v>120000</v>
          </cell>
          <cell r="N408">
            <v>5</v>
          </cell>
          <cell r="O408">
            <v>7</v>
          </cell>
          <cell r="P408">
            <v>48</v>
          </cell>
          <cell r="Q408">
            <v>17500</v>
          </cell>
        </row>
        <row r="409">
          <cell r="A409" t="str">
            <v>Refreshment</v>
          </cell>
          <cell r="B409">
            <v>2018</v>
          </cell>
          <cell r="C409" t="str">
            <v>Quen</v>
          </cell>
          <cell r="D409" t="str">
            <v>VN</v>
          </cell>
          <cell r="E409">
            <v>0</v>
          </cell>
          <cell r="F409" t="str">
            <v xml:space="preserve">Replace VNHOST2, VNDC1, VNFS1 servers in HCM </v>
          </cell>
          <cell r="G409" t="str">
            <v xml:space="preserve">Replace VNHOST2, VNDC1, VNFS1 servers in HCM </v>
          </cell>
          <cell r="H409" t="str">
            <v>VN</v>
          </cell>
          <cell r="I409" t="str">
            <v>HP</v>
          </cell>
          <cell r="J409" t="str">
            <v>VND</v>
          </cell>
          <cell r="K409">
            <v>650000000</v>
          </cell>
          <cell r="L409" t="str">
            <v>HKD</v>
          </cell>
          <cell r="M409">
            <v>260000</v>
          </cell>
          <cell r="N409">
            <v>5</v>
          </cell>
          <cell r="O409">
            <v>7</v>
          </cell>
          <cell r="P409">
            <v>48</v>
          </cell>
          <cell r="Q409">
            <v>37916.666666666672</v>
          </cell>
        </row>
        <row r="410">
          <cell r="A410" t="str">
            <v>Refreshment</v>
          </cell>
          <cell r="B410">
            <v>2016</v>
          </cell>
          <cell r="C410" t="str">
            <v>Josh</v>
          </cell>
          <cell r="D410" t="str">
            <v>TW</v>
          </cell>
          <cell r="E410">
            <v>0</v>
          </cell>
          <cell r="F410" t="str">
            <v>HP ProCurve Switch 2920-48</v>
          </cell>
          <cell r="G410" t="str">
            <v>HP ProCurve Switch 2810-24 replacement (HQ core switch)</v>
          </cell>
          <cell r="H410" t="str">
            <v>TW</v>
          </cell>
          <cell r="I410" t="str">
            <v>eTatung</v>
          </cell>
          <cell r="J410" t="str">
            <v>TWD</v>
          </cell>
          <cell r="K410">
            <v>92000</v>
          </cell>
          <cell r="L410" t="str">
            <v>HKD</v>
          </cell>
          <cell r="M410">
            <v>22540</v>
          </cell>
          <cell r="N410">
            <v>7</v>
          </cell>
          <cell r="O410">
            <v>5</v>
          </cell>
          <cell r="P410">
            <v>60</v>
          </cell>
          <cell r="Q410">
            <v>1878.3333333333335</v>
          </cell>
        </row>
        <row r="411">
          <cell r="A411" t="str">
            <v>Expansion</v>
          </cell>
          <cell r="B411">
            <v>2016</v>
          </cell>
          <cell r="C411" t="str">
            <v>Josh</v>
          </cell>
          <cell r="D411" t="str">
            <v>TW</v>
          </cell>
          <cell r="E411">
            <v>0</v>
          </cell>
          <cell r="F411" t="str">
            <v>Resi Store</v>
          </cell>
          <cell r="G411" t="str">
            <v>new Resi store IT expense</v>
          </cell>
          <cell r="H411" t="str">
            <v>TW</v>
          </cell>
          <cell r="I411" t="str">
            <v>varius vendors</v>
          </cell>
          <cell r="J411" t="str">
            <v>TWD</v>
          </cell>
          <cell r="K411">
            <v>150000</v>
          </cell>
          <cell r="L411" t="str">
            <v>HKD</v>
          </cell>
          <cell r="M411">
            <v>36750</v>
          </cell>
          <cell r="N411">
            <v>7</v>
          </cell>
          <cell r="O411">
            <v>5</v>
          </cell>
          <cell r="P411">
            <v>48</v>
          </cell>
          <cell r="Q411">
            <v>3828.125</v>
          </cell>
        </row>
        <row r="412">
          <cell r="A412" t="str">
            <v>Expansion</v>
          </cell>
          <cell r="B412">
            <v>2017</v>
          </cell>
          <cell r="C412" t="str">
            <v>Josh</v>
          </cell>
          <cell r="D412" t="str">
            <v>TW</v>
          </cell>
          <cell r="E412">
            <v>0</v>
          </cell>
          <cell r="F412" t="str">
            <v>Resi Store</v>
          </cell>
          <cell r="G412" t="str">
            <v>new Resi store IT expense</v>
          </cell>
          <cell r="H412" t="str">
            <v>TW</v>
          </cell>
          <cell r="I412" t="str">
            <v>varius vendors</v>
          </cell>
          <cell r="J412" t="str">
            <v>TWD</v>
          </cell>
          <cell r="K412">
            <v>150000</v>
          </cell>
          <cell r="L412" t="str">
            <v>HKD</v>
          </cell>
          <cell r="M412">
            <v>36750</v>
          </cell>
          <cell r="N412">
            <v>7</v>
          </cell>
          <cell r="O412">
            <v>5</v>
          </cell>
          <cell r="P412">
            <v>48</v>
          </cell>
          <cell r="Q412">
            <v>3828.125</v>
          </cell>
        </row>
        <row r="413">
          <cell r="A413" t="str">
            <v>Expansion</v>
          </cell>
          <cell r="B413">
            <v>2018</v>
          </cell>
          <cell r="C413" t="str">
            <v>Josh</v>
          </cell>
          <cell r="D413" t="str">
            <v>TW</v>
          </cell>
          <cell r="E413">
            <v>0</v>
          </cell>
          <cell r="F413" t="str">
            <v>Resi Store</v>
          </cell>
          <cell r="G413" t="str">
            <v>new Resi store IT expense</v>
          </cell>
          <cell r="H413" t="str">
            <v>TW</v>
          </cell>
          <cell r="I413" t="str">
            <v>varius vendors</v>
          </cell>
          <cell r="J413" t="str">
            <v>TWD</v>
          </cell>
          <cell r="K413">
            <v>150000</v>
          </cell>
          <cell r="L413" t="str">
            <v>HKD</v>
          </cell>
          <cell r="M413">
            <v>36750</v>
          </cell>
          <cell r="N413">
            <v>7</v>
          </cell>
          <cell r="O413">
            <v>5</v>
          </cell>
          <cell r="P413">
            <v>48</v>
          </cell>
          <cell r="Q413">
            <v>3828.125</v>
          </cell>
        </row>
        <row r="414">
          <cell r="A414" t="str">
            <v>Expansion</v>
          </cell>
          <cell r="B414">
            <v>2017</v>
          </cell>
          <cell r="C414" t="str">
            <v>Peter</v>
          </cell>
          <cell r="D414" t="str">
            <v>CN</v>
          </cell>
          <cell r="E414">
            <v>0</v>
          </cell>
          <cell r="F414" t="str">
            <v>SAN Expansion</v>
          </cell>
          <cell r="G414" t="str">
            <v>Expand storage</v>
          </cell>
          <cell r="H414" t="str">
            <v>CN</v>
          </cell>
          <cell r="I414" t="str">
            <v>HP</v>
          </cell>
          <cell r="J414" t="str">
            <v>RMB</v>
          </cell>
          <cell r="K414">
            <v>500000</v>
          </cell>
          <cell r="L414" t="str">
            <v>HKD</v>
          </cell>
          <cell r="M414">
            <v>624250</v>
          </cell>
          <cell r="N414">
            <v>6</v>
          </cell>
          <cell r="O414">
            <v>6</v>
          </cell>
          <cell r="P414">
            <v>36</v>
          </cell>
          <cell r="Q414">
            <v>104041.66666666666</v>
          </cell>
        </row>
        <row r="415">
          <cell r="A415" t="str">
            <v>Expansion</v>
          </cell>
          <cell r="B415">
            <v>2016</v>
          </cell>
          <cell r="C415" t="str">
            <v>Infra</v>
          </cell>
          <cell r="D415" t="str">
            <v>HK-MSL</v>
          </cell>
          <cell r="E415">
            <v>0</v>
          </cell>
          <cell r="F415" t="str">
            <v>SAN Storage Expansion</v>
          </cell>
          <cell r="G415" t="str">
            <v>SAN Storage Expansion</v>
          </cell>
          <cell r="H415" t="str">
            <v>MSL</v>
          </cell>
          <cell r="I415">
            <v>0</v>
          </cell>
          <cell r="J415" t="str">
            <v>HKD</v>
          </cell>
          <cell r="K415">
            <v>500000</v>
          </cell>
          <cell r="L415" t="str">
            <v>HKD</v>
          </cell>
          <cell r="M415">
            <v>500000</v>
          </cell>
          <cell r="N415">
            <v>3</v>
          </cell>
          <cell r="O415">
            <v>9</v>
          </cell>
          <cell r="P415">
            <v>36</v>
          </cell>
          <cell r="Q415">
            <v>125000</v>
          </cell>
        </row>
        <row r="416">
          <cell r="A416" t="str">
            <v>Expansion</v>
          </cell>
          <cell r="B416">
            <v>2017</v>
          </cell>
          <cell r="C416" t="str">
            <v>Infra</v>
          </cell>
          <cell r="D416" t="str">
            <v>HK-MSL</v>
          </cell>
          <cell r="E416">
            <v>0</v>
          </cell>
          <cell r="F416" t="str">
            <v>SAN Storage Expansion</v>
          </cell>
          <cell r="G416" t="str">
            <v>SAN Storage Expansion</v>
          </cell>
          <cell r="H416" t="str">
            <v>MSL</v>
          </cell>
          <cell r="I416">
            <v>0</v>
          </cell>
          <cell r="J416" t="str">
            <v>HKD</v>
          </cell>
          <cell r="K416">
            <v>500000</v>
          </cell>
          <cell r="L416" t="str">
            <v>HKD</v>
          </cell>
          <cell r="M416">
            <v>500000</v>
          </cell>
          <cell r="N416">
            <v>4</v>
          </cell>
          <cell r="O416">
            <v>8</v>
          </cell>
          <cell r="P416">
            <v>36</v>
          </cell>
          <cell r="Q416">
            <v>111111.11111111111</v>
          </cell>
        </row>
        <row r="417">
          <cell r="A417" t="str">
            <v>Refreshment</v>
          </cell>
          <cell r="B417">
            <v>2014</v>
          </cell>
          <cell r="C417" t="str">
            <v>Infra</v>
          </cell>
          <cell r="D417" t="str">
            <v>HK-MSL</v>
          </cell>
          <cell r="E417">
            <v>0</v>
          </cell>
          <cell r="F417" t="str">
            <v>SAN Storage replacement</v>
          </cell>
          <cell r="G417" t="str">
            <v>Replacement of EVA6400</v>
          </cell>
          <cell r="H417" t="str">
            <v>MSL</v>
          </cell>
          <cell r="I417">
            <v>0</v>
          </cell>
          <cell r="J417" t="str">
            <v>HKD</v>
          </cell>
          <cell r="K417">
            <v>1500000</v>
          </cell>
          <cell r="L417" t="str">
            <v>HKD</v>
          </cell>
          <cell r="M417">
            <v>1500000</v>
          </cell>
          <cell r="N417">
            <v>9</v>
          </cell>
          <cell r="O417">
            <v>3</v>
          </cell>
          <cell r="P417">
            <v>36</v>
          </cell>
          <cell r="Q417">
            <v>125000</v>
          </cell>
        </row>
        <row r="418">
          <cell r="A418" t="str">
            <v>New Project</v>
          </cell>
          <cell r="B418">
            <v>2016</v>
          </cell>
          <cell r="C418" t="str">
            <v>Allen</v>
          </cell>
          <cell r="D418" t="str">
            <v>HK-SHKL</v>
          </cell>
          <cell r="E418">
            <v>0</v>
          </cell>
          <cell r="F418" t="str">
            <v>Savills Agency Mobile (SAM)</v>
          </cell>
          <cell r="G418" t="str">
            <v>Stock management solution in mobile APP</v>
          </cell>
          <cell r="H418" t="str">
            <v>HKL</v>
          </cell>
          <cell r="I418">
            <v>0</v>
          </cell>
          <cell r="J418" t="str">
            <v>HKD</v>
          </cell>
          <cell r="K418">
            <v>1300000</v>
          </cell>
          <cell r="L418" t="str">
            <v>HKD</v>
          </cell>
          <cell r="M418">
            <v>1300000</v>
          </cell>
          <cell r="N418">
            <v>1</v>
          </cell>
          <cell r="O418">
            <v>11</v>
          </cell>
          <cell r="P418">
            <v>36</v>
          </cell>
          <cell r="Q418">
            <v>397222.22222222219</v>
          </cell>
        </row>
        <row r="419">
          <cell r="A419" t="str">
            <v>Refreshment</v>
          </cell>
          <cell r="B419">
            <v>2015</v>
          </cell>
          <cell r="C419">
            <v>0</v>
          </cell>
          <cell r="D419" t="str">
            <v>MO</v>
          </cell>
          <cell r="E419">
            <v>0</v>
          </cell>
          <cell r="F419" t="str">
            <v>Server Console devices refreshment</v>
          </cell>
          <cell r="G419" t="str">
            <v>KVM console switch</v>
          </cell>
          <cell r="H419" t="str">
            <v>MO</v>
          </cell>
          <cell r="I419" t="str">
            <v>JOS</v>
          </cell>
          <cell r="J419" t="str">
            <v>HKD</v>
          </cell>
          <cell r="K419">
            <v>2500</v>
          </cell>
          <cell r="L419" t="str">
            <v>HKD</v>
          </cell>
          <cell r="M419">
            <v>2500</v>
          </cell>
          <cell r="N419">
            <v>2</v>
          </cell>
          <cell r="O419">
            <v>10</v>
          </cell>
          <cell r="P419">
            <v>48</v>
          </cell>
          <cell r="Q419">
            <v>520.83333333333337</v>
          </cell>
        </row>
        <row r="420">
          <cell r="A420" t="str">
            <v>Expansion</v>
          </cell>
          <cell r="B420">
            <v>2017</v>
          </cell>
          <cell r="C420" t="str">
            <v>Peter</v>
          </cell>
          <cell r="D420" t="str">
            <v>CN</v>
          </cell>
          <cell r="E420">
            <v>0</v>
          </cell>
          <cell r="F420" t="str">
            <v>Server Expansion</v>
          </cell>
          <cell r="G420" t="str">
            <v>Expand two blade servers</v>
          </cell>
          <cell r="H420" t="str">
            <v>CN</v>
          </cell>
          <cell r="I420" t="str">
            <v>HP</v>
          </cell>
          <cell r="J420" t="str">
            <v>RMB</v>
          </cell>
          <cell r="K420">
            <v>240000</v>
          </cell>
          <cell r="L420" t="str">
            <v>HKD</v>
          </cell>
          <cell r="M420">
            <v>299640</v>
          </cell>
          <cell r="N420">
            <v>6</v>
          </cell>
          <cell r="O420">
            <v>6</v>
          </cell>
          <cell r="P420">
            <v>36</v>
          </cell>
          <cell r="Q420">
            <v>49940</v>
          </cell>
        </row>
        <row r="421">
          <cell r="A421" t="str">
            <v>Refreshment</v>
          </cell>
          <cell r="B421">
            <v>2015</v>
          </cell>
          <cell r="C421" t="str">
            <v>Infra</v>
          </cell>
          <cell r="D421" t="str">
            <v>HK-MSL</v>
          </cell>
          <cell r="E421">
            <v>0</v>
          </cell>
          <cell r="F421" t="str">
            <v>Server monitor replacement</v>
          </cell>
          <cell r="G421" t="str">
            <v>TFT + KVM IP console Switch (TDC)</v>
          </cell>
          <cell r="H421" t="str">
            <v>MSL</v>
          </cell>
          <cell r="I421" t="str">
            <v>JOS</v>
          </cell>
          <cell r="J421" t="str">
            <v>HKD</v>
          </cell>
          <cell r="K421">
            <v>40000</v>
          </cell>
          <cell r="L421" t="str">
            <v>HKD</v>
          </cell>
          <cell r="M421">
            <v>40000</v>
          </cell>
          <cell r="N421">
            <v>6</v>
          </cell>
          <cell r="O421">
            <v>6</v>
          </cell>
          <cell r="P421">
            <v>48</v>
          </cell>
          <cell r="Q421">
            <v>5000</v>
          </cell>
        </row>
        <row r="422">
          <cell r="A422" t="str">
            <v>Refreshment</v>
          </cell>
          <cell r="B422">
            <v>2015</v>
          </cell>
          <cell r="C422" t="str">
            <v>Infra</v>
          </cell>
          <cell r="D422" t="str">
            <v>HK-SHKL</v>
          </cell>
          <cell r="E422">
            <v>0</v>
          </cell>
          <cell r="F422" t="str">
            <v>Server monitor replacement</v>
          </cell>
          <cell r="G422" t="str">
            <v>TFT + KVM  console Switch (2Ex)</v>
          </cell>
          <cell r="H422" t="str">
            <v>HKL</v>
          </cell>
          <cell r="I422" t="str">
            <v>JOS</v>
          </cell>
          <cell r="J422" t="str">
            <v>HKD</v>
          </cell>
          <cell r="K422">
            <v>15000</v>
          </cell>
          <cell r="L422" t="str">
            <v>HKD</v>
          </cell>
          <cell r="M422">
            <v>15000</v>
          </cell>
          <cell r="N422">
            <v>6</v>
          </cell>
          <cell r="O422">
            <v>6</v>
          </cell>
          <cell r="P422">
            <v>48</v>
          </cell>
          <cell r="Q422">
            <v>1875</v>
          </cell>
        </row>
        <row r="423">
          <cell r="A423" t="str">
            <v>Refreshment</v>
          </cell>
          <cell r="B423">
            <v>2014</v>
          </cell>
          <cell r="C423">
            <v>0</v>
          </cell>
          <cell r="D423" t="str">
            <v>MO</v>
          </cell>
          <cell r="E423">
            <v>0</v>
          </cell>
          <cell r="F423" t="str">
            <v>Server Refreshment</v>
          </cell>
          <cell r="G423" t="str">
            <v>SQL Server (MOSQL1)</v>
          </cell>
          <cell r="H423" t="str">
            <v>MO</v>
          </cell>
          <cell r="I423" t="str">
            <v>JOS</v>
          </cell>
          <cell r="J423" t="str">
            <v>HKD</v>
          </cell>
          <cell r="K423">
            <v>78000</v>
          </cell>
          <cell r="L423" t="str">
            <v>HKD</v>
          </cell>
          <cell r="M423">
            <v>78000</v>
          </cell>
          <cell r="N423">
            <v>1</v>
          </cell>
          <cell r="O423">
            <v>11</v>
          </cell>
          <cell r="P423">
            <v>36</v>
          </cell>
          <cell r="Q423">
            <v>23833.333333333332</v>
          </cell>
        </row>
        <row r="424">
          <cell r="A424" t="str">
            <v>Refreshment</v>
          </cell>
          <cell r="B424">
            <v>2015</v>
          </cell>
          <cell r="C424">
            <v>0</v>
          </cell>
          <cell r="D424" t="str">
            <v>MO</v>
          </cell>
          <cell r="E424">
            <v>0</v>
          </cell>
          <cell r="F424" t="str">
            <v>Server Refreshment</v>
          </cell>
          <cell r="G424" t="str">
            <v>Macau Exchange Replacement (MOEX1)</v>
          </cell>
          <cell r="H424" t="str">
            <v>MO</v>
          </cell>
          <cell r="I424" t="str">
            <v>JOS</v>
          </cell>
          <cell r="J424" t="str">
            <v>HKD</v>
          </cell>
          <cell r="K424">
            <v>120000</v>
          </cell>
          <cell r="L424" t="str">
            <v>HKD</v>
          </cell>
          <cell r="M424">
            <v>120000</v>
          </cell>
          <cell r="N424">
            <v>1</v>
          </cell>
          <cell r="O424">
            <v>11</v>
          </cell>
          <cell r="P424">
            <v>36</v>
          </cell>
          <cell r="Q424">
            <v>36666.666666666672</v>
          </cell>
        </row>
        <row r="425">
          <cell r="A425" t="str">
            <v>Refreshment</v>
          </cell>
          <cell r="B425">
            <v>2015</v>
          </cell>
          <cell r="C425">
            <v>0</v>
          </cell>
          <cell r="D425" t="str">
            <v>MO</v>
          </cell>
          <cell r="E425">
            <v>0</v>
          </cell>
          <cell r="F425" t="str">
            <v>Server Refreshment</v>
          </cell>
          <cell r="G425" t="str">
            <v>Backup Server (MODPM1)</v>
          </cell>
          <cell r="H425" t="str">
            <v>MO</v>
          </cell>
          <cell r="I425" t="str">
            <v>JOS</v>
          </cell>
          <cell r="J425" t="str">
            <v>HKD</v>
          </cell>
          <cell r="K425">
            <v>110000</v>
          </cell>
          <cell r="L425" t="str">
            <v>HKD</v>
          </cell>
          <cell r="M425">
            <v>110000</v>
          </cell>
          <cell r="N425">
            <v>1</v>
          </cell>
          <cell r="O425">
            <v>11</v>
          </cell>
          <cell r="P425">
            <v>48</v>
          </cell>
          <cell r="Q425">
            <v>25208.333333333332</v>
          </cell>
        </row>
        <row r="426">
          <cell r="A426" t="str">
            <v>Refreshment</v>
          </cell>
          <cell r="B426">
            <v>2015</v>
          </cell>
          <cell r="C426">
            <v>0</v>
          </cell>
          <cell r="D426" t="str">
            <v>MO</v>
          </cell>
          <cell r="E426">
            <v>0</v>
          </cell>
          <cell r="F426" t="str">
            <v>Server Refreshment</v>
          </cell>
          <cell r="G426" t="str">
            <v>File Server + Domain Controller (MOFS1)</v>
          </cell>
          <cell r="H426" t="str">
            <v>MO</v>
          </cell>
          <cell r="I426" t="str">
            <v>JOS</v>
          </cell>
          <cell r="J426" t="str">
            <v>HKD</v>
          </cell>
          <cell r="K426">
            <v>112000</v>
          </cell>
          <cell r="L426" t="str">
            <v>HKD</v>
          </cell>
          <cell r="M426">
            <v>112000</v>
          </cell>
          <cell r="N426">
            <v>1</v>
          </cell>
          <cell r="O426">
            <v>11</v>
          </cell>
          <cell r="P426">
            <v>48</v>
          </cell>
          <cell r="Q426">
            <v>25666.666666666668</v>
          </cell>
        </row>
        <row r="427">
          <cell r="A427" t="str">
            <v>Refreshment</v>
          </cell>
          <cell r="B427">
            <v>2016</v>
          </cell>
          <cell r="C427" t="str">
            <v>Edmond</v>
          </cell>
          <cell r="D427" t="str">
            <v>TH</v>
          </cell>
          <cell r="E427">
            <v>0</v>
          </cell>
          <cell r="F427" t="str">
            <v>Server Refreshment</v>
          </cell>
          <cell r="G427" t="str">
            <v>File Server - THFS1</v>
          </cell>
          <cell r="H427" t="str">
            <v>TH</v>
          </cell>
          <cell r="I427">
            <v>0</v>
          </cell>
          <cell r="J427" t="str">
            <v>HKD</v>
          </cell>
          <cell r="K427">
            <v>86237</v>
          </cell>
          <cell r="L427" t="str">
            <v>HKD</v>
          </cell>
          <cell r="M427">
            <v>86237</v>
          </cell>
          <cell r="N427">
            <v>9</v>
          </cell>
          <cell r="O427">
            <v>3</v>
          </cell>
          <cell r="P427">
            <v>36</v>
          </cell>
          <cell r="Q427">
            <v>7186.4166666666661</v>
          </cell>
        </row>
        <row r="428">
          <cell r="A428" t="str">
            <v>Refreshment</v>
          </cell>
          <cell r="B428">
            <v>2016</v>
          </cell>
          <cell r="C428" t="str">
            <v>Edmond</v>
          </cell>
          <cell r="D428" t="str">
            <v>TH</v>
          </cell>
          <cell r="E428">
            <v>0</v>
          </cell>
          <cell r="F428" t="str">
            <v>Server Refreshment</v>
          </cell>
          <cell r="G428" t="str">
            <v>Backup Server - THDPM1</v>
          </cell>
          <cell r="H428" t="str">
            <v>TH</v>
          </cell>
          <cell r="I428">
            <v>0</v>
          </cell>
          <cell r="J428" t="str">
            <v>HKD</v>
          </cell>
          <cell r="K428">
            <v>94166</v>
          </cell>
          <cell r="L428" t="str">
            <v>HKD</v>
          </cell>
          <cell r="M428">
            <v>94166</v>
          </cell>
          <cell r="N428">
            <v>9</v>
          </cell>
          <cell r="O428">
            <v>3</v>
          </cell>
          <cell r="P428">
            <v>48</v>
          </cell>
          <cell r="Q428">
            <v>5885.375</v>
          </cell>
        </row>
        <row r="429">
          <cell r="A429" t="str">
            <v>Refreshment</v>
          </cell>
          <cell r="B429">
            <v>2017</v>
          </cell>
          <cell r="C429" t="str">
            <v>Edmond</v>
          </cell>
          <cell r="D429" t="str">
            <v>TH</v>
          </cell>
          <cell r="E429">
            <v>0</v>
          </cell>
          <cell r="F429" t="str">
            <v>Server Refreshment</v>
          </cell>
          <cell r="G429" t="str">
            <v>Host Server - THHOST1</v>
          </cell>
          <cell r="H429" t="str">
            <v>TH</v>
          </cell>
          <cell r="I429">
            <v>0</v>
          </cell>
          <cell r="J429" t="str">
            <v>HKD</v>
          </cell>
          <cell r="K429">
            <v>96237</v>
          </cell>
          <cell r="L429" t="str">
            <v>HKD</v>
          </cell>
          <cell r="M429">
            <v>96237</v>
          </cell>
          <cell r="N429">
            <v>1</v>
          </cell>
          <cell r="O429">
            <v>11</v>
          </cell>
          <cell r="P429">
            <v>48</v>
          </cell>
          <cell r="Q429">
            <v>22054.3125</v>
          </cell>
        </row>
        <row r="430">
          <cell r="A430" t="str">
            <v>Refreshment</v>
          </cell>
          <cell r="B430">
            <v>2014</v>
          </cell>
          <cell r="C430" t="str">
            <v>Infra</v>
          </cell>
          <cell r="D430" t="str">
            <v>HK-MSL</v>
          </cell>
          <cell r="E430">
            <v>0</v>
          </cell>
          <cell r="F430" t="str">
            <v>Server replacement</v>
          </cell>
          <cell r="G430" t="str">
            <v>Domain Controller (HKKLTDC1)</v>
          </cell>
          <cell r="H430" t="str">
            <v>RL</v>
          </cell>
          <cell r="I430" t="str">
            <v>JOS</v>
          </cell>
          <cell r="J430" t="str">
            <v>HKD</v>
          </cell>
          <cell r="K430">
            <v>50000</v>
          </cell>
          <cell r="L430" t="str">
            <v>HKD</v>
          </cell>
          <cell r="M430">
            <v>50000</v>
          </cell>
          <cell r="N430">
            <v>1</v>
          </cell>
          <cell r="O430">
            <v>11</v>
          </cell>
          <cell r="P430">
            <v>48</v>
          </cell>
          <cell r="Q430">
            <v>11458.333333333334</v>
          </cell>
        </row>
        <row r="431">
          <cell r="A431" t="str">
            <v>Refreshment</v>
          </cell>
          <cell r="B431">
            <v>2015</v>
          </cell>
          <cell r="C431" t="str">
            <v>Infra</v>
          </cell>
          <cell r="D431" t="str">
            <v>HK-MSL</v>
          </cell>
          <cell r="E431">
            <v>0</v>
          </cell>
          <cell r="F431" t="str">
            <v>Server replacement</v>
          </cell>
          <cell r="G431" t="str">
            <v>replacement of HKFS1, HKFS2 and HKFS3</v>
          </cell>
          <cell r="H431" t="str">
            <v>HK All</v>
          </cell>
          <cell r="I431" t="str">
            <v>JOS</v>
          </cell>
          <cell r="J431" t="str">
            <v>HKD</v>
          </cell>
          <cell r="K431">
            <v>240000</v>
          </cell>
          <cell r="L431" t="str">
            <v>HKD</v>
          </cell>
          <cell r="M431">
            <v>240000</v>
          </cell>
          <cell r="N431">
            <v>3</v>
          </cell>
          <cell r="O431">
            <v>9</v>
          </cell>
          <cell r="P431">
            <v>36</v>
          </cell>
          <cell r="Q431">
            <v>60000</v>
          </cell>
        </row>
        <row r="432">
          <cell r="A432" t="str">
            <v>Refreshment</v>
          </cell>
          <cell r="B432">
            <v>2015</v>
          </cell>
          <cell r="C432" t="str">
            <v>Infra</v>
          </cell>
          <cell r="D432" t="str">
            <v>HK-SPML</v>
          </cell>
          <cell r="E432">
            <v>0</v>
          </cell>
          <cell r="F432" t="str">
            <v>Server replacement</v>
          </cell>
          <cell r="G432" t="str">
            <v>Domain Controller (HKCPDC1)</v>
          </cell>
          <cell r="H432" t="str">
            <v>SPML</v>
          </cell>
          <cell r="I432" t="str">
            <v>JOS</v>
          </cell>
          <cell r="J432" t="str">
            <v>HKD</v>
          </cell>
          <cell r="K432">
            <v>56000</v>
          </cell>
          <cell r="L432" t="str">
            <v>HKD</v>
          </cell>
          <cell r="M432">
            <v>56000</v>
          </cell>
          <cell r="N432">
            <v>7</v>
          </cell>
          <cell r="O432">
            <v>5</v>
          </cell>
          <cell r="P432">
            <v>48</v>
          </cell>
          <cell r="Q432">
            <v>5833.3333333333339</v>
          </cell>
        </row>
        <row r="433">
          <cell r="A433" t="str">
            <v>Refreshment</v>
          </cell>
          <cell r="B433">
            <v>2015</v>
          </cell>
          <cell r="C433" t="str">
            <v>Infra</v>
          </cell>
          <cell r="D433" t="str">
            <v>HK-SHKL</v>
          </cell>
          <cell r="E433">
            <v>0</v>
          </cell>
          <cell r="F433" t="str">
            <v>Server replacement</v>
          </cell>
          <cell r="G433" t="str">
            <v>HK Investment file server (HKINV1)</v>
          </cell>
          <cell r="H433" t="str">
            <v>HKL</v>
          </cell>
          <cell r="I433" t="str">
            <v>JOS</v>
          </cell>
          <cell r="J433" t="str">
            <v>HKD</v>
          </cell>
          <cell r="K433">
            <v>65000</v>
          </cell>
          <cell r="L433" t="str">
            <v>HKD</v>
          </cell>
          <cell r="M433">
            <v>65000</v>
          </cell>
          <cell r="N433">
            <v>3</v>
          </cell>
          <cell r="O433">
            <v>9</v>
          </cell>
          <cell r="P433">
            <v>48</v>
          </cell>
          <cell r="Q433">
            <v>12187.5</v>
          </cell>
        </row>
        <row r="434">
          <cell r="A434" t="str">
            <v>Refreshment</v>
          </cell>
          <cell r="B434">
            <v>2015</v>
          </cell>
          <cell r="C434" t="str">
            <v>Infra</v>
          </cell>
          <cell r="D434" t="str">
            <v>HK-SHKL</v>
          </cell>
          <cell r="E434">
            <v>0</v>
          </cell>
          <cell r="F434" t="str">
            <v>Server replacement</v>
          </cell>
          <cell r="G434" t="str">
            <v>Domain Controller (HKTSTDC1)</v>
          </cell>
          <cell r="H434" t="str">
            <v>HKL</v>
          </cell>
          <cell r="I434" t="str">
            <v>JOS</v>
          </cell>
          <cell r="J434" t="str">
            <v>HKD</v>
          </cell>
          <cell r="K434">
            <v>55000</v>
          </cell>
          <cell r="L434" t="str">
            <v>HKD</v>
          </cell>
          <cell r="M434">
            <v>55000</v>
          </cell>
          <cell r="N434">
            <v>2</v>
          </cell>
          <cell r="O434">
            <v>10</v>
          </cell>
          <cell r="P434">
            <v>48</v>
          </cell>
          <cell r="Q434">
            <v>11458.333333333332</v>
          </cell>
        </row>
        <row r="435">
          <cell r="A435" t="str">
            <v>Refreshment</v>
          </cell>
          <cell r="B435">
            <v>2015</v>
          </cell>
          <cell r="C435" t="str">
            <v>Infra</v>
          </cell>
          <cell r="D435" t="str">
            <v>HK-SHKL</v>
          </cell>
          <cell r="E435">
            <v>0</v>
          </cell>
          <cell r="F435" t="str">
            <v>Server replacement</v>
          </cell>
          <cell r="G435" t="str">
            <v>Domain Controller (HKEXDC1)</v>
          </cell>
          <cell r="H435" t="str">
            <v>HKL</v>
          </cell>
          <cell r="I435" t="str">
            <v>JOS</v>
          </cell>
          <cell r="J435" t="str">
            <v>HKD</v>
          </cell>
          <cell r="K435">
            <v>55000</v>
          </cell>
          <cell r="L435" t="str">
            <v>HKD</v>
          </cell>
          <cell r="M435">
            <v>55000</v>
          </cell>
          <cell r="N435">
            <v>2</v>
          </cell>
          <cell r="O435">
            <v>10</v>
          </cell>
          <cell r="P435">
            <v>48</v>
          </cell>
          <cell r="Q435">
            <v>11458.333333333332</v>
          </cell>
        </row>
        <row r="436">
          <cell r="A436" t="str">
            <v>Refreshment</v>
          </cell>
          <cell r="B436">
            <v>2015</v>
          </cell>
          <cell r="C436" t="str">
            <v>Kim</v>
          </cell>
          <cell r="D436" t="str">
            <v>KR</v>
          </cell>
          <cell r="E436">
            <v>0</v>
          </cell>
          <cell r="F436" t="str">
            <v>Server Replacement</v>
          </cell>
          <cell r="G436" t="str">
            <v>Purchase Terminal Server 2units</v>
          </cell>
          <cell r="H436" t="str">
            <v>KR</v>
          </cell>
          <cell r="I436" t="str">
            <v>HP</v>
          </cell>
          <cell r="J436" t="str">
            <v>WON</v>
          </cell>
          <cell r="K436">
            <v>32000000</v>
          </cell>
          <cell r="L436" t="str">
            <v>HKD</v>
          </cell>
          <cell r="M436">
            <v>214400</v>
          </cell>
          <cell r="N436">
            <v>10</v>
          </cell>
          <cell r="O436">
            <v>2</v>
          </cell>
          <cell r="P436">
            <v>48</v>
          </cell>
          <cell r="Q436">
            <v>8933.3333333333339</v>
          </cell>
        </row>
        <row r="437">
          <cell r="A437" t="str">
            <v>Refreshment</v>
          </cell>
          <cell r="B437">
            <v>2015</v>
          </cell>
          <cell r="C437" t="str">
            <v>Kim</v>
          </cell>
          <cell r="D437" t="str">
            <v>KR</v>
          </cell>
          <cell r="E437">
            <v>0</v>
          </cell>
          <cell r="F437" t="str">
            <v>Server Replacement</v>
          </cell>
          <cell r="G437" t="str">
            <v>SQL Server</v>
          </cell>
          <cell r="H437" t="str">
            <v>KR</v>
          </cell>
          <cell r="I437" t="str">
            <v>HP</v>
          </cell>
          <cell r="J437" t="str">
            <v>WON</v>
          </cell>
          <cell r="K437">
            <v>13500000</v>
          </cell>
          <cell r="L437" t="str">
            <v>HKD</v>
          </cell>
          <cell r="M437">
            <v>90450</v>
          </cell>
          <cell r="N437">
            <v>10</v>
          </cell>
          <cell r="O437">
            <v>2</v>
          </cell>
          <cell r="P437">
            <v>48</v>
          </cell>
          <cell r="Q437">
            <v>3768.75</v>
          </cell>
        </row>
        <row r="438">
          <cell r="A438" t="str">
            <v>Refreshment</v>
          </cell>
          <cell r="B438">
            <v>2015</v>
          </cell>
          <cell r="C438" t="str">
            <v>Kim</v>
          </cell>
          <cell r="D438" t="str">
            <v>KR</v>
          </cell>
          <cell r="E438">
            <v>0</v>
          </cell>
          <cell r="F438" t="str">
            <v>Server Replacement</v>
          </cell>
          <cell r="G438" t="str">
            <v>File Server</v>
          </cell>
          <cell r="H438" t="str">
            <v>KR</v>
          </cell>
          <cell r="I438" t="str">
            <v>HP</v>
          </cell>
          <cell r="J438" t="str">
            <v>WON</v>
          </cell>
          <cell r="K438">
            <v>10500000</v>
          </cell>
          <cell r="L438" t="str">
            <v>HKD</v>
          </cell>
          <cell r="M438">
            <v>70350</v>
          </cell>
          <cell r="N438">
            <v>10</v>
          </cell>
          <cell r="O438">
            <v>2</v>
          </cell>
          <cell r="P438">
            <v>48</v>
          </cell>
          <cell r="Q438">
            <v>2931.25</v>
          </cell>
        </row>
        <row r="439">
          <cell r="A439" t="str">
            <v>Refreshment</v>
          </cell>
          <cell r="B439">
            <v>2015</v>
          </cell>
          <cell r="C439" t="str">
            <v>Kim</v>
          </cell>
          <cell r="D439" t="str">
            <v>KR</v>
          </cell>
          <cell r="E439">
            <v>0</v>
          </cell>
          <cell r="F439" t="str">
            <v>Server Replacement</v>
          </cell>
          <cell r="G439" t="str">
            <v>Exchange Server</v>
          </cell>
          <cell r="H439" t="str">
            <v>KR</v>
          </cell>
          <cell r="I439" t="str">
            <v>HP</v>
          </cell>
          <cell r="J439" t="str">
            <v>WON</v>
          </cell>
          <cell r="K439">
            <v>18000000</v>
          </cell>
          <cell r="L439" t="str">
            <v>HKD</v>
          </cell>
          <cell r="M439">
            <v>120600</v>
          </cell>
          <cell r="N439">
            <v>10</v>
          </cell>
          <cell r="O439">
            <v>2</v>
          </cell>
          <cell r="P439">
            <v>48</v>
          </cell>
          <cell r="Q439">
            <v>5025</v>
          </cell>
        </row>
        <row r="440">
          <cell r="A440" t="str">
            <v>Refreshment</v>
          </cell>
          <cell r="B440">
            <v>2015</v>
          </cell>
          <cell r="C440" t="str">
            <v>Kim</v>
          </cell>
          <cell r="D440" t="str">
            <v>KR</v>
          </cell>
          <cell r="E440">
            <v>0</v>
          </cell>
          <cell r="F440" t="str">
            <v>Server Replacement</v>
          </cell>
          <cell r="G440" t="str">
            <v>DC Server</v>
          </cell>
          <cell r="H440" t="str">
            <v>KR</v>
          </cell>
          <cell r="I440" t="str">
            <v>HP</v>
          </cell>
          <cell r="J440" t="str">
            <v>WON</v>
          </cell>
          <cell r="K440">
            <v>6300000</v>
          </cell>
          <cell r="L440" t="str">
            <v>HKD</v>
          </cell>
          <cell r="M440">
            <v>42210</v>
          </cell>
          <cell r="N440">
            <v>10</v>
          </cell>
          <cell r="O440">
            <v>2</v>
          </cell>
          <cell r="P440">
            <v>48</v>
          </cell>
          <cell r="Q440">
            <v>1758.75</v>
          </cell>
        </row>
        <row r="441">
          <cell r="A441" t="str">
            <v>Refreshment</v>
          </cell>
          <cell r="B441">
            <v>2015</v>
          </cell>
          <cell r="C441" t="str">
            <v>Kim</v>
          </cell>
          <cell r="D441" t="str">
            <v>KR</v>
          </cell>
          <cell r="E441">
            <v>0</v>
          </cell>
          <cell r="F441" t="str">
            <v>Server Replacement</v>
          </cell>
          <cell r="G441" t="str">
            <v>Storage</v>
          </cell>
          <cell r="H441" t="str">
            <v>KR</v>
          </cell>
          <cell r="I441" t="str">
            <v>HP</v>
          </cell>
          <cell r="J441" t="str">
            <v>WON</v>
          </cell>
          <cell r="K441">
            <v>21000000</v>
          </cell>
          <cell r="L441" t="str">
            <v>HKD</v>
          </cell>
          <cell r="M441">
            <v>140700</v>
          </cell>
          <cell r="N441">
            <v>10</v>
          </cell>
          <cell r="O441">
            <v>2</v>
          </cell>
          <cell r="P441">
            <v>48</v>
          </cell>
          <cell r="Q441">
            <v>5862.5</v>
          </cell>
        </row>
        <row r="442">
          <cell r="A442" t="str">
            <v>Refreshment</v>
          </cell>
          <cell r="B442">
            <v>2015</v>
          </cell>
          <cell r="C442" t="str">
            <v>Kim</v>
          </cell>
          <cell r="D442" t="str">
            <v>KR</v>
          </cell>
          <cell r="E442">
            <v>0</v>
          </cell>
          <cell r="F442" t="str">
            <v>Server Replacement</v>
          </cell>
          <cell r="G442" t="str">
            <v>Autoloader</v>
          </cell>
          <cell r="H442" t="str">
            <v>KR</v>
          </cell>
          <cell r="I442" t="str">
            <v>HP</v>
          </cell>
          <cell r="J442" t="str">
            <v>WON</v>
          </cell>
          <cell r="K442">
            <v>11300000</v>
          </cell>
          <cell r="L442" t="str">
            <v>HKD</v>
          </cell>
          <cell r="M442">
            <v>75710</v>
          </cell>
          <cell r="N442">
            <v>10</v>
          </cell>
          <cell r="O442">
            <v>2</v>
          </cell>
          <cell r="P442">
            <v>48</v>
          </cell>
          <cell r="Q442">
            <v>3154.5833333333335</v>
          </cell>
        </row>
        <row r="443">
          <cell r="A443" t="str">
            <v>Refreshment</v>
          </cell>
          <cell r="B443">
            <v>2016</v>
          </cell>
          <cell r="C443" t="str">
            <v>Infra</v>
          </cell>
          <cell r="D443" t="str">
            <v>HK-MSL</v>
          </cell>
          <cell r="E443">
            <v>0</v>
          </cell>
          <cell r="F443" t="str">
            <v>Server replacement</v>
          </cell>
          <cell r="G443" t="str">
            <v>Lync Edge Host Server Replacement - HKLYNCEDGEHOST1</v>
          </cell>
          <cell r="H443" t="str">
            <v>AP Region</v>
          </cell>
          <cell r="I443" t="str">
            <v>JOS</v>
          </cell>
          <cell r="J443" t="str">
            <v>HKD</v>
          </cell>
          <cell r="K443">
            <v>120000</v>
          </cell>
          <cell r="L443" t="str">
            <v>HKD</v>
          </cell>
          <cell r="M443">
            <v>120000</v>
          </cell>
          <cell r="N443">
            <v>3</v>
          </cell>
          <cell r="O443">
            <v>9</v>
          </cell>
          <cell r="P443">
            <v>48</v>
          </cell>
          <cell r="Q443">
            <v>22500</v>
          </cell>
        </row>
        <row r="444">
          <cell r="A444" t="str">
            <v>Refreshment</v>
          </cell>
          <cell r="B444">
            <v>2016</v>
          </cell>
          <cell r="C444" t="str">
            <v>Infra</v>
          </cell>
          <cell r="D444" t="str">
            <v>HK-MSL</v>
          </cell>
          <cell r="E444">
            <v>0</v>
          </cell>
          <cell r="F444" t="str">
            <v>Server replacement</v>
          </cell>
          <cell r="G444" t="str">
            <v>Lync Host Server Replacement - HKLYNCHOST1</v>
          </cell>
          <cell r="H444" t="str">
            <v>AP Region</v>
          </cell>
          <cell r="I444" t="str">
            <v>JOS</v>
          </cell>
          <cell r="J444" t="str">
            <v>HKD</v>
          </cell>
          <cell r="K444">
            <v>120000</v>
          </cell>
          <cell r="L444" t="str">
            <v>HKD</v>
          </cell>
          <cell r="M444">
            <v>120000</v>
          </cell>
          <cell r="N444">
            <v>3</v>
          </cell>
          <cell r="O444">
            <v>9</v>
          </cell>
          <cell r="P444">
            <v>48</v>
          </cell>
          <cell r="Q444">
            <v>22500</v>
          </cell>
        </row>
        <row r="445">
          <cell r="A445" t="str">
            <v>Refreshment</v>
          </cell>
          <cell r="B445">
            <v>2016</v>
          </cell>
          <cell r="C445" t="str">
            <v>Infra</v>
          </cell>
          <cell r="D445" t="str">
            <v>HK-MSL</v>
          </cell>
          <cell r="E445">
            <v>0</v>
          </cell>
          <cell r="F445" t="str">
            <v>Server replacement</v>
          </cell>
          <cell r="G445" t="str">
            <v>Profile servers (HKPRO1 &amp; HKPRO2)</v>
          </cell>
          <cell r="H445" t="str">
            <v>HK All</v>
          </cell>
          <cell r="I445" t="str">
            <v>JOS</v>
          </cell>
          <cell r="J445" t="str">
            <v>HKD</v>
          </cell>
          <cell r="K445">
            <v>120000</v>
          </cell>
          <cell r="L445" t="str">
            <v>HKD</v>
          </cell>
          <cell r="M445">
            <v>120000</v>
          </cell>
          <cell r="N445">
            <v>3</v>
          </cell>
          <cell r="O445">
            <v>9</v>
          </cell>
          <cell r="P445">
            <v>48</v>
          </cell>
          <cell r="Q445">
            <v>22500</v>
          </cell>
        </row>
        <row r="446">
          <cell r="A446" t="str">
            <v>Refreshment</v>
          </cell>
          <cell r="B446">
            <v>2016</v>
          </cell>
          <cell r="C446" t="str">
            <v>Infra</v>
          </cell>
          <cell r="D446" t="str">
            <v>HK-MSL</v>
          </cell>
          <cell r="E446">
            <v>0</v>
          </cell>
          <cell r="F446" t="str">
            <v>Server replacement</v>
          </cell>
          <cell r="G446" t="str">
            <v>IT File Server (HKFSIT)</v>
          </cell>
          <cell r="H446" t="str">
            <v>MSL</v>
          </cell>
          <cell r="I446" t="str">
            <v>JOS</v>
          </cell>
          <cell r="J446" t="str">
            <v>HKD</v>
          </cell>
          <cell r="K446">
            <v>70000</v>
          </cell>
          <cell r="L446" t="str">
            <v>HKD</v>
          </cell>
          <cell r="M446">
            <v>70000</v>
          </cell>
          <cell r="N446">
            <v>3</v>
          </cell>
          <cell r="O446">
            <v>9</v>
          </cell>
          <cell r="P446">
            <v>48</v>
          </cell>
          <cell r="Q446">
            <v>13125</v>
          </cell>
        </row>
        <row r="447">
          <cell r="A447" t="str">
            <v>Refreshment</v>
          </cell>
          <cell r="B447">
            <v>2016</v>
          </cell>
          <cell r="C447" t="str">
            <v>Infra</v>
          </cell>
          <cell r="D447" t="str">
            <v>HK-MSL</v>
          </cell>
          <cell r="E447">
            <v>0</v>
          </cell>
          <cell r="F447" t="str">
            <v>Server replacement</v>
          </cell>
          <cell r="G447" t="str">
            <v>Citrix Host Servers  (hkctshost7 &amp; hkvtshost8)</v>
          </cell>
          <cell r="H447" t="str">
            <v>MSL</v>
          </cell>
          <cell r="I447" t="str">
            <v>JOS</v>
          </cell>
          <cell r="J447" t="str">
            <v>HKD</v>
          </cell>
          <cell r="K447">
            <v>200000</v>
          </cell>
          <cell r="L447" t="str">
            <v>HKD</v>
          </cell>
          <cell r="M447">
            <v>200000</v>
          </cell>
          <cell r="N447">
            <v>3</v>
          </cell>
          <cell r="O447">
            <v>9</v>
          </cell>
          <cell r="P447">
            <v>36</v>
          </cell>
          <cell r="Q447">
            <v>50000</v>
          </cell>
        </row>
        <row r="448">
          <cell r="A448" t="str">
            <v>Refreshment</v>
          </cell>
          <cell r="B448">
            <v>2016</v>
          </cell>
          <cell r="C448" t="str">
            <v>Infra</v>
          </cell>
          <cell r="D448" t="str">
            <v>HK-MSL</v>
          </cell>
          <cell r="E448">
            <v>0</v>
          </cell>
          <cell r="F448" t="str">
            <v>Server replacement</v>
          </cell>
          <cell r="G448" t="str">
            <v>Host Servers (HKHOSTIT2)</v>
          </cell>
          <cell r="H448" t="str">
            <v>MSL</v>
          </cell>
          <cell r="I448" t="str">
            <v>JOS</v>
          </cell>
          <cell r="J448" t="str">
            <v>HKD</v>
          </cell>
          <cell r="K448">
            <v>100000</v>
          </cell>
          <cell r="L448" t="str">
            <v>HKD</v>
          </cell>
          <cell r="M448">
            <v>100000</v>
          </cell>
          <cell r="N448">
            <v>3</v>
          </cell>
          <cell r="O448">
            <v>9</v>
          </cell>
          <cell r="P448">
            <v>48</v>
          </cell>
          <cell r="Q448">
            <v>18750</v>
          </cell>
        </row>
        <row r="449">
          <cell r="A449" t="str">
            <v>Refreshment</v>
          </cell>
          <cell r="B449">
            <v>2016</v>
          </cell>
          <cell r="C449" t="str">
            <v>Infra</v>
          </cell>
          <cell r="D449" t="str">
            <v>HK-MSL</v>
          </cell>
          <cell r="E449">
            <v>0</v>
          </cell>
          <cell r="F449" t="str">
            <v>Server replacement</v>
          </cell>
          <cell r="G449" t="str">
            <v>Print Host Server (HKPRNTHOST)</v>
          </cell>
          <cell r="H449" t="str">
            <v>HK All</v>
          </cell>
          <cell r="I449">
            <v>0</v>
          </cell>
          <cell r="J449" t="str">
            <v>HKD</v>
          </cell>
          <cell r="K449">
            <v>70000</v>
          </cell>
          <cell r="L449" t="str">
            <v>HKD</v>
          </cell>
          <cell r="M449">
            <v>70000</v>
          </cell>
          <cell r="N449">
            <v>3</v>
          </cell>
          <cell r="O449">
            <v>9</v>
          </cell>
          <cell r="P449">
            <v>48</v>
          </cell>
          <cell r="Q449">
            <v>13125</v>
          </cell>
        </row>
        <row r="450">
          <cell r="A450" t="str">
            <v>Refreshment</v>
          </cell>
          <cell r="B450">
            <v>2016</v>
          </cell>
          <cell r="C450" t="str">
            <v>Infra</v>
          </cell>
          <cell r="D450" t="str">
            <v>HK-MSL</v>
          </cell>
          <cell r="E450">
            <v>0</v>
          </cell>
          <cell r="F450" t="str">
            <v>Server replacement</v>
          </cell>
          <cell r="G450" t="str">
            <v>Citrix Host Servers  (hkvtshost 9,10,11,12,13)</v>
          </cell>
          <cell r="H450" t="str">
            <v>MSL</v>
          </cell>
          <cell r="I450" t="str">
            <v>JOS</v>
          </cell>
          <cell r="J450" t="str">
            <v>HKD</v>
          </cell>
          <cell r="K450">
            <v>1000000</v>
          </cell>
          <cell r="L450" t="str">
            <v>HKD</v>
          </cell>
          <cell r="M450">
            <v>1000000</v>
          </cell>
          <cell r="N450">
            <v>10</v>
          </cell>
          <cell r="O450">
            <v>2</v>
          </cell>
          <cell r="P450">
            <v>36</v>
          </cell>
          <cell r="Q450">
            <v>55555.555555555555</v>
          </cell>
        </row>
        <row r="451">
          <cell r="A451" t="str">
            <v>Refreshment</v>
          </cell>
          <cell r="B451">
            <v>2016</v>
          </cell>
          <cell r="C451" t="str">
            <v>Infra</v>
          </cell>
          <cell r="D451" t="str">
            <v>HK-SHKL</v>
          </cell>
          <cell r="E451">
            <v>0</v>
          </cell>
          <cell r="F451" t="str">
            <v>Server replacement</v>
          </cell>
          <cell r="G451" t="str">
            <v>Domain Controller (HKDBDC2)</v>
          </cell>
          <cell r="H451" t="str">
            <v>HKL</v>
          </cell>
          <cell r="I451" t="str">
            <v>JOS</v>
          </cell>
          <cell r="J451" t="str">
            <v>HKD</v>
          </cell>
          <cell r="K451">
            <v>10000</v>
          </cell>
          <cell r="L451" t="str">
            <v>HKD</v>
          </cell>
          <cell r="M451">
            <v>10000</v>
          </cell>
          <cell r="N451">
            <v>6</v>
          </cell>
          <cell r="O451">
            <v>6</v>
          </cell>
          <cell r="P451">
            <v>48</v>
          </cell>
          <cell r="Q451">
            <v>1250</v>
          </cell>
        </row>
        <row r="452">
          <cell r="A452" t="str">
            <v>Refreshment</v>
          </cell>
          <cell r="B452">
            <v>2017</v>
          </cell>
          <cell r="C452" t="str">
            <v>Infra</v>
          </cell>
          <cell r="D452" t="str">
            <v>HK-MSL</v>
          </cell>
          <cell r="E452">
            <v>0</v>
          </cell>
          <cell r="F452" t="str">
            <v>Server replacement</v>
          </cell>
          <cell r="G452" t="str">
            <v>Asia Web Host Servers (hkcmshost1, asiawebhost2, asiawebhost3)</v>
          </cell>
          <cell r="H452" t="str">
            <v>AP Region</v>
          </cell>
          <cell r="I452" t="str">
            <v>JOS</v>
          </cell>
          <cell r="J452" t="str">
            <v>HKD</v>
          </cell>
          <cell r="K452">
            <v>240000</v>
          </cell>
          <cell r="L452" t="str">
            <v>HKD</v>
          </cell>
          <cell r="M452">
            <v>240000</v>
          </cell>
          <cell r="N452">
            <v>10</v>
          </cell>
          <cell r="O452">
            <v>2</v>
          </cell>
          <cell r="P452">
            <v>48</v>
          </cell>
          <cell r="Q452">
            <v>10000</v>
          </cell>
        </row>
        <row r="453">
          <cell r="A453" t="str">
            <v>Refreshment</v>
          </cell>
          <cell r="B453">
            <v>2017</v>
          </cell>
          <cell r="C453" t="str">
            <v>Infra</v>
          </cell>
          <cell r="D453" t="str">
            <v>HK-MSL</v>
          </cell>
          <cell r="E453">
            <v>0</v>
          </cell>
          <cell r="F453" t="str">
            <v>Server replacement</v>
          </cell>
          <cell r="G453" t="str">
            <v>HK Web Host Server (hkwebhost1)</v>
          </cell>
          <cell r="H453" t="str">
            <v>AP Region</v>
          </cell>
          <cell r="I453" t="str">
            <v>JOS</v>
          </cell>
          <cell r="J453" t="str">
            <v>HKD</v>
          </cell>
          <cell r="K453">
            <v>80000</v>
          </cell>
          <cell r="L453" t="str">
            <v>HKD</v>
          </cell>
          <cell r="M453">
            <v>80000</v>
          </cell>
          <cell r="N453">
            <v>10</v>
          </cell>
          <cell r="O453">
            <v>2</v>
          </cell>
          <cell r="P453">
            <v>48</v>
          </cell>
          <cell r="Q453">
            <v>3333.3333333333335</v>
          </cell>
        </row>
        <row r="454">
          <cell r="A454" t="str">
            <v>Refreshment</v>
          </cell>
          <cell r="B454">
            <v>2017</v>
          </cell>
          <cell r="C454" t="str">
            <v>Infra</v>
          </cell>
          <cell r="D454" t="str">
            <v>HK-SPML</v>
          </cell>
          <cell r="E454">
            <v>0</v>
          </cell>
          <cell r="F454" t="str">
            <v>Server replacement</v>
          </cell>
          <cell r="G454" t="str">
            <v>MOSS Server (hkmosshost1)</v>
          </cell>
          <cell r="H454" t="str">
            <v>SPML</v>
          </cell>
          <cell r="I454" t="str">
            <v>JOS</v>
          </cell>
          <cell r="J454" t="str">
            <v>HKD</v>
          </cell>
          <cell r="K454">
            <v>100000</v>
          </cell>
          <cell r="L454" t="str">
            <v>HKD</v>
          </cell>
          <cell r="M454">
            <v>100000</v>
          </cell>
          <cell r="N454">
            <v>8</v>
          </cell>
          <cell r="O454">
            <v>4</v>
          </cell>
          <cell r="P454">
            <v>48</v>
          </cell>
          <cell r="Q454">
            <v>8333.3333333333339</v>
          </cell>
        </row>
        <row r="455">
          <cell r="A455" t="str">
            <v>Refreshment</v>
          </cell>
          <cell r="B455">
            <v>2017</v>
          </cell>
          <cell r="C455" t="str">
            <v>Infra</v>
          </cell>
          <cell r="D455" t="str">
            <v>HK-VPSL</v>
          </cell>
          <cell r="E455">
            <v>0</v>
          </cell>
          <cell r="F455" t="str">
            <v>Server replacement</v>
          </cell>
          <cell r="G455" t="str">
            <v>Valuation File Server (HKVAL1)</v>
          </cell>
          <cell r="H455" t="str">
            <v>VPSL</v>
          </cell>
          <cell r="I455">
            <v>0</v>
          </cell>
          <cell r="J455" t="str">
            <v>HKD</v>
          </cell>
          <cell r="K455">
            <v>105000</v>
          </cell>
          <cell r="L455" t="str">
            <v>HKD</v>
          </cell>
          <cell r="M455">
            <v>105000</v>
          </cell>
          <cell r="N455">
            <v>10</v>
          </cell>
          <cell r="O455">
            <v>2</v>
          </cell>
          <cell r="P455">
            <v>48</v>
          </cell>
          <cell r="Q455">
            <v>4375</v>
          </cell>
        </row>
        <row r="456">
          <cell r="A456" t="str">
            <v>Refreshment</v>
          </cell>
          <cell r="B456">
            <v>2017</v>
          </cell>
          <cell r="C456" t="str">
            <v>Infra</v>
          </cell>
          <cell r="D456" t="str">
            <v>HK-MSL</v>
          </cell>
          <cell r="E456">
            <v>0</v>
          </cell>
          <cell r="F456" t="str">
            <v>Server replacement</v>
          </cell>
          <cell r="G456" t="str">
            <v>Domain Controllers (HKDC1 &amp; HKDC2)</v>
          </cell>
          <cell r="H456" t="str">
            <v>HK All</v>
          </cell>
          <cell r="I456" t="str">
            <v>JOS</v>
          </cell>
          <cell r="J456" t="str">
            <v>HKD</v>
          </cell>
          <cell r="K456">
            <v>118000</v>
          </cell>
          <cell r="L456" t="str">
            <v>HKD</v>
          </cell>
          <cell r="M456">
            <v>118000</v>
          </cell>
          <cell r="N456">
            <v>10</v>
          </cell>
          <cell r="O456">
            <v>2</v>
          </cell>
          <cell r="P456">
            <v>48</v>
          </cell>
          <cell r="Q456">
            <v>4916.666666666667</v>
          </cell>
        </row>
        <row r="457">
          <cell r="A457" t="str">
            <v>Refreshment</v>
          </cell>
          <cell r="B457">
            <v>2017</v>
          </cell>
          <cell r="C457" t="str">
            <v>Infra</v>
          </cell>
          <cell r="D457" t="str">
            <v>HK-MSL</v>
          </cell>
          <cell r="E457">
            <v>0</v>
          </cell>
          <cell r="F457" t="str">
            <v>Server replacement</v>
          </cell>
          <cell r="G457" t="str">
            <v>Management Host Server (HKMANHOST)</v>
          </cell>
          <cell r="H457" t="str">
            <v>HK All</v>
          </cell>
          <cell r="I457" t="str">
            <v>JOS</v>
          </cell>
          <cell r="J457" t="str">
            <v>HKD</v>
          </cell>
          <cell r="K457">
            <v>75000</v>
          </cell>
          <cell r="L457" t="str">
            <v>HKD</v>
          </cell>
          <cell r="M457">
            <v>75000</v>
          </cell>
          <cell r="N457">
            <v>10</v>
          </cell>
          <cell r="O457">
            <v>2</v>
          </cell>
          <cell r="P457">
            <v>48</v>
          </cell>
          <cell r="Q457">
            <v>3125</v>
          </cell>
        </row>
        <row r="458">
          <cell r="A458" t="str">
            <v>Refreshment</v>
          </cell>
          <cell r="B458">
            <v>2017</v>
          </cell>
          <cell r="C458" t="str">
            <v>Infra</v>
          </cell>
          <cell r="D458" t="str">
            <v>HK-MSL</v>
          </cell>
          <cell r="E458">
            <v>0</v>
          </cell>
          <cell r="F458" t="str">
            <v>Server replacement</v>
          </cell>
          <cell r="G458" t="str">
            <v>Host Servers (HKHOST1 &amp; HKHOST2)</v>
          </cell>
          <cell r="H458" t="str">
            <v>HK All</v>
          </cell>
          <cell r="I458" t="str">
            <v>JOS</v>
          </cell>
          <cell r="J458" t="str">
            <v>HKD</v>
          </cell>
          <cell r="K458">
            <v>160000</v>
          </cell>
          <cell r="L458" t="str">
            <v>HKD</v>
          </cell>
          <cell r="M458">
            <v>160000</v>
          </cell>
          <cell r="N458">
            <v>10</v>
          </cell>
          <cell r="O458">
            <v>2</v>
          </cell>
          <cell r="P458">
            <v>36</v>
          </cell>
          <cell r="Q458">
            <v>8888.8888888888887</v>
          </cell>
        </row>
        <row r="459">
          <cell r="A459" t="str">
            <v>Refreshment</v>
          </cell>
          <cell r="B459">
            <v>2017</v>
          </cell>
          <cell r="C459" t="str">
            <v>Infra</v>
          </cell>
          <cell r="D459" t="str">
            <v>HK-MSL</v>
          </cell>
          <cell r="E459">
            <v>0</v>
          </cell>
          <cell r="F459" t="str">
            <v>Server replacement</v>
          </cell>
          <cell r="G459" t="str">
            <v>HK Backup Servers (with storage) (hkdpm3 and hkdpm4)</v>
          </cell>
          <cell r="H459" t="str">
            <v>HK All</v>
          </cell>
          <cell r="I459" t="str">
            <v>JOS</v>
          </cell>
          <cell r="J459" t="str">
            <v>HKD</v>
          </cell>
          <cell r="K459">
            <v>500000</v>
          </cell>
          <cell r="L459" t="str">
            <v>HKD</v>
          </cell>
          <cell r="M459">
            <v>500000</v>
          </cell>
          <cell r="N459">
            <v>4</v>
          </cell>
          <cell r="O459">
            <v>8</v>
          </cell>
          <cell r="P459">
            <v>48</v>
          </cell>
          <cell r="Q459">
            <v>83333.333333333328</v>
          </cell>
        </row>
        <row r="460">
          <cell r="A460" t="str">
            <v>New Project</v>
          </cell>
          <cell r="B460">
            <v>2016</v>
          </cell>
          <cell r="C460" t="str">
            <v>Frankie</v>
          </cell>
          <cell r="D460" t="str">
            <v>HK-MSL</v>
          </cell>
          <cell r="E460">
            <v>0</v>
          </cell>
          <cell r="F460" t="str">
            <v>HRIS (HK)</v>
          </cell>
          <cell r="G460" t="str">
            <v>Additional enhancement to streamline operation</v>
          </cell>
          <cell r="H460" t="str">
            <v>GPML</v>
          </cell>
          <cell r="I460" t="str">
            <v>IPL</v>
          </cell>
          <cell r="J460" t="str">
            <v>HKD</v>
          </cell>
          <cell r="K460">
            <v>251250</v>
          </cell>
          <cell r="L460" t="str">
            <v>HKD</v>
          </cell>
          <cell r="M460">
            <v>251250</v>
          </cell>
          <cell r="N460">
            <v>1</v>
          </cell>
          <cell r="O460">
            <v>11</v>
          </cell>
          <cell r="P460">
            <v>60</v>
          </cell>
          <cell r="Q460">
            <v>46062.5</v>
          </cell>
        </row>
        <row r="461">
          <cell r="A461" t="str">
            <v>Refreshment</v>
          </cell>
          <cell r="B461">
            <v>2018</v>
          </cell>
          <cell r="C461" t="str">
            <v>Infra</v>
          </cell>
          <cell r="D461" t="str">
            <v>HK-MSL</v>
          </cell>
          <cell r="E461">
            <v>0</v>
          </cell>
          <cell r="F461" t="str">
            <v>Server replacement</v>
          </cell>
          <cell r="G461" t="str">
            <v>HR Server (HKHR2)</v>
          </cell>
          <cell r="H461" t="str">
            <v>SPML</v>
          </cell>
          <cell r="I461">
            <v>0</v>
          </cell>
          <cell r="J461" t="str">
            <v>HKD</v>
          </cell>
          <cell r="K461">
            <v>62500</v>
          </cell>
          <cell r="L461" t="str">
            <v>HKD</v>
          </cell>
          <cell r="M461">
            <v>62500</v>
          </cell>
          <cell r="N461">
            <v>10</v>
          </cell>
          <cell r="O461">
            <v>2</v>
          </cell>
          <cell r="P461">
            <v>48</v>
          </cell>
          <cell r="Q461">
            <v>2604.1666666666665</v>
          </cell>
        </row>
        <row r="462">
          <cell r="A462" t="str">
            <v>Refreshment</v>
          </cell>
          <cell r="B462">
            <v>2018</v>
          </cell>
          <cell r="C462" t="str">
            <v>Infra</v>
          </cell>
          <cell r="D462" t="str">
            <v>HK-SPML</v>
          </cell>
          <cell r="E462">
            <v>0</v>
          </cell>
          <cell r="F462" t="str">
            <v>Server replacement</v>
          </cell>
          <cell r="G462" t="str">
            <v>HR doc scanning server (HKFCHOST1)</v>
          </cell>
          <cell r="H462" t="str">
            <v>SPML</v>
          </cell>
          <cell r="I462" t="str">
            <v>HP</v>
          </cell>
          <cell r="J462" t="str">
            <v>HKD</v>
          </cell>
          <cell r="K462">
            <v>120000</v>
          </cell>
          <cell r="L462" t="str">
            <v>HKD</v>
          </cell>
          <cell r="M462">
            <v>120000</v>
          </cell>
          <cell r="N462">
            <v>1</v>
          </cell>
          <cell r="O462">
            <v>11</v>
          </cell>
          <cell r="P462">
            <v>48</v>
          </cell>
          <cell r="Q462">
            <v>27500</v>
          </cell>
        </row>
        <row r="463">
          <cell r="A463" t="str">
            <v>Refreshment</v>
          </cell>
          <cell r="B463">
            <v>2018</v>
          </cell>
          <cell r="C463" t="str">
            <v>Infra</v>
          </cell>
          <cell r="D463" t="str">
            <v>HK-SPML</v>
          </cell>
          <cell r="E463">
            <v>0</v>
          </cell>
          <cell r="F463" t="str">
            <v>Server replacement</v>
          </cell>
          <cell r="G463" t="str">
            <v>Telepro server for SPML (HKTCS01)</v>
          </cell>
          <cell r="H463" t="str">
            <v>SPML</v>
          </cell>
          <cell r="I463" t="str">
            <v>HP</v>
          </cell>
          <cell r="J463" t="str">
            <v>HKD</v>
          </cell>
          <cell r="K463">
            <v>70000</v>
          </cell>
          <cell r="L463" t="str">
            <v>HKD</v>
          </cell>
          <cell r="M463">
            <v>70000</v>
          </cell>
          <cell r="N463">
            <v>1</v>
          </cell>
          <cell r="O463">
            <v>11</v>
          </cell>
          <cell r="P463">
            <v>48</v>
          </cell>
          <cell r="Q463">
            <v>16041.666666666666</v>
          </cell>
        </row>
        <row r="464">
          <cell r="A464" t="str">
            <v>Refreshment</v>
          </cell>
          <cell r="B464">
            <v>2016</v>
          </cell>
          <cell r="C464" t="str">
            <v>Infra</v>
          </cell>
          <cell r="D464" t="str">
            <v>HK-SPML</v>
          </cell>
          <cell r="E464">
            <v>0</v>
          </cell>
          <cell r="F464" t="str">
            <v>Server replacement (group with SHKL)</v>
          </cell>
          <cell r="G464" t="str">
            <v>Production Server (Hkfsprohost &amp; HKFSPRO)</v>
          </cell>
          <cell r="H464" t="str">
            <v>SPML</v>
          </cell>
          <cell r="I464">
            <v>0</v>
          </cell>
          <cell r="J464" t="str">
            <v>HKD</v>
          </cell>
          <cell r="K464">
            <v>60000</v>
          </cell>
          <cell r="L464" t="str">
            <v>HKD</v>
          </cell>
          <cell r="M464">
            <v>60000</v>
          </cell>
          <cell r="N464">
            <v>9</v>
          </cell>
          <cell r="O464">
            <v>3</v>
          </cell>
          <cell r="P464">
            <v>48</v>
          </cell>
          <cell r="Q464">
            <v>3750</v>
          </cell>
        </row>
        <row r="465">
          <cell r="A465" t="str">
            <v>Refreshment</v>
          </cell>
          <cell r="B465">
            <v>2016</v>
          </cell>
          <cell r="C465" t="str">
            <v>Infra</v>
          </cell>
          <cell r="D465" t="str">
            <v>HK-SHKL</v>
          </cell>
          <cell r="E465">
            <v>0</v>
          </cell>
          <cell r="F465" t="str">
            <v>Server replacement (group with SPML)</v>
          </cell>
          <cell r="G465" t="str">
            <v>Production Server (Hkfsprohost &amp; HKFSPRO) - 50% SHKL / 50% SPML</v>
          </cell>
          <cell r="H465" t="str">
            <v>HKL</v>
          </cell>
          <cell r="I465" t="str">
            <v>JOS</v>
          </cell>
          <cell r="J465" t="str">
            <v>HKD</v>
          </cell>
          <cell r="K465">
            <v>60000</v>
          </cell>
          <cell r="L465" t="str">
            <v>HKD</v>
          </cell>
          <cell r="M465">
            <v>60000</v>
          </cell>
          <cell r="N465">
            <v>2</v>
          </cell>
          <cell r="O465">
            <v>10</v>
          </cell>
          <cell r="P465">
            <v>48</v>
          </cell>
          <cell r="Q465">
            <v>12500</v>
          </cell>
        </row>
        <row r="466">
          <cell r="A466" t="str">
            <v>Refreshment</v>
          </cell>
          <cell r="B466">
            <v>2015</v>
          </cell>
          <cell r="C466" t="str">
            <v>Peter</v>
          </cell>
          <cell r="D466" t="str">
            <v>CN</v>
          </cell>
          <cell r="E466">
            <v>0</v>
          </cell>
          <cell r="F466" t="str">
            <v>Server Replacment</v>
          </cell>
          <cell r="G466" t="str">
            <v>China Exchange Replacement - CNVEXC1, CNEXM1, CNEXM2</v>
          </cell>
          <cell r="H466" t="str">
            <v>CN</v>
          </cell>
          <cell r="I466" t="str">
            <v>HP</v>
          </cell>
          <cell r="J466" t="str">
            <v>RMB</v>
          </cell>
          <cell r="K466">
            <v>400000</v>
          </cell>
          <cell r="L466" t="str">
            <v>HKD</v>
          </cell>
          <cell r="M466">
            <v>499400</v>
          </cell>
          <cell r="N466">
            <v>10</v>
          </cell>
          <cell r="O466">
            <v>2</v>
          </cell>
          <cell r="P466">
            <v>48</v>
          </cell>
          <cell r="Q466">
            <v>20808.333333333332</v>
          </cell>
        </row>
        <row r="467">
          <cell r="A467" t="str">
            <v>Refreshment</v>
          </cell>
          <cell r="B467">
            <v>2015</v>
          </cell>
          <cell r="C467" t="str">
            <v>Peter</v>
          </cell>
          <cell r="D467" t="str">
            <v>CN</v>
          </cell>
          <cell r="E467">
            <v>0</v>
          </cell>
          <cell r="F467" t="str">
            <v>Server Replacment</v>
          </cell>
          <cell r="G467" t="str">
            <v>File Servers</v>
          </cell>
          <cell r="H467" t="str">
            <v>CN</v>
          </cell>
          <cell r="I467" t="str">
            <v>HP</v>
          </cell>
          <cell r="J467" t="str">
            <v>RMB</v>
          </cell>
          <cell r="K467">
            <v>160000</v>
          </cell>
          <cell r="L467" t="str">
            <v>HKD</v>
          </cell>
          <cell r="M467">
            <v>199760</v>
          </cell>
          <cell r="N467">
            <v>10</v>
          </cell>
          <cell r="O467">
            <v>2</v>
          </cell>
          <cell r="P467">
            <v>48</v>
          </cell>
          <cell r="Q467">
            <v>8323.3333333333339</v>
          </cell>
        </row>
        <row r="468">
          <cell r="A468" t="str">
            <v>Refreshment</v>
          </cell>
          <cell r="B468">
            <v>2015</v>
          </cell>
          <cell r="C468" t="str">
            <v>Peter</v>
          </cell>
          <cell r="D468" t="str">
            <v>CN</v>
          </cell>
          <cell r="E468">
            <v>0</v>
          </cell>
          <cell r="F468" t="str">
            <v>Server Replacment</v>
          </cell>
          <cell r="G468" t="str">
            <v>SAN Storage</v>
          </cell>
          <cell r="H468" t="str">
            <v>CN</v>
          </cell>
          <cell r="I468" t="str">
            <v>HP</v>
          </cell>
          <cell r="J468" t="str">
            <v>RMB</v>
          </cell>
          <cell r="K468">
            <v>1600000</v>
          </cell>
          <cell r="L468" t="str">
            <v>HKD</v>
          </cell>
          <cell r="M468">
            <v>1997600</v>
          </cell>
          <cell r="N468">
            <v>10</v>
          </cell>
          <cell r="O468">
            <v>2</v>
          </cell>
          <cell r="P468">
            <v>48</v>
          </cell>
          <cell r="Q468">
            <v>83233.333333333328</v>
          </cell>
        </row>
        <row r="469">
          <cell r="A469" t="str">
            <v>Refreshment</v>
          </cell>
          <cell r="B469">
            <v>2015</v>
          </cell>
          <cell r="C469" t="str">
            <v>Peter</v>
          </cell>
          <cell r="D469" t="str">
            <v>CN</v>
          </cell>
          <cell r="E469">
            <v>0</v>
          </cell>
          <cell r="F469" t="str">
            <v>Server Replacment</v>
          </cell>
          <cell r="G469" t="str">
            <v>Citrix Host Servers</v>
          </cell>
          <cell r="H469" t="str">
            <v>CN</v>
          </cell>
          <cell r="I469" t="str">
            <v>HP</v>
          </cell>
          <cell r="J469" t="str">
            <v>RMB</v>
          </cell>
          <cell r="K469">
            <v>800000</v>
          </cell>
          <cell r="L469" t="str">
            <v>HKD</v>
          </cell>
          <cell r="M469">
            <v>998800</v>
          </cell>
          <cell r="N469">
            <v>10</v>
          </cell>
          <cell r="O469">
            <v>2</v>
          </cell>
          <cell r="P469">
            <v>48</v>
          </cell>
          <cell r="Q469">
            <v>41616.666666666664</v>
          </cell>
        </row>
        <row r="470">
          <cell r="A470" t="str">
            <v>Refreshment</v>
          </cell>
          <cell r="B470">
            <v>2015</v>
          </cell>
          <cell r="C470" t="str">
            <v>Peter</v>
          </cell>
          <cell r="D470" t="str">
            <v>CN</v>
          </cell>
          <cell r="E470">
            <v>0</v>
          </cell>
          <cell r="F470" t="str">
            <v>Server Replacment</v>
          </cell>
          <cell r="G470" t="str">
            <v>Host Servers</v>
          </cell>
          <cell r="H470" t="str">
            <v>CN</v>
          </cell>
          <cell r="I470" t="str">
            <v>HP</v>
          </cell>
          <cell r="J470" t="str">
            <v>RMB</v>
          </cell>
          <cell r="K470">
            <v>650000</v>
          </cell>
          <cell r="L470" t="str">
            <v>HKD</v>
          </cell>
          <cell r="M470">
            <v>811525</v>
          </cell>
          <cell r="N470">
            <v>10</v>
          </cell>
          <cell r="O470">
            <v>2</v>
          </cell>
          <cell r="P470">
            <v>48</v>
          </cell>
          <cell r="Q470">
            <v>33813.541666666664</v>
          </cell>
        </row>
        <row r="471">
          <cell r="A471" t="str">
            <v>Refreshment</v>
          </cell>
          <cell r="B471">
            <v>2015</v>
          </cell>
          <cell r="C471" t="str">
            <v>Peter</v>
          </cell>
          <cell r="D471" t="str">
            <v>CN</v>
          </cell>
          <cell r="E471">
            <v>0</v>
          </cell>
          <cell r="F471" t="str">
            <v>Server Replacment</v>
          </cell>
          <cell r="G471" t="str">
            <v>SQL Servers</v>
          </cell>
          <cell r="H471" t="str">
            <v>CN</v>
          </cell>
          <cell r="I471" t="str">
            <v>HP</v>
          </cell>
          <cell r="J471" t="str">
            <v>RMB</v>
          </cell>
          <cell r="K471">
            <v>300000</v>
          </cell>
          <cell r="L471" t="str">
            <v>HKD</v>
          </cell>
          <cell r="M471">
            <v>374550</v>
          </cell>
          <cell r="N471">
            <v>10</v>
          </cell>
          <cell r="O471">
            <v>2</v>
          </cell>
          <cell r="P471">
            <v>48</v>
          </cell>
          <cell r="Q471">
            <v>15606.25</v>
          </cell>
        </row>
        <row r="472">
          <cell r="A472" t="str">
            <v>Refreshment</v>
          </cell>
          <cell r="B472">
            <v>2015</v>
          </cell>
          <cell r="C472" t="str">
            <v>Peter</v>
          </cell>
          <cell r="D472" t="str">
            <v>CN</v>
          </cell>
          <cell r="E472">
            <v>0</v>
          </cell>
          <cell r="F472" t="str">
            <v>Server Replacment</v>
          </cell>
          <cell r="G472" t="str">
            <v>Citrix Profile server</v>
          </cell>
          <cell r="H472" t="str">
            <v>CN</v>
          </cell>
          <cell r="I472" t="str">
            <v>HP</v>
          </cell>
          <cell r="J472" t="str">
            <v>RMB</v>
          </cell>
          <cell r="K472">
            <v>88000</v>
          </cell>
          <cell r="L472" t="str">
            <v>HKD</v>
          </cell>
          <cell r="M472">
            <v>109868</v>
          </cell>
          <cell r="N472">
            <v>10</v>
          </cell>
          <cell r="O472">
            <v>2</v>
          </cell>
          <cell r="P472">
            <v>48</v>
          </cell>
          <cell r="Q472">
            <v>4577.833333333333</v>
          </cell>
        </row>
        <row r="473">
          <cell r="A473" t="str">
            <v>Refreshment</v>
          </cell>
          <cell r="B473">
            <v>2015</v>
          </cell>
          <cell r="C473" t="str">
            <v>Peter</v>
          </cell>
          <cell r="D473" t="str">
            <v>CN</v>
          </cell>
          <cell r="E473">
            <v>0</v>
          </cell>
          <cell r="F473" t="str">
            <v>Server Replacment</v>
          </cell>
          <cell r="G473" t="str">
            <v>Vision App server</v>
          </cell>
          <cell r="H473" t="str">
            <v>CN</v>
          </cell>
          <cell r="I473" t="str">
            <v>HP</v>
          </cell>
          <cell r="J473" t="str">
            <v>RMB</v>
          </cell>
          <cell r="K473">
            <v>55000</v>
          </cell>
          <cell r="L473" t="str">
            <v>HKD</v>
          </cell>
          <cell r="M473">
            <v>68667.5</v>
          </cell>
          <cell r="N473">
            <v>10</v>
          </cell>
          <cell r="O473">
            <v>2</v>
          </cell>
          <cell r="P473">
            <v>48</v>
          </cell>
          <cell r="Q473">
            <v>2861.1458333333335</v>
          </cell>
        </row>
        <row r="474">
          <cell r="A474" t="str">
            <v>Refreshment</v>
          </cell>
          <cell r="B474">
            <v>2015</v>
          </cell>
          <cell r="C474" t="str">
            <v>Peter</v>
          </cell>
          <cell r="D474" t="str">
            <v>CN</v>
          </cell>
          <cell r="E474">
            <v>0</v>
          </cell>
          <cell r="F474" t="str">
            <v>Server Replacment</v>
          </cell>
          <cell r="G474" t="str">
            <v>Main domain controller (SH office)</v>
          </cell>
          <cell r="H474" t="str">
            <v>CN</v>
          </cell>
          <cell r="I474" t="str">
            <v>HP</v>
          </cell>
          <cell r="J474" t="str">
            <v>RMB</v>
          </cell>
          <cell r="K474">
            <v>50000</v>
          </cell>
          <cell r="L474" t="str">
            <v>HKD</v>
          </cell>
          <cell r="M474">
            <v>62425</v>
          </cell>
          <cell r="N474">
            <v>10</v>
          </cell>
          <cell r="O474">
            <v>2</v>
          </cell>
          <cell r="P474">
            <v>48</v>
          </cell>
          <cell r="Q474">
            <v>2601.0416666666665</v>
          </cell>
        </row>
        <row r="475">
          <cell r="A475" t="str">
            <v>Refreshment</v>
          </cell>
          <cell r="B475">
            <v>2015</v>
          </cell>
          <cell r="C475" t="str">
            <v>Peter</v>
          </cell>
          <cell r="D475" t="str">
            <v>CN</v>
          </cell>
          <cell r="E475">
            <v>0</v>
          </cell>
          <cell r="F475" t="str">
            <v>Server Replacment</v>
          </cell>
          <cell r="G475" t="str">
            <v>Backup server &amp; Storage</v>
          </cell>
          <cell r="H475" t="str">
            <v>CN</v>
          </cell>
          <cell r="I475" t="str">
            <v>HP</v>
          </cell>
          <cell r="J475" t="str">
            <v>RMB</v>
          </cell>
          <cell r="K475">
            <v>500000</v>
          </cell>
          <cell r="L475" t="str">
            <v>HKD</v>
          </cell>
          <cell r="M475">
            <v>624250</v>
          </cell>
          <cell r="N475">
            <v>10</v>
          </cell>
          <cell r="O475">
            <v>2</v>
          </cell>
          <cell r="P475">
            <v>48</v>
          </cell>
          <cell r="Q475">
            <v>26010.416666666668</v>
          </cell>
        </row>
        <row r="476">
          <cell r="A476" t="str">
            <v>Refreshment</v>
          </cell>
          <cell r="B476">
            <v>2015</v>
          </cell>
          <cell r="C476" t="str">
            <v>Peter</v>
          </cell>
          <cell r="D476" t="str">
            <v>CN</v>
          </cell>
          <cell r="E476">
            <v>0</v>
          </cell>
          <cell r="F476" t="str">
            <v>Server Replacment</v>
          </cell>
          <cell r="G476" t="str">
            <v>Tape Library</v>
          </cell>
          <cell r="H476" t="str">
            <v>CN</v>
          </cell>
          <cell r="I476" t="str">
            <v>HP</v>
          </cell>
          <cell r="J476" t="str">
            <v>RMB</v>
          </cell>
          <cell r="K476">
            <v>350000</v>
          </cell>
          <cell r="L476" t="str">
            <v>HKD</v>
          </cell>
          <cell r="M476">
            <v>436975</v>
          </cell>
          <cell r="N476">
            <v>10</v>
          </cell>
          <cell r="O476">
            <v>2</v>
          </cell>
          <cell r="P476">
            <v>48</v>
          </cell>
          <cell r="Q476">
            <v>18207.291666666668</v>
          </cell>
        </row>
        <row r="477">
          <cell r="A477" t="str">
            <v>Refreshment</v>
          </cell>
          <cell r="B477">
            <v>2015</v>
          </cell>
          <cell r="C477" t="str">
            <v>Peter</v>
          </cell>
          <cell r="D477" t="str">
            <v>CN</v>
          </cell>
          <cell r="E477">
            <v>0</v>
          </cell>
          <cell r="F477" t="str">
            <v>Server Replacment</v>
          </cell>
          <cell r="G477" t="str">
            <v>Domain Controller (GZ Office)</v>
          </cell>
          <cell r="H477" t="str">
            <v>GZ</v>
          </cell>
          <cell r="I477" t="str">
            <v>HP</v>
          </cell>
          <cell r="J477" t="str">
            <v>RMB</v>
          </cell>
          <cell r="K477">
            <v>80000</v>
          </cell>
          <cell r="L477" t="str">
            <v>HKD</v>
          </cell>
          <cell r="M477">
            <v>99880</v>
          </cell>
          <cell r="N477">
            <v>10</v>
          </cell>
          <cell r="O477">
            <v>2</v>
          </cell>
          <cell r="P477">
            <v>48</v>
          </cell>
          <cell r="Q477">
            <v>4161.666666666667</v>
          </cell>
        </row>
        <row r="478">
          <cell r="A478" t="str">
            <v>Refreshment</v>
          </cell>
          <cell r="B478">
            <v>2015</v>
          </cell>
          <cell r="C478" t="str">
            <v>Peter</v>
          </cell>
          <cell r="D478" t="str">
            <v>CN</v>
          </cell>
          <cell r="E478">
            <v>0</v>
          </cell>
          <cell r="F478" t="str">
            <v>Server Replacment</v>
          </cell>
          <cell r="G478" t="str">
            <v>TFT + KVM Switch</v>
          </cell>
          <cell r="H478" t="str">
            <v>CN</v>
          </cell>
          <cell r="I478" t="str">
            <v>HP</v>
          </cell>
          <cell r="J478" t="str">
            <v>RMB</v>
          </cell>
          <cell r="K478">
            <v>40000</v>
          </cell>
          <cell r="L478" t="str">
            <v>HKD</v>
          </cell>
          <cell r="M478">
            <v>49940</v>
          </cell>
          <cell r="N478">
            <v>10</v>
          </cell>
          <cell r="O478">
            <v>2</v>
          </cell>
          <cell r="P478">
            <v>48</v>
          </cell>
          <cell r="Q478">
            <v>2080.8333333333335</v>
          </cell>
        </row>
        <row r="479">
          <cell r="A479" t="str">
            <v>Refreshment</v>
          </cell>
          <cell r="B479">
            <v>2016</v>
          </cell>
          <cell r="C479" t="str">
            <v>Peter</v>
          </cell>
          <cell r="D479" t="str">
            <v>CN</v>
          </cell>
          <cell r="E479">
            <v>0</v>
          </cell>
          <cell r="F479" t="str">
            <v>Server Replacment</v>
          </cell>
          <cell r="G479" t="str">
            <v>Host Server (BJ Office)</v>
          </cell>
          <cell r="H479" t="str">
            <v>BJ</v>
          </cell>
          <cell r="I479" t="str">
            <v>HP</v>
          </cell>
          <cell r="J479" t="str">
            <v>RMB</v>
          </cell>
          <cell r="K479">
            <v>80000</v>
          </cell>
          <cell r="L479" t="str">
            <v>HKD</v>
          </cell>
          <cell r="M479">
            <v>99880</v>
          </cell>
          <cell r="N479">
            <v>6</v>
          </cell>
          <cell r="O479">
            <v>6</v>
          </cell>
          <cell r="P479">
            <v>36</v>
          </cell>
          <cell r="Q479">
            <v>16646.666666666664</v>
          </cell>
        </row>
        <row r="480">
          <cell r="A480" t="str">
            <v>Refreshment</v>
          </cell>
          <cell r="B480">
            <v>2017</v>
          </cell>
          <cell r="C480" t="str">
            <v>Jess</v>
          </cell>
          <cell r="D480" t="str">
            <v>SG</v>
          </cell>
          <cell r="E480">
            <v>0</v>
          </cell>
          <cell r="F480" t="str">
            <v>SGSQL1 replacement</v>
          </cell>
          <cell r="G480" t="str">
            <v>New HP server</v>
          </cell>
          <cell r="H480" t="str">
            <v>SG</v>
          </cell>
          <cell r="I480" t="str">
            <v>HP</v>
          </cell>
          <cell r="J480" t="str">
            <v>SGD</v>
          </cell>
          <cell r="K480">
            <v>12500</v>
          </cell>
          <cell r="L480" t="str">
            <v>HKD</v>
          </cell>
          <cell r="M480">
            <v>70681.25</v>
          </cell>
          <cell r="N480">
            <v>5</v>
          </cell>
          <cell r="O480">
            <v>7</v>
          </cell>
          <cell r="P480">
            <v>48</v>
          </cell>
          <cell r="Q480">
            <v>10307.682291666668</v>
          </cell>
        </row>
        <row r="481">
          <cell r="A481" t="str">
            <v>New Project</v>
          </cell>
          <cell r="B481">
            <v>2015</v>
          </cell>
          <cell r="C481" t="str">
            <v>Infra</v>
          </cell>
          <cell r="D481" t="str">
            <v>HK-MSL</v>
          </cell>
          <cell r="E481">
            <v>0</v>
          </cell>
          <cell r="F481" t="str">
            <v>Single sign-on (Group under EMS project)</v>
          </cell>
          <cell r="G481" t="str">
            <v>Single Sign-On Project  (EMS Component - MS EMS)</v>
          </cell>
          <cell r="H481" t="str">
            <v>AP Region</v>
          </cell>
          <cell r="I481">
            <v>0</v>
          </cell>
          <cell r="J481" t="str">
            <v>HKD</v>
          </cell>
          <cell r="K481">
            <v>50000</v>
          </cell>
          <cell r="L481" t="str">
            <v>HKD</v>
          </cell>
          <cell r="M481">
            <v>50000</v>
          </cell>
          <cell r="N481">
            <v>6</v>
          </cell>
          <cell r="O481">
            <v>6</v>
          </cell>
          <cell r="P481">
            <v>36</v>
          </cell>
          <cell r="Q481">
            <v>8333.3333333333339</v>
          </cell>
        </row>
        <row r="482">
          <cell r="A482" t="str">
            <v>New Project</v>
          </cell>
          <cell r="B482">
            <v>2016</v>
          </cell>
          <cell r="C482" t="str">
            <v>Kassapa</v>
          </cell>
          <cell r="D482" t="str">
            <v>TH</v>
          </cell>
          <cell r="E482">
            <v>0</v>
          </cell>
          <cell r="F482" t="str">
            <v>Software</v>
          </cell>
          <cell r="G482" t="str">
            <v>Microsoft Project x 4</v>
          </cell>
          <cell r="H482" t="str">
            <v>TH</v>
          </cell>
          <cell r="I482">
            <v>0</v>
          </cell>
          <cell r="J482" t="str">
            <v>THB</v>
          </cell>
          <cell r="K482">
            <v>144000</v>
          </cell>
          <cell r="L482" t="str">
            <v>HKD</v>
          </cell>
          <cell r="M482">
            <v>31910.399999999998</v>
          </cell>
          <cell r="N482">
            <v>3</v>
          </cell>
          <cell r="O482">
            <v>9</v>
          </cell>
          <cell r="P482">
            <v>36</v>
          </cell>
          <cell r="Q482">
            <v>7977.5999999999995</v>
          </cell>
        </row>
        <row r="483">
          <cell r="A483" t="str">
            <v>New Project</v>
          </cell>
          <cell r="B483">
            <v>2016</v>
          </cell>
          <cell r="C483" t="str">
            <v>Kassapa</v>
          </cell>
          <cell r="D483" t="str">
            <v>TH</v>
          </cell>
          <cell r="E483">
            <v>0</v>
          </cell>
          <cell r="F483" t="str">
            <v>Software</v>
          </cell>
          <cell r="G483" t="str">
            <v>Microsoft VISIO Pro x 4</v>
          </cell>
          <cell r="H483" t="str">
            <v>TH</v>
          </cell>
          <cell r="I483">
            <v>0</v>
          </cell>
          <cell r="J483" t="str">
            <v>THB</v>
          </cell>
          <cell r="K483">
            <v>72000</v>
          </cell>
          <cell r="L483" t="str">
            <v>HKD</v>
          </cell>
          <cell r="M483">
            <v>15955.199999999999</v>
          </cell>
          <cell r="N483">
            <v>3</v>
          </cell>
          <cell r="O483">
            <v>9</v>
          </cell>
          <cell r="P483">
            <v>36</v>
          </cell>
          <cell r="Q483">
            <v>3988.7999999999997</v>
          </cell>
        </row>
        <row r="484">
          <cell r="A484" t="str">
            <v>Expansion</v>
          </cell>
          <cell r="B484">
            <v>2016</v>
          </cell>
          <cell r="C484" t="str">
            <v>Kassapa</v>
          </cell>
          <cell r="D484" t="str">
            <v>TH</v>
          </cell>
          <cell r="E484">
            <v>0</v>
          </cell>
          <cell r="F484" t="str">
            <v>Software Billing</v>
          </cell>
          <cell r="G484" t="str">
            <v>Billing for PABX</v>
          </cell>
          <cell r="H484" t="str">
            <v>TH</v>
          </cell>
          <cell r="I484">
            <v>0</v>
          </cell>
          <cell r="J484" t="str">
            <v>THB</v>
          </cell>
          <cell r="K484">
            <v>15000</v>
          </cell>
          <cell r="L484" t="str">
            <v>HKD</v>
          </cell>
          <cell r="M484">
            <v>3324</v>
          </cell>
          <cell r="N484">
            <v>1</v>
          </cell>
          <cell r="O484">
            <v>11</v>
          </cell>
          <cell r="P484">
            <v>36</v>
          </cell>
          <cell r="Q484">
            <v>1015.6666666666666</v>
          </cell>
        </row>
        <row r="485">
          <cell r="A485" t="str">
            <v>Refreshment</v>
          </cell>
          <cell r="B485">
            <v>2016</v>
          </cell>
          <cell r="C485" t="str">
            <v>Kim</v>
          </cell>
          <cell r="D485" t="str">
            <v>KR</v>
          </cell>
          <cell r="E485">
            <v>0</v>
          </cell>
          <cell r="F485" t="str">
            <v>Software Purchase</v>
          </cell>
          <cell r="G485" t="str">
            <v xml:space="preserve">AutoCAD LT, Adobe Acrobat, Adobe design &amp; Hanoffice </v>
          </cell>
          <cell r="H485" t="str">
            <v>KR</v>
          </cell>
          <cell r="I485" t="str">
            <v>AutoDesk, Adobe, Hancom</v>
          </cell>
          <cell r="J485" t="str">
            <v>WON</v>
          </cell>
          <cell r="K485">
            <v>8400000</v>
          </cell>
          <cell r="L485" t="str">
            <v>HKD</v>
          </cell>
          <cell r="M485">
            <v>56280</v>
          </cell>
          <cell r="N485">
            <v>9</v>
          </cell>
          <cell r="O485">
            <v>3</v>
          </cell>
          <cell r="P485">
            <v>48</v>
          </cell>
          <cell r="Q485">
            <v>3517.5</v>
          </cell>
        </row>
        <row r="486">
          <cell r="A486" t="str">
            <v>Refreshment</v>
          </cell>
          <cell r="B486">
            <v>2017</v>
          </cell>
          <cell r="C486" t="str">
            <v>Kim</v>
          </cell>
          <cell r="D486" t="str">
            <v>KR</v>
          </cell>
          <cell r="E486">
            <v>0</v>
          </cell>
          <cell r="F486" t="str">
            <v>Software Purchase</v>
          </cell>
          <cell r="G486" t="str">
            <v xml:space="preserve">AutoCAD LT, Adobe Acrobat, Adobe design &amp; Hanoffice </v>
          </cell>
          <cell r="H486" t="str">
            <v>KR</v>
          </cell>
          <cell r="I486" t="str">
            <v>AutoDesk, Adobe, Hancom</v>
          </cell>
          <cell r="J486" t="str">
            <v>WON</v>
          </cell>
          <cell r="K486">
            <v>8400000</v>
          </cell>
          <cell r="L486" t="str">
            <v>HKD</v>
          </cell>
          <cell r="M486">
            <v>56280</v>
          </cell>
          <cell r="N486">
            <v>9</v>
          </cell>
          <cell r="O486">
            <v>3</v>
          </cell>
          <cell r="P486">
            <v>48</v>
          </cell>
          <cell r="Q486">
            <v>3517.5</v>
          </cell>
        </row>
        <row r="487">
          <cell r="A487" t="str">
            <v>Refreshment</v>
          </cell>
          <cell r="B487">
            <v>2018</v>
          </cell>
          <cell r="C487" t="str">
            <v>Kim</v>
          </cell>
          <cell r="D487" t="str">
            <v>KR</v>
          </cell>
          <cell r="E487">
            <v>0</v>
          </cell>
          <cell r="F487" t="str">
            <v>Software Purchase</v>
          </cell>
          <cell r="G487" t="str">
            <v xml:space="preserve">AutoCAD LT, Adobe Acrobat, Adobe design &amp; Hanoffice </v>
          </cell>
          <cell r="H487" t="str">
            <v>KR</v>
          </cell>
          <cell r="I487" t="str">
            <v>AutoDesk, Adobe, Hancom</v>
          </cell>
          <cell r="J487" t="str">
            <v>WON</v>
          </cell>
          <cell r="K487">
            <v>8300000</v>
          </cell>
          <cell r="L487" t="str">
            <v>HKD</v>
          </cell>
          <cell r="M487">
            <v>55610</v>
          </cell>
          <cell r="N487">
            <v>9</v>
          </cell>
          <cell r="O487">
            <v>3</v>
          </cell>
          <cell r="P487">
            <v>48</v>
          </cell>
          <cell r="Q487">
            <v>3475.625</v>
          </cell>
        </row>
        <row r="488">
          <cell r="A488" t="str">
            <v>Refreshment</v>
          </cell>
          <cell r="B488">
            <v>2016</v>
          </cell>
          <cell r="C488" t="str">
            <v>Infra</v>
          </cell>
          <cell r="D488" t="str">
            <v>HK-MSL</v>
          </cell>
          <cell r="E488">
            <v>0</v>
          </cell>
          <cell r="F488" t="str">
            <v>Solarwinds server refreshment</v>
          </cell>
          <cell r="G488" t="str">
            <v>Solarwinds server refreshment</v>
          </cell>
          <cell r="H488" t="str">
            <v>HK All</v>
          </cell>
          <cell r="I488">
            <v>0</v>
          </cell>
          <cell r="J488" t="str">
            <v>HKD</v>
          </cell>
          <cell r="K488">
            <v>70000</v>
          </cell>
          <cell r="L488" t="str">
            <v>HKD</v>
          </cell>
          <cell r="M488">
            <v>70000</v>
          </cell>
          <cell r="N488">
            <v>10</v>
          </cell>
          <cell r="O488">
            <v>2</v>
          </cell>
          <cell r="P488">
            <v>36</v>
          </cell>
          <cell r="Q488">
            <v>3888.8888888888887</v>
          </cell>
        </row>
        <row r="489">
          <cell r="A489" t="str">
            <v>Refreshment</v>
          </cell>
          <cell r="B489">
            <v>2016</v>
          </cell>
          <cell r="C489" t="str">
            <v>Quen</v>
          </cell>
          <cell r="D489" t="str">
            <v>VN</v>
          </cell>
          <cell r="E489">
            <v>0</v>
          </cell>
          <cell r="F489" t="str">
            <v>Sonicpoint wifi APs replacment</v>
          </cell>
          <cell r="G489" t="str">
            <v>Replace 03 Sonicpoint wifi access points in HCM+HN</v>
          </cell>
          <cell r="H489" t="str">
            <v>VN</v>
          </cell>
          <cell r="I489" t="str">
            <v>Sonnicwall</v>
          </cell>
          <cell r="J489" t="str">
            <v>VND</v>
          </cell>
          <cell r="K489">
            <v>18000000</v>
          </cell>
          <cell r="L489" t="str">
            <v>HKD</v>
          </cell>
          <cell r="M489">
            <v>7200</v>
          </cell>
          <cell r="N489">
            <v>4</v>
          </cell>
          <cell r="O489">
            <v>8</v>
          </cell>
          <cell r="P489">
            <v>36</v>
          </cell>
          <cell r="Q489">
            <v>1600</v>
          </cell>
        </row>
        <row r="490">
          <cell r="A490" t="str">
            <v>Refreshment</v>
          </cell>
          <cell r="B490">
            <v>2016</v>
          </cell>
          <cell r="C490" t="str">
            <v>Josh</v>
          </cell>
          <cell r="D490" t="str">
            <v>TW</v>
          </cell>
          <cell r="E490">
            <v>0</v>
          </cell>
          <cell r="F490" t="str">
            <v>Sonicwall NSA 220 CGSS 3y</v>
          </cell>
          <cell r="G490" t="str">
            <v>Sonicwall NSA 220 CGSS 3y (ZS)</v>
          </cell>
          <cell r="H490" t="str">
            <v>TW</v>
          </cell>
          <cell r="I490" t="str">
            <v>ADCOM</v>
          </cell>
          <cell r="J490" t="str">
            <v>TWD</v>
          </cell>
          <cell r="K490">
            <v>70000</v>
          </cell>
          <cell r="L490" t="str">
            <v>HKD</v>
          </cell>
          <cell r="M490">
            <v>17150</v>
          </cell>
          <cell r="N490">
            <v>7</v>
          </cell>
          <cell r="O490">
            <v>5</v>
          </cell>
          <cell r="P490">
            <v>36</v>
          </cell>
          <cell r="Q490">
            <v>2381.9444444444443</v>
          </cell>
        </row>
        <row r="491">
          <cell r="A491" t="str">
            <v>Refreshment</v>
          </cell>
          <cell r="B491">
            <v>2016</v>
          </cell>
          <cell r="C491" t="str">
            <v>Josh</v>
          </cell>
          <cell r="D491" t="str">
            <v>TW</v>
          </cell>
          <cell r="E491">
            <v>0</v>
          </cell>
          <cell r="F491" t="str">
            <v>Sonicwall NSA 220 CGSS 3y</v>
          </cell>
          <cell r="G491" t="str">
            <v>Sonicwall NSA 220 CGSS 3y (Resi-NH)</v>
          </cell>
          <cell r="H491" t="str">
            <v>TW</v>
          </cell>
          <cell r="I491" t="str">
            <v>ADCOM</v>
          </cell>
          <cell r="J491" t="str">
            <v>TWD</v>
          </cell>
          <cell r="K491">
            <v>70000</v>
          </cell>
          <cell r="L491" t="str">
            <v>HKD</v>
          </cell>
          <cell r="M491">
            <v>17150</v>
          </cell>
          <cell r="N491">
            <v>11</v>
          </cell>
          <cell r="O491">
            <v>1</v>
          </cell>
          <cell r="P491">
            <v>36</v>
          </cell>
          <cell r="Q491">
            <v>476.38888888888891</v>
          </cell>
        </row>
        <row r="492">
          <cell r="A492" t="str">
            <v>Refreshment</v>
          </cell>
          <cell r="B492">
            <v>2017</v>
          </cell>
          <cell r="C492" t="str">
            <v>Josh</v>
          </cell>
          <cell r="D492" t="str">
            <v>TW</v>
          </cell>
          <cell r="E492">
            <v>0</v>
          </cell>
          <cell r="F492" t="str">
            <v>Sonicwall TZ 215W CGSS 3y</v>
          </cell>
          <cell r="G492" t="str">
            <v>Sonicwall TZ 215W CGSS 3y (DA)</v>
          </cell>
          <cell r="H492" t="str">
            <v>TW</v>
          </cell>
          <cell r="I492" t="str">
            <v>ADCOM</v>
          </cell>
          <cell r="J492" t="str">
            <v>TWD</v>
          </cell>
          <cell r="K492">
            <v>36000</v>
          </cell>
          <cell r="L492" t="str">
            <v>HKD</v>
          </cell>
          <cell r="M492">
            <v>8820</v>
          </cell>
          <cell r="N492">
            <v>6</v>
          </cell>
          <cell r="O492">
            <v>6</v>
          </cell>
          <cell r="P492">
            <v>36</v>
          </cell>
          <cell r="Q492">
            <v>1470</v>
          </cell>
        </row>
        <row r="493">
          <cell r="A493" t="str">
            <v>Refreshment</v>
          </cell>
          <cell r="B493">
            <v>2016</v>
          </cell>
          <cell r="C493" t="str">
            <v>Josh</v>
          </cell>
          <cell r="D493" t="str">
            <v>TW</v>
          </cell>
          <cell r="E493">
            <v>0</v>
          </cell>
          <cell r="F493" t="str">
            <v>SQL Server</v>
          </cell>
          <cell r="G493" t="str">
            <v>FLEX Server &amp; others</v>
          </cell>
          <cell r="H493" t="str">
            <v>TW</v>
          </cell>
          <cell r="I493" t="str">
            <v>eTatung</v>
          </cell>
          <cell r="J493" t="str">
            <v>TWD</v>
          </cell>
          <cell r="K493">
            <v>400000</v>
          </cell>
          <cell r="L493" t="str">
            <v>HKD</v>
          </cell>
          <cell r="M493">
            <v>98000</v>
          </cell>
          <cell r="N493">
            <v>10</v>
          </cell>
          <cell r="O493">
            <v>2</v>
          </cell>
          <cell r="P493">
            <v>48</v>
          </cell>
          <cell r="Q493">
            <v>4083.3333333333335</v>
          </cell>
        </row>
        <row r="494">
          <cell r="A494" t="str">
            <v>Refreshment</v>
          </cell>
          <cell r="B494">
            <v>2014</v>
          </cell>
          <cell r="C494" t="str">
            <v>Infra</v>
          </cell>
          <cell r="D494" t="str">
            <v>HK-MSL</v>
          </cell>
          <cell r="E494">
            <v>0</v>
          </cell>
          <cell r="F494" t="str">
            <v>SQL Server Replacement</v>
          </cell>
          <cell r="G494" t="str">
            <v>Replacement of HKSQL1 and HKSQL2</v>
          </cell>
          <cell r="H494" t="str">
            <v>HK All</v>
          </cell>
          <cell r="I494" t="str">
            <v>JOS</v>
          </cell>
          <cell r="J494" t="str">
            <v>HKD</v>
          </cell>
          <cell r="K494">
            <v>600000</v>
          </cell>
          <cell r="L494" t="str">
            <v>HKD</v>
          </cell>
          <cell r="M494">
            <v>600000</v>
          </cell>
          <cell r="N494">
            <v>11</v>
          </cell>
          <cell r="O494">
            <v>1</v>
          </cell>
          <cell r="P494">
            <v>36</v>
          </cell>
          <cell r="Q494">
            <v>16666.666666666668</v>
          </cell>
        </row>
        <row r="495">
          <cell r="A495" t="str">
            <v>New Project</v>
          </cell>
          <cell r="B495">
            <v>2016</v>
          </cell>
          <cell r="C495" t="str">
            <v>Allen</v>
          </cell>
          <cell r="D495" t="str">
            <v>JP</v>
          </cell>
          <cell r="E495">
            <v>0</v>
          </cell>
          <cell r="F495" t="str">
            <v>Stock Management System</v>
          </cell>
          <cell r="G495" t="str">
            <v>To replace current SPIKE System (7 years+)</v>
          </cell>
          <cell r="H495" t="str">
            <v>JP</v>
          </cell>
          <cell r="I495">
            <v>0</v>
          </cell>
          <cell r="J495" t="str">
            <v>HKD</v>
          </cell>
          <cell r="K495">
            <v>500000</v>
          </cell>
          <cell r="L495" t="str">
            <v>HKD</v>
          </cell>
          <cell r="M495">
            <v>500000</v>
          </cell>
          <cell r="N495">
            <v>1</v>
          </cell>
          <cell r="O495">
            <v>11</v>
          </cell>
          <cell r="P495">
            <v>60</v>
          </cell>
          <cell r="Q495">
            <v>91666.666666666672</v>
          </cell>
        </row>
        <row r="496">
          <cell r="A496" t="str">
            <v>Refreshment</v>
          </cell>
          <cell r="B496">
            <v>2016</v>
          </cell>
          <cell r="C496" t="str">
            <v>Hiroshi</v>
          </cell>
          <cell r="D496" t="str">
            <v>JP</v>
          </cell>
          <cell r="E496">
            <v>0</v>
          </cell>
          <cell r="F496" t="str">
            <v>Switch Replacement</v>
          </cell>
          <cell r="G496" t="str">
            <v>Switch replacement</v>
          </cell>
          <cell r="H496" t="str">
            <v>JP</v>
          </cell>
          <cell r="I496" t="str">
            <v>HP</v>
          </cell>
          <cell r="J496" t="str">
            <v>JPY</v>
          </cell>
          <cell r="K496">
            <v>417053.83565423207</v>
          </cell>
          <cell r="L496" t="str">
            <v>HKD</v>
          </cell>
          <cell r="M496">
            <v>26107.57011195493</v>
          </cell>
          <cell r="N496">
            <v>6</v>
          </cell>
          <cell r="O496">
            <v>6</v>
          </cell>
          <cell r="P496">
            <v>60</v>
          </cell>
          <cell r="Q496">
            <v>2610.7570111954933</v>
          </cell>
        </row>
        <row r="497">
          <cell r="A497" t="str">
            <v>Refreshment</v>
          </cell>
          <cell r="B497">
            <v>2016</v>
          </cell>
          <cell r="C497">
            <v>0</v>
          </cell>
          <cell r="D497" t="str">
            <v>MO</v>
          </cell>
          <cell r="E497">
            <v>0</v>
          </cell>
          <cell r="F497" t="str">
            <v>Switch replacement</v>
          </cell>
          <cell r="G497" t="str">
            <v>Switch replacement</v>
          </cell>
          <cell r="H497" t="str">
            <v>MO</v>
          </cell>
          <cell r="I497">
            <v>0</v>
          </cell>
          <cell r="J497" t="str">
            <v>HKD</v>
          </cell>
          <cell r="K497">
            <v>24000</v>
          </cell>
          <cell r="L497" t="str">
            <v>HKD</v>
          </cell>
          <cell r="M497">
            <v>24000</v>
          </cell>
          <cell r="N497">
            <v>7</v>
          </cell>
          <cell r="O497">
            <v>5</v>
          </cell>
          <cell r="P497">
            <v>60</v>
          </cell>
          <cell r="Q497">
            <v>2000</v>
          </cell>
        </row>
        <row r="498">
          <cell r="A498" t="str">
            <v>New Project</v>
          </cell>
          <cell r="B498">
            <v>2016</v>
          </cell>
          <cell r="C498" t="str">
            <v>Infra</v>
          </cell>
          <cell r="D498" t="str">
            <v>HK-MSL</v>
          </cell>
          <cell r="E498">
            <v>0</v>
          </cell>
          <cell r="F498" t="str">
            <v>System Management Tools</v>
          </cell>
          <cell r="G498" t="str">
            <v>Manage Engine Services Desk plus Enterprise Edition - 70 Licence instalation+Maintenance + Change &amp; Project Management</v>
          </cell>
          <cell r="H498" t="str">
            <v>MSL</v>
          </cell>
          <cell r="I498">
            <v>0</v>
          </cell>
          <cell r="J498" t="str">
            <v>HKD</v>
          </cell>
          <cell r="K498">
            <v>60000</v>
          </cell>
          <cell r="L498" t="str">
            <v>HKD</v>
          </cell>
          <cell r="M498">
            <v>60000</v>
          </cell>
          <cell r="N498">
            <v>8</v>
          </cell>
          <cell r="O498">
            <v>4</v>
          </cell>
          <cell r="P498">
            <v>36</v>
          </cell>
          <cell r="Q498">
            <v>6666.666666666667</v>
          </cell>
        </row>
        <row r="499">
          <cell r="A499" t="str">
            <v>Refreshment</v>
          </cell>
          <cell r="B499">
            <v>2014</v>
          </cell>
          <cell r="C499" t="str">
            <v>Hiroshi</v>
          </cell>
          <cell r="D499" t="str">
            <v>JP</v>
          </cell>
          <cell r="E499">
            <v>0</v>
          </cell>
          <cell r="F499" t="str">
            <v>Tape Autoloader</v>
          </cell>
          <cell r="G499" t="str">
            <v>Tape Library</v>
          </cell>
          <cell r="H499" t="str">
            <v>JP</v>
          </cell>
          <cell r="I499" t="str">
            <v>HP</v>
          </cell>
          <cell r="J499" t="str">
            <v>JPY</v>
          </cell>
          <cell r="K499">
            <v>2579317.5682000197</v>
          </cell>
          <cell r="L499" t="str">
            <v>HKD</v>
          </cell>
          <cell r="M499">
            <v>161465.27976932123</v>
          </cell>
          <cell r="N499">
            <v>10</v>
          </cell>
          <cell r="O499">
            <v>2</v>
          </cell>
          <cell r="P499">
            <v>48</v>
          </cell>
          <cell r="Q499">
            <v>6727.7199903883848</v>
          </cell>
        </row>
        <row r="500">
          <cell r="A500" t="str">
            <v>Refreshment</v>
          </cell>
          <cell r="B500">
            <v>2016</v>
          </cell>
          <cell r="C500" t="str">
            <v>Josh</v>
          </cell>
          <cell r="D500" t="str">
            <v>TW</v>
          </cell>
          <cell r="E500">
            <v>0</v>
          </cell>
          <cell r="F500" t="str">
            <v>Tape Autoloader</v>
          </cell>
          <cell r="G500" t="str">
            <v>Tape library</v>
          </cell>
          <cell r="H500" t="str">
            <v>TW</v>
          </cell>
          <cell r="I500" t="str">
            <v>eTatung</v>
          </cell>
          <cell r="J500" t="str">
            <v>TWD</v>
          </cell>
          <cell r="K500">
            <v>250000</v>
          </cell>
          <cell r="L500" t="str">
            <v>HKD</v>
          </cell>
          <cell r="M500">
            <v>61250</v>
          </cell>
          <cell r="N500">
            <v>2</v>
          </cell>
          <cell r="O500">
            <v>10</v>
          </cell>
          <cell r="P500">
            <v>48</v>
          </cell>
          <cell r="Q500">
            <v>12760.416666666668</v>
          </cell>
        </row>
        <row r="501">
          <cell r="A501" t="str">
            <v>Refreshment</v>
          </cell>
          <cell r="B501">
            <v>2015</v>
          </cell>
          <cell r="C501">
            <v>0</v>
          </cell>
          <cell r="D501" t="str">
            <v>MO</v>
          </cell>
          <cell r="E501">
            <v>0</v>
          </cell>
          <cell r="F501" t="str">
            <v>Tape Drive Refreshment</v>
          </cell>
          <cell r="G501" t="str">
            <v xml:space="preserve">Tape Drive </v>
          </cell>
          <cell r="H501" t="str">
            <v>MO</v>
          </cell>
          <cell r="I501" t="str">
            <v>JOS</v>
          </cell>
          <cell r="J501" t="str">
            <v>HKD</v>
          </cell>
          <cell r="K501">
            <v>60000</v>
          </cell>
          <cell r="L501" t="str">
            <v>HKD</v>
          </cell>
          <cell r="M501">
            <v>60000</v>
          </cell>
          <cell r="N501">
            <v>1</v>
          </cell>
          <cell r="O501">
            <v>11</v>
          </cell>
          <cell r="P501">
            <v>48</v>
          </cell>
          <cell r="Q501">
            <v>13750</v>
          </cell>
        </row>
        <row r="502">
          <cell r="A502" t="str">
            <v>Refreshment</v>
          </cell>
          <cell r="B502">
            <v>2015</v>
          </cell>
          <cell r="C502" t="str">
            <v>Infra</v>
          </cell>
          <cell r="D502" t="str">
            <v>HK-MSL</v>
          </cell>
          <cell r="E502">
            <v>0</v>
          </cell>
          <cell r="F502" t="str">
            <v>Tape library replacement</v>
          </cell>
          <cell r="G502" t="str">
            <v>Tape Library</v>
          </cell>
          <cell r="H502" t="str">
            <v>HK All</v>
          </cell>
          <cell r="I502" t="str">
            <v>JOS</v>
          </cell>
          <cell r="J502" t="str">
            <v>HKD</v>
          </cell>
          <cell r="K502">
            <v>360000</v>
          </cell>
          <cell r="L502" t="str">
            <v>HKD</v>
          </cell>
          <cell r="M502">
            <v>360000</v>
          </cell>
          <cell r="N502">
            <v>3</v>
          </cell>
          <cell r="O502">
            <v>9</v>
          </cell>
          <cell r="P502">
            <v>48</v>
          </cell>
          <cell r="Q502">
            <v>67500</v>
          </cell>
        </row>
        <row r="503">
          <cell r="A503" t="str">
            <v>Refreshment</v>
          </cell>
          <cell r="B503">
            <v>2016</v>
          </cell>
          <cell r="C503" t="str">
            <v>Edmond</v>
          </cell>
          <cell r="D503" t="str">
            <v>TH</v>
          </cell>
          <cell r="E503">
            <v>0</v>
          </cell>
          <cell r="F503" t="str">
            <v>Tape Refreshment</v>
          </cell>
          <cell r="G503" t="str">
            <v>Tape replacement</v>
          </cell>
          <cell r="H503" t="str">
            <v>TH</v>
          </cell>
          <cell r="I503">
            <v>0</v>
          </cell>
          <cell r="J503" t="str">
            <v>HKD</v>
          </cell>
          <cell r="K503">
            <v>61404</v>
          </cell>
          <cell r="L503" t="str">
            <v>HKD</v>
          </cell>
          <cell r="M503">
            <v>61404</v>
          </cell>
          <cell r="N503">
            <v>9</v>
          </cell>
          <cell r="O503">
            <v>3</v>
          </cell>
          <cell r="P503">
            <v>48</v>
          </cell>
          <cell r="Q503">
            <v>3837.75</v>
          </cell>
        </row>
        <row r="504">
          <cell r="A504" t="str">
            <v>Expansion</v>
          </cell>
          <cell r="B504">
            <v>2016</v>
          </cell>
          <cell r="C504" t="str">
            <v>Quen</v>
          </cell>
          <cell r="D504" t="str">
            <v>VN</v>
          </cell>
          <cell r="E504">
            <v>0</v>
          </cell>
          <cell r="F504" t="str">
            <v>Tele Conference</v>
          </cell>
          <cell r="G504" t="str">
            <v>Tele Conference Polycom</v>
          </cell>
          <cell r="H504" t="str">
            <v>VN</v>
          </cell>
          <cell r="I504" t="str">
            <v>Polycom</v>
          </cell>
          <cell r="J504" t="str">
            <v>VND</v>
          </cell>
          <cell r="K504">
            <v>60000000</v>
          </cell>
          <cell r="L504" t="str">
            <v>HKD</v>
          </cell>
          <cell r="M504">
            <v>24000</v>
          </cell>
          <cell r="N504">
            <v>1</v>
          </cell>
          <cell r="O504">
            <v>11</v>
          </cell>
          <cell r="P504">
            <v>36</v>
          </cell>
          <cell r="Q504">
            <v>7333.333333333333</v>
          </cell>
        </row>
        <row r="505">
          <cell r="A505" t="str">
            <v>Refreshment</v>
          </cell>
          <cell r="B505">
            <v>2016</v>
          </cell>
          <cell r="C505" t="str">
            <v>Hiroshi</v>
          </cell>
          <cell r="D505" t="str">
            <v>JP</v>
          </cell>
          <cell r="E505">
            <v>0</v>
          </cell>
          <cell r="F505" t="str">
            <v>TFT + KVM Switch + USB Interface Adapter</v>
          </cell>
          <cell r="G505">
            <v>0</v>
          </cell>
          <cell r="H505" t="str">
            <v>JP</v>
          </cell>
          <cell r="I505" t="str">
            <v>HP</v>
          </cell>
          <cell r="J505" t="str">
            <v>JPY</v>
          </cell>
          <cell r="K505">
            <v>721823.94632463239</v>
          </cell>
          <cell r="L505" t="str">
            <v>HKD</v>
          </cell>
          <cell r="M505">
            <v>45186.17903992199</v>
          </cell>
          <cell r="N505">
            <v>2</v>
          </cell>
          <cell r="O505">
            <v>10</v>
          </cell>
          <cell r="P505">
            <v>36</v>
          </cell>
          <cell r="Q505">
            <v>12551.716399978332</v>
          </cell>
        </row>
        <row r="506">
          <cell r="A506" t="str">
            <v>New Project</v>
          </cell>
          <cell r="B506">
            <v>2016</v>
          </cell>
          <cell r="C506" t="str">
            <v>Kassapa</v>
          </cell>
          <cell r="D506" t="str">
            <v>TH</v>
          </cell>
          <cell r="E506">
            <v>0</v>
          </cell>
          <cell r="F506" t="str">
            <v>Touch Screen 22" x 2</v>
          </cell>
          <cell r="G506" t="str">
            <v>Touch Screen 22" x 2</v>
          </cell>
          <cell r="H506" t="str">
            <v>TH</v>
          </cell>
          <cell r="I506">
            <v>0</v>
          </cell>
          <cell r="J506" t="str">
            <v>THB</v>
          </cell>
          <cell r="K506">
            <v>28000</v>
          </cell>
          <cell r="L506" t="str">
            <v>HKD</v>
          </cell>
          <cell r="M506">
            <v>6204.8</v>
          </cell>
          <cell r="N506">
            <v>4</v>
          </cell>
          <cell r="O506">
            <v>8</v>
          </cell>
          <cell r="P506">
            <v>48</v>
          </cell>
          <cell r="Q506">
            <v>1034.1333333333334</v>
          </cell>
        </row>
        <row r="507">
          <cell r="A507" t="str">
            <v>Refreshment</v>
          </cell>
          <cell r="B507">
            <v>2016</v>
          </cell>
          <cell r="C507" t="str">
            <v>Ops</v>
          </cell>
          <cell r="D507" t="str">
            <v>HK-MSL</v>
          </cell>
          <cell r="E507">
            <v>0</v>
          </cell>
          <cell r="F507" t="str">
            <v>Training Equipment</v>
          </cell>
          <cell r="G507" t="str">
            <v>IT Projector Replacement (3)</v>
          </cell>
          <cell r="H507" t="str">
            <v>MSL</v>
          </cell>
          <cell r="I507" t="str">
            <v>JOS</v>
          </cell>
          <cell r="J507" t="str">
            <v>HKD</v>
          </cell>
          <cell r="K507">
            <v>30000</v>
          </cell>
          <cell r="L507" t="str">
            <v>HKD</v>
          </cell>
          <cell r="M507">
            <v>30000</v>
          </cell>
          <cell r="N507">
            <v>1</v>
          </cell>
          <cell r="O507">
            <v>11</v>
          </cell>
          <cell r="P507">
            <v>48</v>
          </cell>
          <cell r="Q507">
            <v>6875</v>
          </cell>
        </row>
        <row r="508">
          <cell r="A508" t="str">
            <v>Refreshment</v>
          </cell>
          <cell r="B508">
            <v>2016</v>
          </cell>
          <cell r="C508" t="str">
            <v>Ops</v>
          </cell>
          <cell r="D508" t="str">
            <v>HK-MSL</v>
          </cell>
          <cell r="E508">
            <v>0</v>
          </cell>
          <cell r="F508" t="str">
            <v>Training Equipment</v>
          </cell>
          <cell r="G508" t="str">
            <v>IT Laptop Replacement (10)</v>
          </cell>
          <cell r="H508" t="str">
            <v>MSL</v>
          </cell>
          <cell r="I508" t="str">
            <v>HP</v>
          </cell>
          <cell r="J508" t="str">
            <v>HKD</v>
          </cell>
          <cell r="K508">
            <v>100000</v>
          </cell>
          <cell r="L508" t="str">
            <v>HKD</v>
          </cell>
          <cell r="M508">
            <v>100000</v>
          </cell>
          <cell r="N508">
            <v>1</v>
          </cell>
          <cell r="O508">
            <v>11</v>
          </cell>
          <cell r="P508">
            <v>48</v>
          </cell>
          <cell r="Q508">
            <v>22916.666666666668</v>
          </cell>
        </row>
        <row r="509">
          <cell r="A509" t="str">
            <v>Refreshment</v>
          </cell>
          <cell r="B509">
            <v>2016</v>
          </cell>
          <cell r="C509" t="str">
            <v>Quen</v>
          </cell>
          <cell r="D509" t="str">
            <v>VN</v>
          </cell>
          <cell r="E509">
            <v>0</v>
          </cell>
          <cell r="F509" t="str">
            <v>Upgrade Telephone System</v>
          </cell>
          <cell r="G509" t="str">
            <v>Upgrade Telephone System</v>
          </cell>
          <cell r="H509" t="str">
            <v>VN</v>
          </cell>
          <cell r="I509" t="str">
            <v>HP</v>
          </cell>
          <cell r="J509" t="str">
            <v>VND</v>
          </cell>
          <cell r="K509">
            <v>440000000</v>
          </cell>
          <cell r="L509" t="str">
            <v>HKD</v>
          </cell>
          <cell r="M509">
            <v>176000</v>
          </cell>
          <cell r="N509">
            <v>5</v>
          </cell>
          <cell r="O509">
            <v>7</v>
          </cell>
          <cell r="P509">
            <v>60</v>
          </cell>
          <cell r="Q509">
            <v>20533.333333333336</v>
          </cell>
        </row>
        <row r="510">
          <cell r="A510" t="str">
            <v>Refreshment</v>
          </cell>
          <cell r="B510">
            <v>2016</v>
          </cell>
          <cell r="C510" t="str">
            <v>Quen</v>
          </cell>
          <cell r="D510" t="str">
            <v>VN</v>
          </cell>
          <cell r="E510">
            <v>0</v>
          </cell>
          <cell r="F510" t="str">
            <v>Upgrade to MS Dynamic AX 2012</v>
          </cell>
          <cell r="G510" t="str">
            <v>Upgrade to MS Dynamic AX 2012</v>
          </cell>
          <cell r="H510" t="str">
            <v>VN</v>
          </cell>
          <cell r="I510" t="str">
            <v>Microsoft</v>
          </cell>
          <cell r="J510" t="str">
            <v>VND</v>
          </cell>
          <cell r="K510">
            <v>1050000000</v>
          </cell>
          <cell r="L510" t="str">
            <v>HKD</v>
          </cell>
          <cell r="M510">
            <v>420000</v>
          </cell>
          <cell r="N510">
            <v>8</v>
          </cell>
          <cell r="O510">
            <v>4</v>
          </cell>
          <cell r="P510">
            <v>60</v>
          </cell>
          <cell r="Q510">
            <v>28000</v>
          </cell>
        </row>
        <row r="511">
          <cell r="A511" t="str">
            <v>Refreshment</v>
          </cell>
          <cell r="B511">
            <v>2015</v>
          </cell>
          <cell r="C511" t="str">
            <v>Quen</v>
          </cell>
          <cell r="D511" t="str">
            <v>VN</v>
          </cell>
          <cell r="E511">
            <v>0</v>
          </cell>
          <cell r="F511" t="str">
            <v xml:space="preserve">Upgrade Vietnam Exchange Replacement VNEX2 server </v>
          </cell>
          <cell r="G511" t="str">
            <v>Upgrade Vietnam Exchange Replacement VNEX2 server for central storage database in VN</v>
          </cell>
          <cell r="H511" t="str">
            <v>VN</v>
          </cell>
          <cell r="I511" t="str">
            <v>HP</v>
          </cell>
          <cell r="J511" t="str">
            <v>VND</v>
          </cell>
          <cell r="K511">
            <v>400000000</v>
          </cell>
          <cell r="L511" t="str">
            <v>HKD</v>
          </cell>
          <cell r="M511">
            <v>160000</v>
          </cell>
          <cell r="N511">
            <v>5</v>
          </cell>
          <cell r="O511">
            <v>7</v>
          </cell>
          <cell r="P511">
            <v>36</v>
          </cell>
          <cell r="Q511">
            <v>31111.111111111109</v>
          </cell>
        </row>
        <row r="512">
          <cell r="A512" t="str">
            <v>Refreshment</v>
          </cell>
          <cell r="B512">
            <v>2014</v>
          </cell>
          <cell r="C512" t="str">
            <v>Hiroshi</v>
          </cell>
          <cell r="D512" t="str">
            <v>JP</v>
          </cell>
          <cell r="E512">
            <v>0</v>
          </cell>
          <cell r="F512" t="str">
            <v>UPS</v>
          </cell>
          <cell r="G512">
            <v>0</v>
          </cell>
          <cell r="H512" t="str">
            <v>JP</v>
          </cell>
          <cell r="I512" t="str">
            <v>HP</v>
          </cell>
          <cell r="J512" t="str">
            <v>JPY</v>
          </cell>
          <cell r="K512">
            <v>704179.36097003031</v>
          </cell>
          <cell r="L512" t="str">
            <v>HKD</v>
          </cell>
          <cell r="M512">
            <v>44081.627996723902</v>
          </cell>
          <cell r="N512">
            <v>10</v>
          </cell>
          <cell r="O512">
            <v>2</v>
          </cell>
          <cell r="P512">
            <v>36</v>
          </cell>
          <cell r="Q512">
            <v>2448.9793331513279</v>
          </cell>
        </row>
        <row r="513">
          <cell r="A513" t="str">
            <v>Refreshment</v>
          </cell>
          <cell r="B513">
            <v>2016</v>
          </cell>
          <cell r="C513" t="str">
            <v>Jess</v>
          </cell>
          <cell r="D513" t="str">
            <v>SG</v>
          </cell>
          <cell r="E513">
            <v>0</v>
          </cell>
          <cell r="F513" t="str">
            <v>UPS</v>
          </cell>
          <cell r="G513" t="str">
            <v>2 x HP R/T 3000 G4 High Voltage Int'l UPS</v>
          </cell>
          <cell r="H513" t="str">
            <v>SG</v>
          </cell>
          <cell r="I513" t="str">
            <v>HP</v>
          </cell>
          <cell r="J513" t="str">
            <v>SGD</v>
          </cell>
          <cell r="K513">
            <v>4080</v>
          </cell>
          <cell r="L513" t="str">
            <v>HKD</v>
          </cell>
          <cell r="M513">
            <v>23070.359999999997</v>
          </cell>
          <cell r="N513">
            <v>4</v>
          </cell>
          <cell r="O513">
            <v>8</v>
          </cell>
          <cell r="P513">
            <v>36</v>
          </cell>
          <cell r="Q513">
            <v>5126.746666666666</v>
          </cell>
        </row>
        <row r="514">
          <cell r="A514" t="str">
            <v>Refreshment</v>
          </cell>
          <cell r="B514">
            <v>2014</v>
          </cell>
          <cell r="C514">
            <v>0</v>
          </cell>
          <cell r="D514" t="str">
            <v>MO</v>
          </cell>
          <cell r="E514">
            <v>0</v>
          </cell>
          <cell r="F514" t="str">
            <v>UPS Refreshment</v>
          </cell>
          <cell r="G514" t="str">
            <v>UPS replacement</v>
          </cell>
          <cell r="H514" t="str">
            <v>MO</v>
          </cell>
          <cell r="I514" t="str">
            <v>JOS</v>
          </cell>
          <cell r="J514" t="str">
            <v>HKD</v>
          </cell>
          <cell r="K514">
            <v>18000</v>
          </cell>
          <cell r="L514" t="str">
            <v>HKD</v>
          </cell>
          <cell r="M514">
            <v>18000</v>
          </cell>
          <cell r="N514">
            <v>1</v>
          </cell>
          <cell r="O514">
            <v>11</v>
          </cell>
          <cell r="P514">
            <v>48</v>
          </cell>
          <cell r="Q514">
            <v>4125</v>
          </cell>
        </row>
        <row r="515">
          <cell r="A515" t="str">
            <v>Refreshment</v>
          </cell>
          <cell r="B515">
            <v>2016</v>
          </cell>
          <cell r="C515" t="str">
            <v>Edmond</v>
          </cell>
          <cell r="D515" t="str">
            <v>TH</v>
          </cell>
          <cell r="E515">
            <v>0</v>
          </cell>
          <cell r="F515" t="str">
            <v>UPS Refreshment</v>
          </cell>
          <cell r="G515" t="str">
            <v>UPS for server (APC)</v>
          </cell>
          <cell r="H515" t="str">
            <v>TH</v>
          </cell>
          <cell r="I515">
            <v>0</v>
          </cell>
          <cell r="J515" t="str">
            <v>HKD</v>
          </cell>
          <cell r="K515">
            <v>13244</v>
          </cell>
          <cell r="L515" t="str">
            <v>HKD</v>
          </cell>
          <cell r="M515">
            <v>13244</v>
          </cell>
          <cell r="N515">
            <v>9</v>
          </cell>
          <cell r="O515">
            <v>3</v>
          </cell>
          <cell r="P515">
            <v>36</v>
          </cell>
          <cell r="Q515">
            <v>1103.6666666666667</v>
          </cell>
        </row>
        <row r="516">
          <cell r="A516" t="str">
            <v>Refreshment</v>
          </cell>
          <cell r="B516">
            <v>2014</v>
          </cell>
          <cell r="C516" t="str">
            <v>Infra</v>
          </cell>
          <cell r="D516" t="str">
            <v>HK-SRL</v>
          </cell>
          <cell r="E516">
            <v>0</v>
          </cell>
          <cell r="F516" t="str">
            <v>UPS replacement</v>
          </cell>
          <cell r="G516" t="str">
            <v>UPS (KLT)</v>
          </cell>
          <cell r="H516" t="str">
            <v>RL</v>
          </cell>
          <cell r="I516" t="str">
            <v>JOS</v>
          </cell>
          <cell r="J516" t="str">
            <v>HKD</v>
          </cell>
          <cell r="K516">
            <v>10000</v>
          </cell>
          <cell r="L516" t="str">
            <v>HKD</v>
          </cell>
          <cell r="M516">
            <v>10000</v>
          </cell>
          <cell r="N516">
            <v>1</v>
          </cell>
          <cell r="O516">
            <v>11</v>
          </cell>
          <cell r="P516">
            <v>48</v>
          </cell>
          <cell r="Q516">
            <v>2291.666666666667</v>
          </cell>
        </row>
        <row r="517">
          <cell r="A517" t="str">
            <v>Refreshment</v>
          </cell>
          <cell r="B517">
            <v>2015</v>
          </cell>
          <cell r="C517" t="str">
            <v>Infra</v>
          </cell>
          <cell r="D517" t="str">
            <v>HK-GPML</v>
          </cell>
          <cell r="E517">
            <v>0</v>
          </cell>
          <cell r="F517" t="str">
            <v>UPS replacement</v>
          </cell>
          <cell r="G517" t="str">
            <v>UPS (7/F EDP room)</v>
          </cell>
          <cell r="H517" t="str">
            <v>GPML</v>
          </cell>
          <cell r="I517" t="str">
            <v>JOS</v>
          </cell>
          <cell r="J517" t="str">
            <v>HKD</v>
          </cell>
          <cell r="K517">
            <v>10000</v>
          </cell>
          <cell r="L517" t="str">
            <v>HKD</v>
          </cell>
          <cell r="M517">
            <v>10000</v>
          </cell>
          <cell r="N517">
            <v>4</v>
          </cell>
          <cell r="O517">
            <v>8</v>
          </cell>
          <cell r="P517">
            <v>48</v>
          </cell>
          <cell r="Q517">
            <v>1666.6666666666667</v>
          </cell>
        </row>
        <row r="518">
          <cell r="A518" t="str">
            <v>Refreshment</v>
          </cell>
          <cell r="B518">
            <v>2015</v>
          </cell>
          <cell r="C518" t="str">
            <v>Infra</v>
          </cell>
          <cell r="D518" t="str">
            <v>HK-SHKL</v>
          </cell>
          <cell r="E518">
            <v>0</v>
          </cell>
          <cell r="F518" t="str">
            <v>UPS replacement</v>
          </cell>
          <cell r="G518" t="str">
            <v>UPS (TST)</v>
          </cell>
          <cell r="H518" t="str">
            <v>HKL</v>
          </cell>
          <cell r="I518" t="str">
            <v>JOS</v>
          </cell>
          <cell r="J518" t="str">
            <v>HKD</v>
          </cell>
          <cell r="K518">
            <v>10000</v>
          </cell>
          <cell r="L518" t="str">
            <v>HKD</v>
          </cell>
          <cell r="M518">
            <v>10000</v>
          </cell>
          <cell r="N518">
            <v>2</v>
          </cell>
          <cell r="O518">
            <v>10</v>
          </cell>
          <cell r="P518">
            <v>48</v>
          </cell>
          <cell r="Q518">
            <v>2083.3333333333335</v>
          </cell>
        </row>
        <row r="519">
          <cell r="A519" t="str">
            <v>Refreshment</v>
          </cell>
          <cell r="B519">
            <v>2015</v>
          </cell>
          <cell r="C519" t="str">
            <v>Infra</v>
          </cell>
          <cell r="D519" t="str">
            <v>HK-SHKL</v>
          </cell>
          <cell r="E519">
            <v>0</v>
          </cell>
          <cell r="F519" t="str">
            <v>UPS replacement</v>
          </cell>
          <cell r="G519" t="str">
            <v>UPS (2EX)</v>
          </cell>
          <cell r="H519" t="str">
            <v>HKL</v>
          </cell>
          <cell r="I519" t="str">
            <v>JOS</v>
          </cell>
          <cell r="J519" t="str">
            <v>HKD</v>
          </cell>
          <cell r="K519">
            <v>10000</v>
          </cell>
          <cell r="L519" t="str">
            <v>HKD</v>
          </cell>
          <cell r="M519">
            <v>10000</v>
          </cell>
          <cell r="N519">
            <v>2</v>
          </cell>
          <cell r="O519">
            <v>10</v>
          </cell>
          <cell r="P519">
            <v>48</v>
          </cell>
          <cell r="Q519">
            <v>2083.3333333333335</v>
          </cell>
        </row>
        <row r="520">
          <cell r="A520" t="str">
            <v>Refreshment</v>
          </cell>
          <cell r="B520">
            <v>2016</v>
          </cell>
          <cell r="C520" t="str">
            <v>Quen</v>
          </cell>
          <cell r="D520" t="str">
            <v>VN</v>
          </cell>
          <cell r="E520">
            <v>0</v>
          </cell>
          <cell r="F520" t="str">
            <v>UPS Replacment for PC</v>
          </cell>
          <cell r="G520" t="str">
            <v>Replace 40 UPSs (HCM: 20 pcs; HN: 20pcs)</v>
          </cell>
          <cell r="H520" t="str">
            <v>VN</v>
          </cell>
          <cell r="I520" t="str">
            <v>Santak</v>
          </cell>
          <cell r="J520" t="str">
            <v>VND</v>
          </cell>
          <cell r="K520">
            <v>40000000</v>
          </cell>
          <cell r="L520" t="str">
            <v>HKD</v>
          </cell>
          <cell r="M520">
            <v>16000</v>
          </cell>
          <cell r="N520">
            <v>3</v>
          </cell>
          <cell r="O520">
            <v>9</v>
          </cell>
          <cell r="P520">
            <v>36</v>
          </cell>
          <cell r="Q520">
            <v>4000</v>
          </cell>
        </row>
        <row r="521">
          <cell r="A521" t="str">
            <v>Refreshment</v>
          </cell>
          <cell r="B521">
            <v>2017</v>
          </cell>
          <cell r="C521" t="str">
            <v>Quen</v>
          </cell>
          <cell r="D521" t="str">
            <v>VN</v>
          </cell>
          <cell r="E521">
            <v>0</v>
          </cell>
          <cell r="F521" t="str">
            <v>UPS Replacment for PC</v>
          </cell>
          <cell r="G521" t="str">
            <v>Replace 60 UPSs (HCM: 40 pcs; HN: 20pcs)</v>
          </cell>
          <cell r="H521" t="str">
            <v>VN</v>
          </cell>
          <cell r="I521" t="str">
            <v>Santak</v>
          </cell>
          <cell r="J521" t="str">
            <v>VND</v>
          </cell>
          <cell r="K521">
            <v>60000000</v>
          </cell>
          <cell r="L521" t="str">
            <v>HKD</v>
          </cell>
          <cell r="M521">
            <v>24000</v>
          </cell>
          <cell r="N521">
            <v>3</v>
          </cell>
          <cell r="O521">
            <v>9</v>
          </cell>
          <cell r="P521">
            <v>36</v>
          </cell>
          <cell r="Q521">
            <v>6000</v>
          </cell>
        </row>
        <row r="522">
          <cell r="A522" t="str">
            <v>Refreshment</v>
          </cell>
          <cell r="B522">
            <v>2018</v>
          </cell>
          <cell r="C522" t="str">
            <v>Quen</v>
          </cell>
          <cell r="D522" t="str">
            <v>VN</v>
          </cell>
          <cell r="E522">
            <v>0</v>
          </cell>
          <cell r="F522" t="str">
            <v>UPS Replacment for PC</v>
          </cell>
          <cell r="G522" t="str">
            <v>Replace 60 UPSs (HCM: 30 pcs; HN: 30pcs)</v>
          </cell>
          <cell r="H522" t="str">
            <v>VN</v>
          </cell>
          <cell r="I522" t="str">
            <v>Santak</v>
          </cell>
          <cell r="J522" t="str">
            <v>VND</v>
          </cell>
          <cell r="K522">
            <v>60000000</v>
          </cell>
          <cell r="L522" t="str">
            <v>HKD</v>
          </cell>
          <cell r="M522">
            <v>24000</v>
          </cell>
          <cell r="N522">
            <v>3</v>
          </cell>
          <cell r="O522">
            <v>9</v>
          </cell>
          <cell r="P522">
            <v>36</v>
          </cell>
          <cell r="Q522">
            <v>6000</v>
          </cell>
        </row>
        <row r="523">
          <cell r="A523" t="str">
            <v>Refreshment</v>
          </cell>
          <cell r="B523">
            <v>2014</v>
          </cell>
          <cell r="C523" t="str">
            <v>Infra</v>
          </cell>
          <cell r="D523" t="str">
            <v>HK-GPML</v>
          </cell>
          <cell r="E523">
            <v>0</v>
          </cell>
          <cell r="F523" t="str">
            <v>User switch refreshment</v>
          </cell>
          <cell r="G523" t="str">
            <v>CP1 7/F HP ProCurve 2650 x 5 --&gt; HP ProCurve 2620-48</v>
          </cell>
          <cell r="H523" t="str">
            <v>GPML</v>
          </cell>
          <cell r="I523">
            <v>0</v>
          </cell>
          <cell r="J523" t="str">
            <v>HKD</v>
          </cell>
          <cell r="K523">
            <v>43000</v>
          </cell>
          <cell r="L523" t="str">
            <v>HKD</v>
          </cell>
          <cell r="M523">
            <v>43000</v>
          </cell>
          <cell r="N523">
            <v>1</v>
          </cell>
          <cell r="O523">
            <v>11</v>
          </cell>
          <cell r="P523">
            <v>60</v>
          </cell>
          <cell r="Q523">
            <v>7883.333333333333</v>
          </cell>
        </row>
        <row r="524">
          <cell r="A524" t="str">
            <v>Refreshment</v>
          </cell>
          <cell r="B524">
            <v>2014</v>
          </cell>
          <cell r="C524" t="str">
            <v>Infra</v>
          </cell>
          <cell r="D524" t="str">
            <v>HK-GPML</v>
          </cell>
          <cell r="E524">
            <v>0</v>
          </cell>
          <cell r="F524" t="str">
            <v>User switch refreshment</v>
          </cell>
          <cell r="G524" t="str">
            <v>CP1 7/F HP ProCurve 2626 x 2 --&gt; HP ProCurve 2620-24</v>
          </cell>
          <cell r="H524" t="str">
            <v>GPML</v>
          </cell>
          <cell r="I524">
            <v>0</v>
          </cell>
          <cell r="J524" t="str">
            <v>HKD</v>
          </cell>
          <cell r="K524">
            <v>10000</v>
          </cell>
          <cell r="L524" t="str">
            <v>HKD</v>
          </cell>
          <cell r="M524">
            <v>10000</v>
          </cell>
          <cell r="N524">
            <v>1</v>
          </cell>
          <cell r="O524">
            <v>11</v>
          </cell>
          <cell r="P524">
            <v>60</v>
          </cell>
          <cell r="Q524">
            <v>1833.3333333333333</v>
          </cell>
        </row>
        <row r="525">
          <cell r="A525" t="str">
            <v>Refreshment</v>
          </cell>
          <cell r="B525">
            <v>2014</v>
          </cell>
          <cell r="C525" t="str">
            <v>Infra</v>
          </cell>
          <cell r="D525" t="str">
            <v>HK-GPML</v>
          </cell>
          <cell r="E525">
            <v>0</v>
          </cell>
          <cell r="F525" t="str">
            <v>User switch refreshment</v>
          </cell>
          <cell r="G525" t="str">
            <v>CP1 7/F HP ProCurve 2626-PWR --&gt; HP ProCurve 2620-24-PoE</v>
          </cell>
          <cell r="H525" t="str">
            <v>GPML</v>
          </cell>
          <cell r="I525">
            <v>0</v>
          </cell>
          <cell r="J525" t="str">
            <v>HKD</v>
          </cell>
          <cell r="K525">
            <v>11000</v>
          </cell>
          <cell r="L525" t="str">
            <v>HKD</v>
          </cell>
          <cell r="M525">
            <v>11000</v>
          </cell>
          <cell r="N525">
            <v>1</v>
          </cell>
          <cell r="O525">
            <v>11</v>
          </cell>
          <cell r="P525">
            <v>60</v>
          </cell>
          <cell r="Q525">
            <v>2016.6666666666667</v>
          </cell>
        </row>
        <row r="526">
          <cell r="A526" t="str">
            <v>Refreshment</v>
          </cell>
          <cell r="B526">
            <v>2014</v>
          </cell>
          <cell r="C526" t="str">
            <v>Infra</v>
          </cell>
          <cell r="D526" t="str">
            <v>HK-GPML</v>
          </cell>
          <cell r="E526">
            <v>0</v>
          </cell>
          <cell r="F526" t="str">
            <v>User switch refreshment</v>
          </cell>
          <cell r="G526" t="str">
            <v>CP1 7/F HP ProCurve 2824 -&gt; HP ProCurve 2910al-24G</v>
          </cell>
          <cell r="H526" t="str">
            <v>GPML</v>
          </cell>
          <cell r="I526">
            <v>0</v>
          </cell>
          <cell r="J526" t="str">
            <v>HKD</v>
          </cell>
          <cell r="K526">
            <v>16500</v>
          </cell>
          <cell r="L526" t="str">
            <v>HKD</v>
          </cell>
          <cell r="M526">
            <v>16500</v>
          </cell>
          <cell r="N526">
            <v>7</v>
          </cell>
          <cell r="O526">
            <v>5</v>
          </cell>
          <cell r="P526">
            <v>60</v>
          </cell>
          <cell r="Q526">
            <v>1375</v>
          </cell>
        </row>
        <row r="527">
          <cell r="A527" t="str">
            <v>Refreshment</v>
          </cell>
          <cell r="B527">
            <v>2014</v>
          </cell>
          <cell r="C527" t="str">
            <v>Infra</v>
          </cell>
          <cell r="D527" t="str">
            <v>HK-SPML</v>
          </cell>
          <cell r="E527">
            <v>0</v>
          </cell>
          <cell r="F527" t="str">
            <v>User switch refreshment</v>
          </cell>
          <cell r="G527" t="str">
            <v>CP1 8/F HP ProCurve 2650 x 3 --&gt; HP ProCurve 2620-48</v>
          </cell>
          <cell r="H527" t="str">
            <v>SPML</v>
          </cell>
          <cell r="I527">
            <v>0</v>
          </cell>
          <cell r="J527" t="str">
            <v>HKD</v>
          </cell>
          <cell r="K527">
            <v>26000</v>
          </cell>
          <cell r="L527" t="str">
            <v>HKD</v>
          </cell>
          <cell r="M527">
            <v>26000</v>
          </cell>
          <cell r="N527">
            <v>1</v>
          </cell>
          <cell r="O527">
            <v>11</v>
          </cell>
          <cell r="P527">
            <v>60</v>
          </cell>
          <cell r="Q527">
            <v>4766.6666666666661</v>
          </cell>
        </row>
        <row r="528">
          <cell r="A528" t="str">
            <v>Refreshment</v>
          </cell>
          <cell r="B528">
            <v>2014</v>
          </cell>
          <cell r="C528" t="str">
            <v>Infra</v>
          </cell>
          <cell r="D528" t="str">
            <v>HK-SPML</v>
          </cell>
          <cell r="E528">
            <v>0</v>
          </cell>
          <cell r="F528" t="str">
            <v>User switch refreshment</v>
          </cell>
          <cell r="G528" t="str">
            <v>CP1 8/F HP ProCurve 2626 --&gt; HP ProCurve 2620-24</v>
          </cell>
          <cell r="H528" t="str">
            <v>SPML</v>
          </cell>
          <cell r="I528">
            <v>0</v>
          </cell>
          <cell r="J528" t="str">
            <v>HKD</v>
          </cell>
          <cell r="K528">
            <v>5000</v>
          </cell>
          <cell r="L528" t="str">
            <v>HKD</v>
          </cell>
          <cell r="M528">
            <v>5000</v>
          </cell>
          <cell r="N528">
            <v>1</v>
          </cell>
          <cell r="O528">
            <v>11</v>
          </cell>
          <cell r="P528">
            <v>60</v>
          </cell>
          <cell r="Q528">
            <v>916.66666666666663</v>
          </cell>
        </row>
        <row r="529">
          <cell r="A529" t="str">
            <v>Refreshment</v>
          </cell>
          <cell r="B529">
            <v>2014</v>
          </cell>
          <cell r="C529" t="str">
            <v>Infra</v>
          </cell>
          <cell r="D529" t="str">
            <v>HK-SPML</v>
          </cell>
          <cell r="E529">
            <v>0</v>
          </cell>
          <cell r="F529" t="str">
            <v>User switch refreshment</v>
          </cell>
          <cell r="G529" t="str">
            <v>CP1 8/F HP ProCurve 2824 -&gt; HP ProCurve 2910al-24G</v>
          </cell>
          <cell r="H529" t="str">
            <v>SPML</v>
          </cell>
          <cell r="I529">
            <v>0</v>
          </cell>
          <cell r="J529" t="str">
            <v>HKD</v>
          </cell>
          <cell r="K529">
            <v>16500</v>
          </cell>
          <cell r="L529" t="str">
            <v>HKD</v>
          </cell>
          <cell r="M529">
            <v>16500</v>
          </cell>
          <cell r="N529">
            <v>7</v>
          </cell>
          <cell r="O529">
            <v>5</v>
          </cell>
          <cell r="P529">
            <v>60</v>
          </cell>
          <cell r="Q529">
            <v>1375</v>
          </cell>
        </row>
        <row r="530">
          <cell r="A530" t="str">
            <v>Refreshment</v>
          </cell>
          <cell r="B530">
            <v>2014</v>
          </cell>
          <cell r="C530" t="str">
            <v>Infra</v>
          </cell>
          <cell r="D530" t="str">
            <v>HK-SHKL</v>
          </cell>
          <cell r="E530">
            <v>0</v>
          </cell>
          <cell r="F530" t="str">
            <v>User switch refreshment</v>
          </cell>
          <cell r="G530" t="str">
            <v>2EX 23/F HP ProCurve 2650 x 7 --&gt; HP ProCurve 2620-48</v>
          </cell>
          <cell r="H530" t="str">
            <v>HKL</v>
          </cell>
          <cell r="I530">
            <v>0</v>
          </cell>
          <cell r="J530" t="str">
            <v>HKD</v>
          </cell>
          <cell r="K530">
            <v>60000</v>
          </cell>
          <cell r="L530" t="str">
            <v>HKD</v>
          </cell>
          <cell r="M530">
            <v>60000</v>
          </cell>
          <cell r="N530">
            <v>1</v>
          </cell>
          <cell r="O530">
            <v>11</v>
          </cell>
          <cell r="P530">
            <v>60</v>
          </cell>
          <cell r="Q530">
            <v>11000</v>
          </cell>
        </row>
        <row r="531">
          <cell r="A531" t="str">
            <v>Refreshment</v>
          </cell>
          <cell r="B531">
            <v>2014</v>
          </cell>
          <cell r="C531" t="str">
            <v>Infra</v>
          </cell>
          <cell r="D531" t="str">
            <v>HK-SHKL</v>
          </cell>
          <cell r="E531">
            <v>0</v>
          </cell>
          <cell r="F531" t="str">
            <v>User switch refreshment</v>
          </cell>
          <cell r="G531" t="str">
            <v>KT HP ProCurve 2626 --&gt; HP ProCurve 2620-24 (Realty)</v>
          </cell>
          <cell r="H531" t="str">
            <v>HKL</v>
          </cell>
          <cell r="I531">
            <v>0</v>
          </cell>
          <cell r="J531" t="str">
            <v>HKD</v>
          </cell>
          <cell r="K531">
            <v>5000</v>
          </cell>
          <cell r="L531" t="str">
            <v>HKD</v>
          </cell>
          <cell r="M531">
            <v>5000</v>
          </cell>
          <cell r="N531">
            <v>1</v>
          </cell>
          <cell r="O531">
            <v>11</v>
          </cell>
          <cell r="P531">
            <v>60</v>
          </cell>
          <cell r="Q531">
            <v>916.66666666666663</v>
          </cell>
        </row>
        <row r="532">
          <cell r="A532" t="str">
            <v>Refreshment</v>
          </cell>
          <cell r="B532">
            <v>2014</v>
          </cell>
          <cell r="C532" t="str">
            <v>Infra</v>
          </cell>
          <cell r="D532" t="str">
            <v>HK-VPSL</v>
          </cell>
          <cell r="E532">
            <v>0</v>
          </cell>
          <cell r="F532" t="str">
            <v>User switch refreshment</v>
          </cell>
          <cell r="G532" t="str">
            <v>2EX 28/F HP ProCurve 2650-&gt;HP ProCurve 2620-48</v>
          </cell>
          <cell r="H532" t="str">
            <v>VPSL</v>
          </cell>
          <cell r="I532">
            <v>0</v>
          </cell>
          <cell r="J532" t="str">
            <v>HKD</v>
          </cell>
          <cell r="K532">
            <v>9000</v>
          </cell>
          <cell r="L532" t="str">
            <v>HKD</v>
          </cell>
          <cell r="M532">
            <v>9000</v>
          </cell>
          <cell r="N532">
            <v>1</v>
          </cell>
          <cell r="O532">
            <v>11</v>
          </cell>
          <cell r="P532">
            <v>60</v>
          </cell>
          <cell r="Q532">
            <v>1650</v>
          </cell>
        </row>
        <row r="533">
          <cell r="A533" t="str">
            <v>Refreshment</v>
          </cell>
          <cell r="B533">
            <v>2016</v>
          </cell>
          <cell r="C533" t="str">
            <v>Infra</v>
          </cell>
          <cell r="D533" t="str">
            <v>HK-SHKL</v>
          </cell>
          <cell r="E533">
            <v>0</v>
          </cell>
          <cell r="F533" t="str">
            <v>User switch refreshment</v>
          </cell>
          <cell r="G533" t="str">
            <v>Switch Replacement</v>
          </cell>
          <cell r="H533" t="str">
            <v>HKL</v>
          </cell>
          <cell r="I533">
            <v>0</v>
          </cell>
          <cell r="J533" t="str">
            <v>HKD</v>
          </cell>
          <cell r="K533">
            <v>11000</v>
          </cell>
          <cell r="L533" t="str">
            <v>HKD</v>
          </cell>
          <cell r="M533">
            <v>11000</v>
          </cell>
          <cell r="N533">
            <v>1</v>
          </cell>
          <cell r="O533">
            <v>11</v>
          </cell>
          <cell r="P533">
            <v>60</v>
          </cell>
          <cell r="Q533">
            <v>2016.6666666666667</v>
          </cell>
        </row>
        <row r="534">
          <cell r="A534" t="str">
            <v>Refreshment</v>
          </cell>
          <cell r="B534">
            <v>2016</v>
          </cell>
          <cell r="C534" t="str">
            <v>Infra</v>
          </cell>
          <cell r="D534" t="str">
            <v>HK-SRL</v>
          </cell>
          <cell r="E534">
            <v>0</v>
          </cell>
          <cell r="F534" t="str">
            <v>User switch refreshment</v>
          </cell>
          <cell r="G534" t="str">
            <v>Switch Replacement</v>
          </cell>
          <cell r="H534" t="str">
            <v>RL</v>
          </cell>
          <cell r="I534">
            <v>0</v>
          </cell>
          <cell r="J534" t="str">
            <v>HKD</v>
          </cell>
          <cell r="K534">
            <v>11000</v>
          </cell>
          <cell r="L534" t="str">
            <v>HKD</v>
          </cell>
          <cell r="M534">
            <v>11000</v>
          </cell>
          <cell r="N534">
            <v>6</v>
          </cell>
          <cell r="O534">
            <v>6</v>
          </cell>
          <cell r="P534">
            <v>60</v>
          </cell>
          <cell r="Q534">
            <v>1100</v>
          </cell>
        </row>
        <row r="535">
          <cell r="A535" t="str">
            <v>Refreshment</v>
          </cell>
          <cell r="B535">
            <v>2016</v>
          </cell>
          <cell r="C535" t="str">
            <v>Infra</v>
          </cell>
          <cell r="D535" t="str">
            <v>HK-VPSL</v>
          </cell>
          <cell r="E535">
            <v>0</v>
          </cell>
          <cell r="F535" t="str">
            <v>User switch refreshment</v>
          </cell>
          <cell r="G535" t="str">
            <v>Switch Replacement</v>
          </cell>
          <cell r="H535" t="str">
            <v>VPSL</v>
          </cell>
          <cell r="I535">
            <v>0</v>
          </cell>
          <cell r="J535" t="str">
            <v>HKD</v>
          </cell>
          <cell r="K535">
            <v>21000</v>
          </cell>
          <cell r="L535" t="str">
            <v>HKD</v>
          </cell>
          <cell r="M535">
            <v>21000</v>
          </cell>
          <cell r="N535">
            <v>9</v>
          </cell>
          <cell r="O535">
            <v>3</v>
          </cell>
          <cell r="P535">
            <v>60</v>
          </cell>
          <cell r="Q535">
            <v>1050</v>
          </cell>
        </row>
        <row r="536">
          <cell r="A536" t="str">
            <v>Proposed Project</v>
          </cell>
          <cell r="B536">
            <v>2015</v>
          </cell>
          <cell r="C536" t="str">
            <v>Jess</v>
          </cell>
          <cell r="D536" t="str">
            <v>SG</v>
          </cell>
          <cell r="E536">
            <v>0</v>
          </cell>
          <cell r="F536" t="str">
            <v>Valuation System</v>
          </cell>
          <cell r="G536" t="str">
            <v>New Valuation System</v>
          </cell>
          <cell r="H536" t="str">
            <v>SG</v>
          </cell>
          <cell r="I536" t="str">
            <v>AES E-Business Solutions Pte Ltd</v>
          </cell>
          <cell r="J536" t="str">
            <v>SGD</v>
          </cell>
          <cell r="K536">
            <v>69000</v>
          </cell>
          <cell r="L536" t="str">
            <v>HKD</v>
          </cell>
          <cell r="M536">
            <v>390160.5</v>
          </cell>
          <cell r="N536">
            <v>2</v>
          </cell>
          <cell r="O536">
            <v>10</v>
          </cell>
          <cell r="P536">
            <v>60</v>
          </cell>
          <cell r="Q536">
            <v>65026.75</v>
          </cell>
        </row>
        <row r="537">
          <cell r="A537" t="str">
            <v>Proposed Project</v>
          </cell>
          <cell r="B537">
            <v>2015</v>
          </cell>
          <cell r="C537" t="str">
            <v>Jess</v>
          </cell>
          <cell r="D537" t="str">
            <v>SG</v>
          </cell>
          <cell r="E537">
            <v>0</v>
          </cell>
          <cell r="F537" t="str">
            <v>Valuation System</v>
          </cell>
          <cell r="G537" t="str">
            <v>New host server with SQL Core Lic</v>
          </cell>
          <cell r="H537" t="str">
            <v>SG</v>
          </cell>
          <cell r="I537" t="str">
            <v>HP</v>
          </cell>
          <cell r="J537" t="str">
            <v>SGD</v>
          </cell>
          <cell r="K537">
            <v>23000</v>
          </cell>
          <cell r="L537" t="str">
            <v>HKD</v>
          </cell>
          <cell r="M537">
            <v>130053.49999999999</v>
          </cell>
          <cell r="N537">
            <v>2</v>
          </cell>
          <cell r="O537">
            <v>10</v>
          </cell>
          <cell r="P537">
            <v>36</v>
          </cell>
          <cell r="Q537">
            <v>36125.972222222219</v>
          </cell>
        </row>
        <row r="538">
          <cell r="A538" t="str">
            <v>Expansion</v>
          </cell>
          <cell r="B538">
            <v>2014</v>
          </cell>
          <cell r="C538" t="str">
            <v>Infra</v>
          </cell>
          <cell r="D538" t="str">
            <v>HK-MSL</v>
          </cell>
          <cell r="E538">
            <v>0</v>
          </cell>
          <cell r="F538" t="str">
            <v>VC external enhancement</v>
          </cell>
          <cell r="G538" t="str">
            <v>Polycom VBP on RMX Unit</v>
          </cell>
          <cell r="H538" t="str">
            <v>AP Region</v>
          </cell>
          <cell r="I538">
            <v>0</v>
          </cell>
          <cell r="J538" t="str">
            <v>HKD</v>
          </cell>
          <cell r="K538">
            <v>100000</v>
          </cell>
          <cell r="L538" t="str">
            <v>HKD</v>
          </cell>
          <cell r="M538">
            <v>100000</v>
          </cell>
          <cell r="N538">
            <v>9</v>
          </cell>
          <cell r="O538">
            <v>3</v>
          </cell>
          <cell r="P538">
            <v>48</v>
          </cell>
          <cell r="Q538">
            <v>6250</v>
          </cell>
        </row>
        <row r="539">
          <cell r="A539" t="str">
            <v>Expansion</v>
          </cell>
          <cell r="B539">
            <v>2014</v>
          </cell>
          <cell r="C539" t="str">
            <v>Infra</v>
          </cell>
          <cell r="D539" t="str">
            <v>HK-MSL</v>
          </cell>
          <cell r="E539">
            <v>0</v>
          </cell>
          <cell r="F539" t="str">
            <v>VC feature enhancement</v>
          </cell>
          <cell r="G539" t="str">
            <v>VC Expansion Options</v>
          </cell>
          <cell r="H539" t="str">
            <v>HK All</v>
          </cell>
          <cell r="I539">
            <v>0</v>
          </cell>
          <cell r="J539" t="str">
            <v>HKD</v>
          </cell>
          <cell r="K539">
            <v>40000</v>
          </cell>
          <cell r="L539" t="str">
            <v>HKD</v>
          </cell>
          <cell r="M539">
            <v>40000</v>
          </cell>
          <cell r="N539">
            <v>8</v>
          </cell>
          <cell r="O539">
            <v>4</v>
          </cell>
          <cell r="P539">
            <v>48</v>
          </cell>
          <cell r="Q539">
            <v>3333.3333333333335</v>
          </cell>
        </row>
        <row r="540">
          <cell r="A540" t="str">
            <v>Expansion</v>
          </cell>
          <cell r="B540">
            <v>2014</v>
          </cell>
          <cell r="C540" t="str">
            <v>Infra</v>
          </cell>
          <cell r="D540" t="str">
            <v>HK-MSL</v>
          </cell>
          <cell r="E540">
            <v>0</v>
          </cell>
          <cell r="F540" t="str">
            <v>VC management enhancement</v>
          </cell>
          <cell r="G540" t="str">
            <v>Polycom CMA on RMX Unit</v>
          </cell>
          <cell r="H540" t="str">
            <v>AP Region</v>
          </cell>
          <cell r="I540">
            <v>0</v>
          </cell>
          <cell r="J540" t="str">
            <v>HKD</v>
          </cell>
          <cell r="K540">
            <v>200000</v>
          </cell>
          <cell r="L540" t="str">
            <v>HKD</v>
          </cell>
          <cell r="M540">
            <v>200000</v>
          </cell>
          <cell r="N540">
            <v>9</v>
          </cell>
          <cell r="O540">
            <v>3</v>
          </cell>
          <cell r="P540">
            <v>48</v>
          </cell>
          <cell r="Q540">
            <v>12500</v>
          </cell>
        </row>
        <row r="541">
          <cell r="A541" t="str">
            <v>New Project</v>
          </cell>
          <cell r="B541">
            <v>2014</v>
          </cell>
          <cell r="C541" t="str">
            <v>Kim</v>
          </cell>
          <cell r="D541" t="str">
            <v>KR</v>
          </cell>
          <cell r="E541">
            <v>0</v>
          </cell>
          <cell r="F541" t="str">
            <v>Video Conference</v>
          </cell>
          <cell r="G541" t="str">
            <v>Video Conference</v>
          </cell>
          <cell r="H541" t="str">
            <v>KR</v>
          </cell>
          <cell r="I541" t="str">
            <v>Polycom</v>
          </cell>
          <cell r="J541" t="str">
            <v>WON</v>
          </cell>
          <cell r="K541">
            <v>21000000</v>
          </cell>
          <cell r="L541" t="str">
            <v>HKD</v>
          </cell>
          <cell r="M541">
            <v>140700</v>
          </cell>
          <cell r="N541">
            <v>10</v>
          </cell>
          <cell r="O541">
            <v>2</v>
          </cell>
          <cell r="P541">
            <v>48</v>
          </cell>
          <cell r="Q541">
            <v>5862.5</v>
          </cell>
        </row>
        <row r="542">
          <cell r="A542" t="str">
            <v>New Project</v>
          </cell>
          <cell r="B542">
            <v>2016</v>
          </cell>
          <cell r="C542" t="str">
            <v>Allen</v>
          </cell>
          <cell r="D542" t="str">
            <v>HK-SHKL</v>
          </cell>
          <cell r="E542">
            <v>0</v>
          </cell>
          <cell r="F542" t="str">
            <v>WeChat Interface</v>
          </cell>
          <cell r="G542" t="str">
            <v>To send message/doc direct to Wechat contact(s)</v>
          </cell>
          <cell r="H542" t="str">
            <v>HKL</v>
          </cell>
          <cell r="I542">
            <v>0</v>
          </cell>
          <cell r="J542" t="str">
            <v>HKD</v>
          </cell>
          <cell r="K542">
            <v>200000</v>
          </cell>
          <cell r="L542" t="str">
            <v>HKD</v>
          </cell>
          <cell r="M542">
            <v>200000</v>
          </cell>
          <cell r="N542">
            <v>1</v>
          </cell>
          <cell r="O542">
            <v>11</v>
          </cell>
          <cell r="P542">
            <v>36</v>
          </cell>
          <cell r="Q542">
            <v>61111.111111111109</v>
          </cell>
        </row>
        <row r="543">
          <cell r="A543" t="str">
            <v>Refreshment</v>
          </cell>
          <cell r="B543">
            <v>2015</v>
          </cell>
          <cell r="C543" t="str">
            <v>Infra</v>
          </cell>
          <cell r="D543" t="str">
            <v>HK-MSL</v>
          </cell>
          <cell r="E543">
            <v>0</v>
          </cell>
          <cell r="F543" t="str">
            <v>Wifi devices refreshment</v>
          </cell>
          <cell r="G543" t="str">
            <v>HK Main Office WiFi Refreshment</v>
          </cell>
          <cell r="H543" t="str">
            <v>HK All</v>
          </cell>
          <cell r="I543">
            <v>0</v>
          </cell>
          <cell r="J543" t="str">
            <v>HKD</v>
          </cell>
          <cell r="K543">
            <v>500000</v>
          </cell>
          <cell r="L543" t="str">
            <v>HKD</v>
          </cell>
          <cell r="M543">
            <v>500000</v>
          </cell>
          <cell r="N543">
            <v>1</v>
          </cell>
          <cell r="O543">
            <v>11</v>
          </cell>
          <cell r="P543">
            <v>48</v>
          </cell>
          <cell r="Q543">
            <v>114583.33333333333</v>
          </cell>
        </row>
        <row r="544">
          <cell r="A544" t="str">
            <v>New Project</v>
          </cell>
          <cell r="B544">
            <v>2015</v>
          </cell>
          <cell r="C544" t="str">
            <v>Hiroshi</v>
          </cell>
          <cell r="D544" t="str">
            <v>JP</v>
          </cell>
          <cell r="E544">
            <v>0</v>
          </cell>
          <cell r="F544" t="str">
            <v>YARDI</v>
          </cell>
          <cell r="G544" t="str">
            <v>MRI Upgrade or Replacement</v>
          </cell>
          <cell r="H544" t="str">
            <v>JP</v>
          </cell>
          <cell r="I544" t="str">
            <v>YARDI</v>
          </cell>
          <cell r="J544" t="str">
            <v>JPY</v>
          </cell>
          <cell r="K544">
            <v>15174086.756443579</v>
          </cell>
          <cell r="L544" t="str">
            <v>HKD</v>
          </cell>
          <cell r="M544">
            <v>949897.8309533681</v>
          </cell>
          <cell r="N544">
            <v>1</v>
          </cell>
          <cell r="O544">
            <v>11</v>
          </cell>
          <cell r="P544">
            <v>36</v>
          </cell>
          <cell r="Q544">
            <v>290246.55945797358</v>
          </cell>
        </row>
        <row r="545">
          <cell r="A545" t="str">
            <v>New Project</v>
          </cell>
          <cell r="B545">
            <v>2015</v>
          </cell>
          <cell r="C545" t="str">
            <v>Kim</v>
          </cell>
          <cell r="D545" t="str">
            <v>KR</v>
          </cell>
          <cell r="E545">
            <v>0</v>
          </cell>
          <cell r="F545" t="str">
            <v>YARDI / MRI</v>
          </cell>
          <cell r="G545" t="str">
            <v>MRI Upgrade or Replacement</v>
          </cell>
          <cell r="H545" t="str">
            <v>KR</v>
          </cell>
          <cell r="I545" t="str">
            <v>YARDI</v>
          </cell>
          <cell r="J545" t="str">
            <v>USD</v>
          </cell>
          <cell r="K545">
            <v>30000</v>
          </cell>
          <cell r="L545" t="str">
            <v>HKD</v>
          </cell>
          <cell r="M545">
            <v>232614</v>
          </cell>
          <cell r="N545">
            <v>1</v>
          </cell>
          <cell r="O545">
            <v>11</v>
          </cell>
          <cell r="P545">
            <v>48</v>
          </cell>
          <cell r="Q545">
            <v>53307.375</v>
          </cell>
        </row>
        <row r="546">
          <cell r="A546" t="str">
            <v>Refreshment</v>
          </cell>
          <cell r="B546">
            <v>2015</v>
          </cell>
          <cell r="C546" t="str">
            <v>Edmond</v>
          </cell>
          <cell r="D546" t="str">
            <v>TH</v>
          </cell>
          <cell r="E546">
            <v>0</v>
          </cell>
          <cell r="F546" t="str">
            <v>Presentation Tool</v>
          </cell>
          <cell r="G546" t="str">
            <v>Projector replacement (2)</v>
          </cell>
          <cell r="H546" t="str">
            <v>TH</v>
          </cell>
          <cell r="I546">
            <v>0</v>
          </cell>
          <cell r="J546" t="str">
            <v>HKD</v>
          </cell>
          <cell r="K546">
            <v>12473</v>
          </cell>
          <cell r="L546" t="str">
            <v>HKD</v>
          </cell>
          <cell r="M546">
            <v>12473</v>
          </cell>
          <cell r="N546">
            <v>3</v>
          </cell>
          <cell r="O546">
            <v>9</v>
          </cell>
          <cell r="P546">
            <v>48</v>
          </cell>
          <cell r="Q546">
            <v>2338.6875</v>
          </cell>
        </row>
        <row r="547">
          <cell r="A547" t="str">
            <v>Refreshment</v>
          </cell>
          <cell r="B547">
            <v>2018</v>
          </cell>
          <cell r="C547" t="str">
            <v>Infra</v>
          </cell>
          <cell r="D547" t="str">
            <v>HK-MSL</v>
          </cell>
          <cell r="E547">
            <v>0</v>
          </cell>
          <cell r="F547" t="str">
            <v>Server replacement</v>
          </cell>
          <cell r="G547" t="str">
            <v>HR Server (HKHR2)</v>
          </cell>
          <cell r="H547" t="str">
            <v>GPML</v>
          </cell>
          <cell r="I547">
            <v>0</v>
          </cell>
          <cell r="J547" t="str">
            <v>HKD</v>
          </cell>
          <cell r="K547">
            <v>62500</v>
          </cell>
          <cell r="L547" t="str">
            <v>HKD</v>
          </cell>
          <cell r="M547">
            <v>62500</v>
          </cell>
          <cell r="N547">
            <v>10</v>
          </cell>
          <cell r="O547">
            <v>2</v>
          </cell>
          <cell r="P547">
            <v>48</v>
          </cell>
          <cell r="Q547">
            <v>2604.1666666666665</v>
          </cell>
        </row>
        <row r="548">
          <cell r="A548" t="str">
            <v>Proposed Project</v>
          </cell>
          <cell r="B548">
            <v>2016</v>
          </cell>
          <cell r="C548" t="str">
            <v>Jess</v>
          </cell>
          <cell r="D548" t="str">
            <v>SG</v>
          </cell>
          <cell r="E548">
            <v>0</v>
          </cell>
          <cell r="F548" t="str">
            <v>Avaya phone</v>
          </cell>
          <cell r="G548" t="str">
            <v>1 unit of Avaya IP phone in boardroom with SG local line</v>
          </cell>
          <cell r="H548" t="str">
            <v>Indonesia</v>
          </cell>
          <cell r="I548">
            <v>0</v>
          </cell>
          <cell r="J548" t="str">
            <v>SGD</v>
          </cell>
          <cell r="K548">
            <v>250</v>
          </cell>
          <cell r="L548" t="str">
            <v>HKD</v>
          </cell>
          <cell r="M548">
            <v>1413.625</v>
          </cell>
          <cell r="N548">
            <v>4</v>
          </cell>
          <cell r="O548">
            <v>8</v>
          </cell>
          <cell r="P548">
            <v>48</v>
          </cell>
          <cell r="Q548">
            <v>235.60416666666666</v>
          </cell>
        </row>
        <row r="549">
          <cell r="A549" t="str">
            <v>Proposed Project</v>
          </cell>
          <cell r="B549">
            <v>2016</v>
          </cell>
          <cell r="C549" t="str">
            <v>Jess</v>
          </cell>
          <cell r="D549" t="str">
            <v>SG</v>
          </cell>
          <cell r="E549">
            <v>0</v>
          </cell>
          <cell r="F549" t="str">
            <v>Server Replacement</v>
          </cell>
          <cell r="G549" t="str">
            <v>File server / DC</v>
          </cell>
          <cell r="H549" t="str">
            <v>Indonesia</v>
          </cell>
          <cell r="I549" t="str">
            <v>HP</v>
          </cell>
          <cell r="J549" t="str">
            <v>SGD</v>
          </cell>
          <cell r="K549">
            <v>12400</v>
          </cell>
          <cell r="L549" t="str">
            <v>HKD</v>
          </cell>
          <cell r="M549">
            <v>70115.799999999988</v>
          </cell>
          <cell r="N549">
            <v>4</v>
          </cell>
          <cell r="O549">
            <v>8</v>
          </cell>
          <cell r="P549">
            <v>48</v>
          </cell>
          <cell r="Q549">
            <v>11685.966666666665</v>
          </cell>
        </row>
        <row r="550">
          <cell r="A550" t="str">
            <v>Proposed Project</v>
          </cell>
          <cell r="B550">
            <v>2016</v>
          </cell>
          <cell r="C550" t="str">
            <v>Jess</v>
          </cell>
          <cell r="D550" t="str">
            <v>SG</v>
          </cell>
          <cell r="E550">
            <v>0</v>
          </cell>
          <cell r="F550" t="str">
            <v>Server Replacement</v>
          </cell>
          <cell r="G550" t="str">
            <v>Print/DPM/TMG/MAN &amp; 2nd DC</v>
          </cell>
          <cell r="H550" t="str">
            <v>Indonesia</v>
          </cell>
          <cell r="I550" t="str">
            <v>HP</v>
          </cell>
          <cell r="J550" t="str">
            <v>SGD</v>
          </cell>
          <cell r="K550">
            <v>12200</v>
          </cell>
          <cell r="L550" t="str">
            <v>HKD</v>
          </cell>
          <cell r="M550">
            <v>68984.899999999994</v>
          </cell>
          <cell r="N550">
            <v>4</v>
          </cell>
          <cell r="O550">
            <v>8</v>
          </cell>
          <cell r="P550">
            <v>48</v>
          </cell>
          <cell r="Q550">
            <v>11497.483333333332</v>
          </cell>
        </row>
        <row r="551">
          <cell r="A551" t="str">
            <v>Proposed Project</v>
          </cell>
          <cell r="B551">
            <v>2016</v>
          </cell>
          <cell r="C551" t="str">
            <v>Jess</v>
          </cell>
          <cell r="D551" t="str">
            <v>SG</v>
          </cell>
          <cell r="E551">
            <v>0</v>
          </cell>
          <cell r="F551" t="str">
            <v>Backup</v>
          </cell>
          <cell r="G551" t="str">
            <v>1 unit of HP LTO5 Ultrium 3000 External Tape Drive</v>
          </cell>
          <cell r="H551" t="str">
            <v>Indonesia</v>
          </cell>
          <cell r="I551" t="str">
            <v>HP</v>
          </cell>
          <cell r="J551" t="str">
            <v>SGD</v>
          </cell>
          <cell r="K551">
            <v>7818</v>
          </cell>
          <cell r="L551" t="str">
            <v>HKD</v>
          </cell>
          <cell r="M551">
            <v>44206.880999999994</v>
          </cell>
          <cell r="N551">
            <v>4</v>
          </cell>
          <cell r="O551">
            <v>8</v>
          </cell>
          <cell r="P551">
            <v>48</v>
          </cell>
          <cell r="Q551">
            <v>7367.8134999999993</v>
          </cell>
        </row>
        <row r="552">
          <cell r="A552" t="str">
            <v>Proposed Project</v>
          </cell>
          <cell r="B552">
            <v>2016</v>
          </cell>
          <cell r="C552" t="str">
            <v>Jess</v>
          </cell>
          <cell r="D552" t="str">
            <v>SG</v>
          </cell>
          <cell r="E552">
            <v>0</v>
          </cell>
          <cell r="F552" t="str">
            <v>UPS</v>
          </cell>
          <cell r="G552" t="str">
            <v>1 unit of HP RT3000 UPS</v>
          </cell>
          <cell r="H552" t="str">
            <v>Indonesia</v>
          </cell>
          <cell r="I552" t="str">
            <v>HP</v>
          </cell>
          <cell r="J552" t="str">
            <v>SGD</v>
          </cell>
          <cell r="K552">
            <v>1881</v>
          </cell>
          <cell r="L552" t="str">
            <v>HKD</v>
          </cell>
          <cell r="M552">
            <v>10636.1145</v>
          </cell>
          <cell r="N552">
            <v>4</v>
          </cell>
          <cell r="O552">
            <v>8</v>
          </cell>
          <cell r="P552">
            <v>48</v>
          </cell>
          <cell r="Q552">
            <v>1772.6857499999999</v>
          </cell>
        </row>
        <row r="553">
          <cell r="A553" t="str">
            <v>Proposed Project</v>
          </cell>
          <cell r="B553">
            <v>2016</v>
          </cell>
          <cell r="C553" t="str">
            <v>Jess</v>
          </cell>
          <cell r="D553" t="str">
            <v>SG</v>
          </cell>
          <cell r="E553">
            <v>0</v>
          </cell>
          <cell r="F553" t="str">
            <v>Switch</v>
          </cell>
          <cell r="G553" t="str">
            <v>1 unit of HP 2920-24G Core Switch for Servers</v>
          </cell>
          <cell r="H553" t="str">
            <v>Indonesia</v>
          </cell>
          <cell r="I553" t="str">
            <v>HP</v>
          </cell>
          <cell r="J553" t="str">
            <v>SGD</v>
          </cell>
          <cell r="K553">
            <v>2470</v>
          </cell>
          <cell r="L553" t="str">
            <v>HKD</v>
          </cell>
          <cell r="M553">
            <v>13966.615</v>
          </cell>
          <cell r="N553">
            <v>4</v>
          </cell>
          <cell r="O553">
            <v>8</v>
          </cell>
          <cell r="P553">
            <v>48</v>
          </cell>
          <cell r="Q553">
            <v>2327.7691666666665</v>
          </cell>
        </row>
        <row r="554">
          <cell r="A554" t="str">
            <v>Proposed Project</v>
          </cell>
          <cell r="B554">
            <v>2016</v>
          </cell>
          <cell r="C554" t="str">
            <v>Jess</v>
          </cell>
          <cell r="D554" t="str">
            <v>SG</v>
          </cell>
          <cell r="E554">
            <v>0</v>
          </cell>
          <cell r="F554" t="str">
            <v>Firewall</v>
          </cell>
          <cell r="G554" t="str">
            <v>1 unit of Sonicwall NSA 220</v>
          </cell>
          <cell r="H554" t="str">
            <v>Indonesia</v>
          </cell>
          <cell r="I554" t="str">
            <v>Dell</v>
          </cell>
          <cell r="J554" t="str">
            <v>SGD</v>
          </cell>
          <cell r="K554">
            <v>3664</v>
          </cell>
          <cell r="L554" t="str">
            <v>HKD</v>
          </cell>
          <cell r="M554">
            <v>20718.088</v>
          </cell>
          <cell r="N554">
            <v>4</v>
          </cell>
          <cell r="O554">
            <v>8</v>
          </cell>
          <cell r="P554">
            <v>48</v>
          </cell>
          <cell r="Q554">
            <v>3453.0146666666665</v>
          </cell>
        </row>
        <row r="555">
          <cell r="A555" t="str">
            <v>Proposed Project</v>
          </cell>
          <cell r="B555">
            <v>2016</v>
          </cell>
          <cell r="C555" t="str">
            <v>Jess</v>
          </cell>
          <cell r="D555" t="str">
            <v>SG</v>
          </cell>
          <cell r="E555">
            <v>0</v>
          </cell>
          <cell r="F555" t="str">
            <v>Firewall</v>
          </cell>
          <cell r="G555" t="str">
            <v>1 unit of Sonicpoint-Ni with PoE Injector for Wifi</v>
          </cell>
          <cell r="H555" t="str">
            <v>Indonesia</v>
          </cell>
          <cell r="I555" t="str">
            <v>Dell</v>
          </cell>
          <cell r="J555" t="str">
            <v>SGD</v>
          </cell>
          <cell r="K555">
            <v>632</v>
          </cell>
          <cell r="L555" t="str">
            <v>HKD</v>
          </cell>
          <cell r="M555">
            <v>3573.6439999999998</v>
          </cell>
          <cell r="N555">
            <v>4</v>
          </cell>
          <cell r="O555">
            <v>8</v>
          </cell>
          <cell r="P555">
            <v>48</v>
          </cell>
          <cell r="Q555">
            <v>595.60733333333326</v>
          </cell>
        </row>
      </sheetData>
      <sheetData sheetId="1"/>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견적"/>
      <sheetName val="견적서"/>
      <sheetName val="견적내역"/>
      <sheetName val="산출기준"/>
      <sheetName val="인건"/>
      <sheetName val="근무"/>
      <sheetName val="목록"/>
      <sheetName val="중기"/>
      <sheetName val="붙임2-1  지급조서명세서(2001년분)"/>
      <sheetName val="인원계획-미화"/>
      <sheetName val="회사정보"/>
      <sheetName val="賃料等一覧"/>
      <sheetName val="상가매매0115"/>
      <sheetName val="상가임대0115"/>
      <sheetName val="재무가정"/>
      <sheetName val="1ST"/>
      <sheetName val="Template"/>
      <sheetName val="업무용유지비실적"/>
      <sheetName val="붙임2-1__지급조서명세서(2001년분)"/>
      <sheetName val="한국중공업시설"/>
      <sheetName val="익월작업계힉"/>
      <sheetName val="Sheet1 (2)"/>
      <sheetName val="10월 급여"/>
      <sheetName val="주요가정"/>
      <sheetName val="민감도"/>
      <sheetName val="Frame"/>
      <sheetName val="평당가_매매_유형별"/>
      <sheetName val="OPREV(대한)"/>
      <sheetName val="빌딩코드"/>
      <sheetName val="건재양식"/>
      <sheetName val="MTO REV.0"/>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근무"/>
      <sheetName val="견적"/>
      <sheetName val="견적서"/>
      <sheetName val="견적내역"/>
      <sheetName val="산출기준"/>
      <sheetName val="인건"/>
      <sheetName val="소모품"/>
      <sheetName val="인원계획-미화"/>
      <sheetName val="Data(인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견적"/>
      <sheetName val="견적서"/>
      <sheetName val="견적내역"/>
      <sheetName val="산출기준"/>
      <sheetName val="인건"/>
      <sheetName val="근무"/>
      <sheetName val="갑지"/>
      <sheetName val="기본가정 및 요약"/>
      <sheetName val="2005년 예산"/>
      <sheetName val="연간수입추정(요약)"/>
      <sheetName val="수입 추정(임대료)"/>
      <sheetName val="수입 추정(관리비)"/>
      <sheetName val="수입 추정(보증금)"/>
      <sheetName val="월별 Rentroll"/>
      <sheetName val="2004년 실제 수입"/>
      <sheetName val="자본적 지출"/>
      <sheetName val="차액보증"/>
      <sheetName val="I. Assumptions"/>
      <sheetName val="실행대비"/>
      <sheetName val="10월"/>
      <sheetName val="Sheet5"/>
      <sheetName val="15.Op. Activities"/>
      <sheetName val="Situation"/>
      <sheetName val="SLIDES"/>
      <sheetName val="#REF"/>
      <sheetName val="0101시산표"/>
      <sheetName val="oct"/>
      <sheetName val="sep"/>
      <sheetName val="미지급금"/>
      <sheetName val="선급금"/>
      <sheetName val="선수금"/>
      <sheetName val="aug"/>
      <sheetName val="단기차입금"/>
      <sheetName val="외화보통예금"/>
      <sheetName val="외회외상매입금"/>
      <sheetName val="외화외상매출금"/>
      <sheetName val="장기차입금"/>
      <sheetName val="Cash Flow"/>
      <sheetName val="Source"/>
      <sheetName val="인원계획-미화"/>
      <sheetName val="Intro2"/>
      <sheetName val="Id"/>
      <sheetName val="Lookup"/>
      <sheetName val="기준시가"/>
      <sheetName val="기본가정_및_요약"/>
      <sheetName val="2005년_예산"/>
      <sheetName val="수입_추정(임대료)"/>
      <sheetName val="수입_추정(관리비)"/>
      <sheetName val="수입_추정(보증금)"/>
      <sheetName val="월별_Rentroll"/>
      <sheetName val="2004년_실제_수입"/>
      <sheetName val="자본적_지출"/>
      <sheetName val="I__Assumptions"/>
      <sheetName val="Cash_Flow"/>
      <sheetName val="15_Op__Activities"/>
      <sheetName val="직접비"/>
      <sheetName val="Sheet1 (2)"/>
      <sheetName val="삼성전기"/>
      <sheetName val="지급어음(일별)"/>
      <sheetName val="한국중공업시설"/>
      <sheetName val="PROJECT BRIEF(EX.NEW)"/>
      <sheetName val="0.0ControlSheet"/>
      <sheetName val="Ext. Stone-P"/>
      <sheetName val="Balance"/>
      <sheetName val="P &amp;L"/>
      <sheetName val="2. Summary-cash"/>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EQUIPMENT"/>
      <sheetName val="BUILDING-NEW"/>
      <sheetName val="INTANGIBLE"/>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노무비"/>
      <sheetName val="G. Ledger Crescent"/>
      <sheetName val="Trial bal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 val="THU-TIEN"/>
      <sheetName val="CONG-NO"/>
      <sheetName val="XL4Poppy"/>
      <sheetName val="dg-VTu"/>
    </sheetNames>
    <sheetDataSet>
      <sheetData sheetId="0"/>
      <sheetData sheetId="1"/>
      <sheetData sheetId="2"/>
      <sheetData sheetId="3"/>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
      <sheetName val="SOURCE"/>
      <sheetName val="SHEET _2"/>
      <sheetName val="Ls_AgXLB_WorkbookFile"/>
      <sheetName val="pre_UP"/>
      <sheetName val="LOOKUP"/>
      <sheetName val="ARDEBT"/>
    </sheetNames>
    <sheetDataSet>
      <sheetData sheetId="0" refreshError="1"/>
      <sheetData sheetId="1" refreshError="1"/>
      <sheetData sheetId="2" refreshError="1"/>
      <sheetData sheetId="3" refreshError="1"/>
      <sheetData sheetId="4" refreshError="1"/>
      <sheetData sheetId="5">
        <row r="1">
          <cell r="D1" t="str">
            <v>Name</v>
          </cell>
        </row>
      </sheetData>
      <sheetData sheetId="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노무비"/>
      <sheetName val="OFFICE EQUIPMEN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_Co Ref"/>
      <sheetName val="GCost_Exc'ls"/>
      <sheetName val="I_Co Int_Divs"/>
      <sheetName val="I_Co balances"/>
      <sheetName val="P&amp;L"/>
      <sheetName val="BS"/>
      <sheetName val="CF"/>
      <sheetName val="KPI_Stats"/>
      <sheetName val="CF check"/>
      <sheetName val="Op_Bals"/>
      <sheetName val="csv"/>
      <sheetName val="Macros"/>
      <sheetName val="Module1"/>
      <sheetName val="New MR format"/>
      <sheetName val="Basic_Information"/>
      <sheetName val="CostData"/>
      <sheetName val="IncomeData"/>
      <sheetName val="Summary"/>
      <sheetName val="PropertyData"/>
      <sheetName val="노무비"/>
      <sheetName val="BDGTCE"/>
      <sheetName val="gvl"/>
      <sheetName val="Content"/>
      <sheetName val="SCH 1-Checklist (2)"/>
      <sheetName val="SCH 1-Checklist"/>
      <sheetName val="SCH 2-Financial Highlights"/>
      <sheetName val="SCH 3-PBT Summary by Dept"/>
      <sheetName val="SCH 3-PBT Summary Retail"/>
      <sheetName val="SCH 4-Income Statement-Summary"/>
      <sheetName val="SCH 5-Income Statement-By Mth"/>
      <sheetName val="Dept PM"/>
      <sheetName val="Dept LS"/>
      <sheetName val="Dept IA"/>
      <sheetName val="Dept CS"/>
      <sheetName val="Dept CM"/>
      <sheetName val="SCH 6-Stat of Fin Position"/>
      <sheetName val="SavillsKr-BS"/>
      <sheetName val="SCH 7-Notes to SoFP"/>
      <sheetName val="SCH 9-Banking Exposure"/>
      <sheetName val="SCH 10-Seg details (Prior Year)"/>
      <sheetName val="SCH 10-Segmental details"/>
      <sheetName val="SCH 10a-Segmental-YTD"/>
      <sheetName val="SCH 10b-Segmental-12 mths"/>
      <sheetName val="SCH 11-Debtor Aging Summary"/>
      <sheetName val="SCH 12 - Past 12mth P&amp;L and NAV"/>
      <sheetName val="SCH 5-Income Statement-Reg TR"/>
      <sheetName val="Korea"/>
      <sheetName val="SavillsKr_PL"/>
      <sheetName val="MEMO"/>
      <sheetName val="CT"/>
      <sheetName val="KT"/>
      <sheetName val="HTTK1"/>
      <sheetName val="HTTK2"/>
      <sheetName val="SDD"/>
      <sheetName val="OFFICE EQUIP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SCH 1-Checklist"/>
      <sheetName val="SCH 2-Financial Highlights"/>
      <sheetName val="SCH 3-PBT Summary by dept"/>
      <sheetName val="SCH 4-Income Statement-Summary"/>
      <sheetName val="SCH 5-Income Statement-By Mth"/>
      <sheetName val="Actual-HCM09"/>
      <sheetName val="Budget-HCM"/>
      <sheetName val="Agency-Hcm"/>
      <sheetName val="Leasing-Hcm"/>
      <sheetName val="Office Leasing-Hcm"/>
      <sheetName val="Residential Leasing-Hcm"/>
      <sheetName val="Sale-Hcm"/>
      <sheetName val="Retails-Hcm"/>
      <sheetName val="Tre-Hcm"/>
      <sheetName val="Inv-Hcm"/>
      <sheetName val="Subleasing-Hcm"/>
      <sheetName val="R&amp;V-Hcm"/>
      <sheetName val="Re-Hcm"/>
      <sheetName val="Val-Hcm"/>
      <sheetName val="Bank-Hcm"/>
      <sheetName val="PM-Hcm"/>
      <sheetName val="Dept CM-Hcm"/>
      <sheetName val="SCH 7-Notes to SoFP"/>
      <sheetName val="SCH 8-Cashflow-Hcm"/>
      <sheetName val="SCH 9-Banking Exposure"/>
      <sheetName val="SCH 10-Segmental details"/>
      <sheetName val="SCH 11-Debtor Aging Summary"/>
      <sheetName val="Control"/>
    </sheetNames>
    <sheetDataSet>
      <sheetData sheetId="0">
        <row r="2">
          <cell r="A2" t="str">
            <v>Savills Asia Pacific Group</v>
          </cell>
        </row>
      </sheetData>
      <sheetData sheetId="1"/>
      <sheetData sheetId="2"/>
      <sheetData sheetId="3"/>
      <sheetData sheetId="4"/>
      <sheetData sheetId="5"/>
      <sheetData sheetId="6"/>
      <sheetData sheetId="7"/>
      <sheetData sheetId="8">
        <row r="10">
          <cell r="E10">
            <v>1486281.0899999999</v>
          </cell>
        </row>
      </sheetData>
      <sheetData sheetId="9">
        <row r="66">
          <cell r="R66">
            <v>0</v>
          </cell>
        </row>
      </sheetData>
      <sheetData sheetId="10"/>
      <sheetData sheetId="11"/>
      <sheetData sheetId="12"/>
      <sheetData sheetId="13"/>
      <sheetData sheetId="14"/>
      <sheetData sheetId="15">
        <row r="10">
          <cell r="E10">
            <v>117250</v>
          </cell>
        </row>
      </sheetData>
      <sheetData sheetId="16">
        <row r="10">
          <cell r="E10">
            <v>0</v>
          </cell>
        </row>
      </sheetData>
      <sheetData sheetId="17">
        <row r="10">
          <cell r="E10">
            <v>0</v>
          </cell>
        </row>
      </sheetData>
      <sheetData sheetId="18"/>
      <sheetData sheetId="19"/>
      <sheetData sheetId="20"/>
      <sheetData sheetId="21">
        <row r="10">
          <cell r="E10">
            <v>0</v>
          </cell>
        </row>
      </sheetData>
      <sheetData sheetId="22">
        <row r="10">
          <cell r="E10">
            <v>0</v>
          </cell>
        </row>
      </sheetData>
      <sheetData sheetId="23"/>
      <sheetData sheetId="24"/>
      <sheetData sheetId="25"/>
      <sheetData sheetId="26"/>
      <sheetData sheetId="27"/>
      <sheetData sheetId="2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Financial Highlight"/>
      <sheetName val="Budget assumption"/>
      <sheetName val="TOTAL"/>
      <sheetName val="Dept 1"/>
      <sheetName val="Dept 2"/>
      <sheetName val="Dept CM"/>
      <sheetName val="Stat of Fin Position"/>
      <sheetName val="Sch 10 - Cashflow"/>
      <sheetName val="Capex"/>
      <sheetName val="Headcount"/>
      <sheetName val="Segmental"/>
      <sheetName val="Business Stream"/>
    </sheetNames>
    <sheetDataSet>
      <sheetData sheetId="0">
        <row r="2">
          <cell r="A2" t="str">
            <v>Savills Asia Pacific Limited Group</v>
          </cell>
        </row>
      </sheetData>
      <sheetData sheetId="1"/>
      <sheetData sheetId="2"/>
      <sheetData sheetId="3">
        <row r="3">
          <cell r="A3" t="str">
            <v>Consolidated Income Statement</v>
          </cell>
        </row>
      </sheetData>
      <sheetData sheetId="4"/>
      <sheetData sheetId="5"/>
      <sheetData sheetId="6"/>
      <sheetData sheetId="7"/>
      <sheetData sheetId="8">
        <row r="7">
          <cell r="D7">
            <v>43100</v>
          </cell>
        </row>
      </sheetData>
      <sheetData sheetId="9"/>
      <sheetData sheetId="10"/>
      <sheetData sheetId="11"/>
      <sheetData sheetId="12"/>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1"/>
      <sheetName val="Income Statement 2"/>
      <sheetName val="Cash flow - Indirect method"/>
      <sheetName val="Cash flow - Direct method"/>
      <sheetName val="Tminh"/>
      <sheetName val="Equity"/>
      <sheetName val="TSCD"/>
      <sheetName val="Note"/>
      <sheetName val="BC1"/>
      <sheetName val="TBFS"/>
      <sheetName val="TBnoteline"/>
      <sheetName val="gv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IEU"/>
      <sheetName val="TH"/>
      <sheetName val="DTXL"/>
      <sheetName val="DGCT"/>
      <sheetName val="NC"/>
      <sheetName val="M"/>
      <sheetName val="vlnhap"/>
      <sheetName val="00000000"/>
      <sheetName val="10000000"/>
      <sheetName val="20000000"/>
      <sheetName val="XL4Poppy"/>
      <sheetName val="km86-147(TKKT)_lap"/>
      <sheetName val="Income Statement1"/>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ND BUDGET 12-13"/>
      <sheetName val="USD BUDGET 12-13"/>
      <sheetName val="Agency"/>
      <sheetName val="Staff Cost"/>
      <sheetName val="Outsourced Contractor"/>
      <sheetName val="Outsourced Services"/>
      <sheetName val="Admin _ Mngmt"/>
      <sheetName val="Property"/>
      <sheetName val="Energy Consumption"/>
      <sheetName val="Graphs"/>
      <sheetName val="Template"/>
      <sheetName val="780215 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80215 Mar"/>
      <sheetName val="780900 Mar"/>
      <sheetName val="780215 Apr"/>
      <sheetName val="780900 Apr"/>
      <sheetName val="780900 May"/>
      <sheetName val="780900 Jun"/>
      <sheetName val="647 &amp; 648"/>
    </sheetNames>
    <sheetDataSet>
      <sheetData sheetId="0">
        <row r="9">
          <cell r="M9">
            <v>5697060</v>
          </cell>
        </row>
        <row r="10">
          <cell r="M10">
            <v>6082513</v>
          </cell>
        </row>
        <row r="11">
          <cell r="M11">
            <v>18610024</v>
          </cell>
        </row>
        <row r="12">
          <cell r="M12">
            <v>20993995</v>
          </cell>
        </row>
        <row r="13">
          <cell r="M13">
            <v>53370864</v>
          </cell>
        </row>
        <row r="14">
          <cell r="M14">
            <v>73467403</v>
          </cell>
        </row>
        <row r="15">
          <cell r="M15">
            <v>73867230</v>
          </cell>
        </row>
        <row r="16">
          <cell r="M16">
            <v>97046021</v>
          </cell>
        </row>
        <row r="18">
          <cell r="M18">
            <v>285417000</v>
          </cell>
        </row>
        <row r="20">
          <cell r="M20">
            <v>42437236</v>
          </cell>
        </row>
        <row r="21">
          <cell r="M21">
            <v>109129577</v>
          </cell>
        </row>
        <row r="22">
          <cell r="M22">
            <v>13464362</v>
          </cell>
        </row>
        <row r="23">
          <cell r="M23">
            <v>69497164</v>
          </cell>
        </row>
        <row r="24">
          <cell r="M24">
            <v>116947083</v>
          </cell>
        </row>
        <row r="25">
          <cell r="M25">
            <v>44830014</v>
          </cell>
        </row>
        <row r="26">
          <cell r="M26">
            <v>106266021</v>
          </cell>
        </row>
        <row r="27">
          <cell r="M27">
            <v>16192121</v>
          </cell>
        </row>
        <row r="29">
          <cell r="M29">
            <v>219783410</v>
          </cell>
        </row>
      </sheetData>
      <sheetData sheetId="1"/>
      <sheetData sheetId="2"/>
      <sheetData sheetId="3"/>
      <sheetData sheetId="4"/>
      <sheetData sheetId="5"/>
      <sheetData sheetId="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 月"/>
      <sheetName val="8 月"/>
      <sheetName val="LSN"/>
      <sheetName val="Sheet3"/>
      <sheetName val="Sheet1"/>
      <sheetName val="Sheet2"/>
      <sheetName val="THKP  (2)"/>
      <sheetName val="DGCT cong (TM)"/>
      <sheetName val="DGCT PH (TM)"/>
      <sheetName val="DGCT MD (TM)"/>
      <sheetName val="DGCT ND (TM)"/>
      <sheetName val="VBT (2)"/>
      <sheetName val="THKP "/>
      <sheetName val="DGCT MD"/>
      <sheetName val="DGCT ND"/>
      <sheetName val="DGCT cong"/>
      <sheetName val="DGCT PH"/>
      <sheetName val="NC (2)"/>
      <sheetName val="XM"/>
      <sheetName val="NC"/>
      <sheetName val="VL"/>
      <sheetName val="DGCT-YL"/>
      <sheetName val="TH-YL"/>
      <sheetName val="VBT"/>
      <sheetName val="BT"/>
      <sheetName val="XL4Poppy"/>
      <sheetName val="O.Do-Cong Cai tat"/>
      <sheetName val="Cty CTGT 1 TN "/>
      <sheetName val="O Khue Qlo 3"/>
      <sheetName val="O.Do-TNVCA Q.ninh"/>
      <sheetName val="O chien QL 53-1413"/>
      <sheetName val="O.chien QL53-3311"/>
      <sheetName val="Sheet4"/>
      <sheetName val="o.Huyen - CMNC"/>
      <sheetName val="Huyen Quoc lo 91"/>
      <sheetName val="Sambuvina"/>
      <sheetName val="O huyen - lai cu"/>
      <sheetName val="o.Huyen - HP"/>
      <sheetName val="O.Khuong -Nha be Can gio"/>
      <sheetName val="tong hop nha be 141 "/>
      <sheetName val="¤.kh­¬ng -Nhµ thÞ uû VY"/>
      <sheetName val="Tong hop viet tri"/>
      <sheetName val="Khuong Vtri"/>
      <sheetName val="Khuong Daklak"/>
      <sheetName val="Khuong DL"/>
      <sheetName val="khuong viet tri"/>
      <sheetName val="Ctiet Qlo2 O Khuong"/>
      <sheetName val="Thop Qlo2 O khuong"/>
      <sheetName val="O.Hien T190"/>
      <sheetName val="O.Huyen- Xuyen a"/>
      <sheetName val="Huyen lang 3311"/>
      <sheetName val="O.huyen - Lang 1413"/>
      <sheetName val="Khuong vinh yen"/>
      <sheetName val="TK 3311Hien lang"/>
      <sheetName val="O.Hien Lang-Hoa llac"/>
      <sheetName val="O yen - lai cu"/>
      <sheetName val="O.Yen Ca mau-Nam can"/>
      <sheetName val="Yen Quoc lo 91"/>
      <sheetName val="TK 3311"/>
      <sheetName val="TB O VINH"/>
      <sheetName val="Sheet5 vinh a"/>
      <sheetName val="Chart1"/>
      <sheetName val="O.Vinh-Ha noi -Cau gie"/>
      <sheetName val="¤.Vinh HNCG -2"/>
      <sheetName val="Vinh Binh dinh 6"/>
      <sheetName val="O.Vinh San bong A22"/>
      <sheetName val="¤ Vinh - S©n bãng A22"/>
      <sheetName val="O.Viet - phong nien"/>
      <sheetName val="O.Viet - phong nien (2)"/>
      <sheetName val="Tk311PNCL"/>
      <sheetName val="O Viet 4D"/>
      <sheetName val="O Viet 4D (2)"/>
      <sheetName val="Tk33114d"/>
      <sheetName val="O Viet MKPL"/>
      <sheetName val="O Viet BPHIET"/>
      <sheetName val="Viet ban den"/>
      <sheetName val="TK311BDBP"/>
      <sheetName val="O.Viet - 4D"/>
      <sheetName val="O.Thuong Cong Cai tat"/>
      <sheetName val="O.Thuong-duong 331 QN"/>
      <sheetName val="Thinh GTNT Lang son"/>
      <sheetName val="O.Thinh 4B QNKm 97-102"/>
      <sheetName val="O.Thinh 4b QN84-94"/>
      <sheetName val="O.Thao Ql 51 V.Tau"/>
      <sheetName val="Thao binh dinnh"/>
      <sheetName val="Thao d­êng Ho Chi Minh"/>
      <sheetName val="O.Thao Ql 53 V.Long"/>
      <sheetName val="3311 o thiep"/>
      <sheetName val="O.Thiep- NHCG"/>
      <sheetName val="otung tram xang nhu quynh"/>
      <sheetName val="oTung gia lam"/>
      <sheetName val="Qlo 5 Trau quy"/>
      <sheetName val="O.Tung Chau qui"/>
      <sheetName val="O.Hien Vinh tuy"/>
      <sheetName val="CTvµ SL"/>
      <sheetName val="B¶n gèc"/>
      <sheetName val="lai o huyen CM"/>
      <sheetName val="lai o yen CM"/>
      <sheetName val="tong hop 5 th­ng dau nam"/>
      <sheetName val="Thang 6"/>
      <sheetName val="Thang 7"/>
      <sheetName val="Thang 8"/>
      <sheetName val="Thang 9"/>
      <sheetName val="Tæng hîp ¤.Khu¬ng"/>
      <sheetName val="CDPS 112"/>
      <sheetName val="CDPS 333"/>
      <sheetName val="CDPS 3338 TDT"/>
      <sheetName val="CDPS 333VAT"/>
      <sheetName val="CDPS 131"/>
      <sheetName val="CDPS 133"/>
      <sheetName val="CDPS 1388"/>
      <sheetName val="CDPS 136"/>
      <sheetName val="CDPS 1413"/>
      <sheetName val="CDPS 1411"/>
      <sheetName val="CDPS 1418"/>
      <sheetName val="CDPS 152"/>
      <sheetName val="CDPS 153"/>
      <sheetName val="CDPS 154"/>
      <sheetName val="CDPS 311"/>
      <sheetName val="CDPS 3311"/>
      <sheetName val="CDPS 3312"/>
      <sheetName val="CDPS 336"/>
      <sheetName val="CDPS338(in)"/>
      <sheetName val="CDPS 3388"/>
      <sheetName val="CDPS 341"/>
      <sheetName val="TK431"/>
      <sheetName val="TK 511"/>
      <sheetName val="CDPS 342"/>
      <sheetName val="ps 642"/>
      <sheetName val="ps623"/>
      <sheetName val="ps627"/>
      <sheetName val="ps 622"/>
      <sheetName val="ps 621"/>
      <sheetName val=" kuv"/>
      <sheetName val="BKRVV"/>
      <sheetName val="KUVtrang 1"/>
      <sheetName val="CVVAYNP"/>
      <sheetName val="KUVtrang2"/>
      <sheetName val="BBKTVTDB"/>
      <sheetName val="T8-2001"/>
      <sheetName val="T7-2001"/>
      <sheetName val="T9-2001"/>
      <sheetName val="T"/>
      <sheetName val="T10-2001"/>
      <sheetName val="T6-2001"/>
      <sheetName val="T11-2001"/>
      <sheetName val="T12-2001"/>
      <sheetName val="T3-2001"/>
      <sheetName val="T4-2001"/>
      <sheetName val="T5-2001"/>
      <sheetName val="Sheet5"/>
      <sheetName val="Sheet6"/>
      <sheetName val="Sheet7"/>
      <sheetName val="Sheet8"/>
      <sheetName val="Sheet9"/>
      <sheetName val="Sheet10"/>
      <sheetName val="Sheet11"/>
      <sheetName val="Sheet12"/>
      <sheetName val="Sheet13"/>
      <sheetName val="Sheet14"/>
      <sheetName val="Sheet15"/>
      <sheetName val="Sheet16"/>
      <sheetName val="632"/>
      <sheetName val="Bieu4a-CLCB"/>
      <sheetName val="Ctiet"/>
      <sheetName val="TH479"/>
      <sheetName val="DGTH473"/>
      <sheetName val="TH"/>
      <sheetName val="Sum OK "/>
      <sheetName val="Vina"/>
      <sheetName val="Sum tinh lai"/>
      <sheetName val="Gia T5"/>
      <sheetName val="Gia T5+5%"/>
      <sheetName val="Gia TLC"/>
      <sheetName val="Gia TLC+5%"/>
      <sheetName val="Gia VNa"/>
      <sheetName val="Gia VNa+5%"/>
      <sheetName val="Gia T4"/>
      <sheetName val="Gia T4+5%"/>
      <sheetName val="Phan chi  OK"/>
      <sheetName val="Bid Price Schedule (2)"/>
      <sheetName val="GiaThau (3)"/>
      <sheetName val="Bid Price Summary"/>
      <sheetName val="Bid Price Schedule"/>
      <sheetName val="Name"/>
      <sheetName val="00000000"/>
      <sheetName val="487"/>
      <sheetName val="471"/>
      <sheetName val="512"/>
      <sheetName val="btnhatmin"/>
      <sheetName val="btnhtrung"/>
      <sheetName val="results"/>
      <sheetName val="DG-CT"/>
      <sheetName val=" THDGK"/>
      <sheetName val="DTCT"/>
      <sheetName val="DGTH-giam gia 6,847%"/>
      <sheetName val="TH-KPDT"/>
      <sheetName val="DGVL"/>
      <sheetName val="DKTT-HD"/>
      <sheetName val="DGCT"/>
      <sheetName val="THDG"/>
      <sheetName val="DKTC"/>
      <sheetName val="D1-O.V"/>
      <sheetName val="D1-O.K"/>
      <sheetName val="D4"/>
      <sheetName val="D7"/>
      <sheetName val="D10"/>
      <sheetName val="D12"/>
      <sheetName val="D2"/>
      <sheetName val="Mien Trung"/>
      <sheetName val="GTH"/>
      <sheetName val="THDGg 20,18%"/>
      <sheetName val="DGNC"/>
      <sheetName val="DGCM"/>
      <sheetName val="VUA BT"/>
      <sheetName val="DKCTHD"/>
      <sheetName val="TH Thanh toan"/>
      <sheetName val="TCTy 4"/>
      <sheetName val="TCTy 5"/>
      <sheetName val="TLC"/>
      <sheetName val="BDH"/>
      <sheetName val="phan bu tru"/>
      <sheetName val="Phan chia OK"/>
      <sheetName val="XXXXXXXX"/>
      <sheetName val="XXXXXXX0"/>
      <sheetName val="CT"/>
      <sheetName val="DIEN"/>
      <sheetName val="PXD"/>
      <sheetName val="TN-HC"/>
      <sheetName val="NH-RE"/>
      <sheetName val="TH (2)"/>
      <sheetName val="Sheet17"/>
      <sheetName val="BCCONG "/>
      <sheetName val="TO XE"/>
      <sheetName val="Bui phung"/>
      <sheetName val="DOI THANG"/>
      <sheetName val="TONG HOP"/>
      <sheetName val="NGUYEN DA"/>
      <sheetName val="GIAN TIEP"/>
      <sheetName val="DCG"/>
      <sheetName val="doi minh"/>
      <sheetName val="TTCT CONG 1"/>
      <sheetName val="THKP 1"/>
      <sheetName val="KE KL 1"/>
      <sheetName val="SHET"/>
      <sheetName val="To ke T5-03"/>
      <sheetName val="DV ban ra T5-03"/>
      <sheetName val="DV ban ra T5-03 1%"/>
      <sheetName val="DVMVThue10%T5-03"/>
      <sheetName val="10000000"/>
      <sheetName val="To ke T10-2002"/>
      <sheetName val="DV ban ra T10-2002"/>
      <sheetName val="DVMVThue 10%-T10-2002"/>
      <sheetName val="DVMVThue 3%-T10-2002"/>
      <sheetName val="Nhat ky TK111"/>
      <sheetName val="TK111"/>
      <sheetName val="TK131"/>
      <sheetName val="TK133"/>
      <sheetName val="TK138"/>
      <sheetName val="TK1411"/>
      <sheetName val="TK1412"/>
      <sheetName val="TK142"/>
      <sheetName val="TK331"/>
      <sheetName val="TK334"/>
      <sheetName val="Phan bo tien luong"/>
      <sheetName val="TK421"/>
      <sheetName val="TK511"/>
      <sheetName val="Cong cu dung cu"/>
      <sheetName val="Kiem ke Quy"/>
      <sheetName val="Kiem ke TSCD"/>
      <sheetName val="vat tu"/>
      <sheetName val="Cong trinh do dang 2002"/>
      <sheetName val="chiphi"/>
      <sheetName val="chamcong"/>
      <sheetName val="tongluong"/>
      <sheetName val="Lgiantiep"/>
      <sheetName val="Lmau"/>
      <sheetName val="lg hung"/>
      <sheetName val="lg thiep"/>
      <sheetName val="lg Quan"/>
      <sheetName val="lg nhat"/>
      <sheetName val="lg dau"/>
      <sheetName val="lg Thuan"/>
      <sheetName val="dscongnhan"/>
      <sheetName val="atlaodong"/>
      <sheetName val="tonghop"/>
      <sheetName val="KSTK_BS"/>
      <sheetName val="THKP_BS"/>
      <sheetName val="PTps"/>
      <sheetName val="DT_chitiet"/>
      <sheetName val="KP_XL"/>
      <sheetName val="DT_chuyen"/>
      <sheetName val="KP_Chuyen"/>
      <sheetName val="KPPS dot2 (3)"/>
      <sheetName val="PTps (2)"/>
      <sheetName val="MAY"/>
      <sheetName val="VL14"/>
      <sheetName val="DGCT14"/>
      <sheetName val="DGTH"/>
      <sheetName val="Bieu1-LDTN"/>
      <sheetName val="Bieu 2a"/>
      <sheetName val="Bieu 2b"/>
      <sheetName val="Bieu 2c"/>
      <sheetName val="Bieu 3"/>
      <sheetName val="Bieu 4a"/>
      <sheetName val="Bieu 4b"/>
      <sheetName val="Bieu 4c-1"/>
      <sheetName val="Bieu 4c-2"/>
      <sheetName val="Bieu 5"/>
      <sheetName val="Bieu 6"/>
      <sheetName val="TDKT"/>
      <sheetName val="HD Ong Dung"/>
      <sheetName val="To gian tiep"/>
      <sheetName val="To nghien cap phoi"/>
      <sheetName val="To truc tiep khac"/>
      <sheetName val="HD Ong Tuan"/>
      <sheetName val="To pho thong 1"/>
      <sheetName val="Bang duyet luonQIII"/>
      <sheetName val="to may"/>
      <sheetName val="Tong hop (2)"/>
      <sheetName val="To xe 1"/>
      <sheetName val="XL4Poppy (2)"/>
      <sheetName val="XL4Poppy (3)"/>
      <sheetName val="XL4Poppy (4)"/>
      <sheetName val="XL4Poppy (5)"/>
      <sheetName val="XL4Poppy (6)"/>
      <sheetName val="XL4Poppy (7)"/>
      <sheetName val="M 1"/>
      <sheetName val="M 2"/>
      <sheetName val="XL4Test5"/>
      <sheetName val="t.hop"/>
      <sheetName val="thietke"/>
      <sheetName val="THXL"/>
      <sheetName val="GTXL"/>
      <sheetName val="XL"/>
      <sheetName val="Chtiet"/>
      <sheetName val="GVL"/>
      <sheetName val="GVL Ta Ho"/>
      <sheetName val="A6"/>
      <sheetName val="cuoc"/>
      <sheetName val="VLTT"/>
      <sheetName val="cpv"/>
      <sheetName val="450nt"/>
      <sheetName val="TH450+500-53"/>
      <sheetName val="RANH CT2"/>
      <sheetName val="450+5-451"/>
      <sheetName val="TH50+5-53"/>
      <sheetName val="T HO LAN CT2"/>
      <sheetName val="C TIEU CT2"/>
      <sheetName val="451"/>
      <sheetName val="452"/>
      <sheetName val="RANH"/>
      <sheetName val="COC TIEU"/>
      <sheetName val="T HO LAN"/>
      <sheetName val="B BAO"/>
      <sheetName val="6-BO PHAN NAP LIEU, EP"/>
      <sheetName val="07-CD EP &amp; SAY NHANH"/>
      <sheetName val="09-CD TRANG MEN"/>
      <sheetName val="10-CD NUNG"/>
      <sheetName val="11-CD LUU CHUA"/>
      <sheetName val="12-PHAN LOAI &amp; DONG GOI"/>
      <sheetName val="13-CD MAI"/>
      <sheetName val="14~16 THIET BI PHONG THI NGHIEM"/>
      <sheetName val="17 -  HE THONG HUT BUI"/>
      <sheetName val="THIET BI PHU TRO"/>
      <sheetName val="km248"/>
      <sheetName val="KM247"/>
      <sheetName val="KL DUONG DC L = 90m"/>
      <sheetName val="MTO REV.2(ARMOR)"/>
      <sheetName val="DTXL"/>
      <sheetName val="vatlieu"/>
      <sheetName val="PTDG"/>
      <sheetName val="THDT"/>
      <sheetName val="THTB"/>
      <sheetName val="CDTC"/>
      <sheetName val="SUBBASE-GOC"/>
      <sheetName val="SUBBASE"/>
      <sheetName val="SUBBASE-3m"/>
      <sheetName val="ASPHALT"/>
      <sheetName val="BTN-3m"/>
      <sheetName val="Base3m"/>
      <sheetName val="ForCaoDobase"/>
      <sheetName val="GOC-Base"/>
      <sheetName val="Sao CD"/>
      <sheetName val="Trong Co"/>
      <sheetName val="may6"/>
      <sheetName val="oto6"/>
      <sheetName val="DIEZEN6"/>
      <sheetName val="may (2)"/>
      <sheetName val="Xang+mo"/>
      <sheetName val="oto (2)"/>
      <sheetName val="DIEZEN6 (2)"/>
      <sheetName val="DIEZEN6 (3)"/>
      <sheetName val="DIEZEN"/>
      <sheetName val="THao7"/>
      <sheetName val="baocaoNL7"/>
      <sheetName val="baocaoNL8"/>
      <sheetName val="baocaoNL9"/>
      <sheetName val="baocaoNL6"/>
      <sheetName val="KU"/>
      <sheetName val="BBKTDBVV"/>
      <sheetName val="KU2001"/>
      <sheetName val="KUDAIHAN"/>
      <sheetName val="CVVAY"/>
      <sheetName val="Hoan"/>
      <sheetName val="Haimoc"/>
      <sheetName val="Kho+baove"/>
      <sheetName val="Haiphong"/>
      <sheetName val="Baove"/>
      <sheetName val="LaixeHP"/>
      <sheetName val="CT2001"/>
      <sheetName val="TH2001"/>
      <sheetName val="KHDT2002"/>
      <sheetName val="MT"/>
      <sheetName val="PVXL"/>
      <sheetName val="CTHM2001"/>
      <sheetName val="KLCY"/>
      <sheetName val="TH2002"/>
      <sheetName val="KH201-205"/>
      <sheetName val="KHN2002"/>
      <sheetName val="TCLuong"/>
      <sheetName val="GTHP1"/>
      <sheetName val="GTHP2"/>
      <sheetName val="baoveHP"/>
      <sheetName val="thuengoaiHP"/>
      <sheetName val="GTBNG"/>
      <sheetName val="GTBN"/>
      <sheetName val="khaosatNB"/>
      <sheetName val="LaixeNB"/>
      <sheetName val="LaiuiNB"/>
      <sheetName val="phuuiBN"/>
      <sheetName val="Hutcat"/>
      <sheetName val="PhucvuNB"/>
      <sheetName val="vinhyen"/>
      <sheetName val="Kho52+SOS"/>
      <sheetName val="AncaT11"/>
      <sheetName val="LuongTT-11"/>
      <sheetName val="AncaBNG"/>
      <sheetName val="Interim payment"/>
      <sheetName val="Letter"/>
      <sheetName val="Bid Sum"/>
      <sheetName val="Item B"/>
      <sheetName val="Dg A"/>
      <sheetName val="Dg B&amp;C"/>
      <sheetName val="Rates&amp;Prices"/>
      <sheetName val="Material at site"/>
      <sheetName val="doi CT1"/>
      <sheetName val="doi CT3"/>
      <sheetName val="Chart3"/>
      <sheetName val="Chart2"/>
      <sheetName val="doi CT4"/>
      <sheetName val="THOP1"/>
      <sheetName val="THOP1 (2)"/>
      <sheetName val="LA1"/>
      <sheetName val="LA1 (2)"/>
      <sheetName val="LA1 (3)"/>
      <sheetName val="1"/>
      <sheetName val="1 (2)"/>
      <sheetName val="1 (3)"/>
      <sheetName val="1 (4)"/>
      <sheetName val="1 (5)"/>
      <sheetName val="1 (6)"/>
      <sheetName val="1 (7)"/>
      <sheetName val="1 (8)"/>
      <sheetName val="1 (9)"/>
      <sheetName val="1 (10)"/>
      <sheetName val="1 (11)"/>
      <sheetName val="1 (12)"/>
      <sheetName val="1 (13)"/>
      <sheetName val="1 (14)"/>
      <sheetName val="1 (15)"/>
      <sheetName val="1 (16)"/>
      <sheetName val="1 (17)"/>
      <sheetName val="1 (18)"/>
      <sheetName val="1 (19)"/>
      <sheetName val="1 (20)"/>
      <sheetName val="Hang (2)"/>
      <sheetName val="Cuong"/>
      <sheetName val="Binh"/>
      <sheetName val="Nam"/>
      <sheetName val="Dan"/>
      <sheetName val="Hung"/>
      <sheetName val="Hien"/>
      <sheetName val="Manh"/>
      <sheetName val="Lai"/>
      <sheetName val="Thuan"/>
      <sheetName val="L.Dung"/>
      <sheetName val="Dung"/>
      <sheetName val="Lan"/>
      <sheetName val="Tho"/>
      <sheetName val="Hang"/>
      <sheetName val="thop"/>
      <sheetName val="Thang 1-2002"/>
      <sheetName val="Thang 2"/>
      <sheetName val="Thang3"/>
      <sheetName val="Thang 4"/>
      <sheetName val="Thang 5"/>
      <sheetName val="TH nam2000"/>
      <sheetName val="Thang7"/>
      <sheetName val="Thang8"/>
      <sheetName val="Thang9"/>
      <sheetName val="Thang10"/>
      <sheetName val="thang11"/>
      <sheetName val="Thang12"/>
      <sheetName val="Van chuyen"/>
      <sheetName val="THKP (2)"/>
      <sheetName val="THKP"/>
      <sheetName val="T.Bi"/>
      <sheetName val="Thiet ke"/>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tien"/>
      <sheetName val="chitet"/>
      <sheetName val="chituyet"/>
      <sheetName val="clenh (2)"/>
      <sheetName val="DToan"/>
      <sheetName val="KPhi"/>
      <sheetName val="CTinh"/>
      <sheetName val="BangLuong"/>
      <sheetName val="KLuong"/>
      <sheetName val="THKLN"/>
      <sheetName val="N6868+500"/>
      <sheetName val="N6768"/>
      <sheetName val="N6667"/>
      <sheetName val="maunen"/>
      <sheetName val="TH Chenh lech"/>
      <sheetName val="CHINH (2)"/>
      <sheetName val="GDT (2)"/>
      <sheetName val="Gia VL"/>
      <sheetName val="PTRO (2)"/>
      <sheetName val="NHAN CONG"/>
      <sheetName val="PTRO"/>
      <sheetName val="BIA"/>
      <sheetName val="GDT"/>
      <sheetName val="CHINH"/>
      <sheetName val="CT ben bai"/>
      <sheetName val="duong"/>
      <sheetName val="KP du thau"/>
      <sheetName val="Xem DMduong"/>
      <sheetName val="KL"/>
      <sheetName val="NC - may duong"/>
      <sheetName val="PT Gia VL"/>
      <sheetName val="00000001"/>
      <sheetName val="Pha BT SP"/>
      <sheetName val="XNCP"/>
      <sheetName val="VB"/>
      <sheetName val="T6"/>
      <sheetName val="QT NL"/>
      <sheetName val="T4+T5YL"/>
      <sheetName val="T2+3YL"/>
      <sheetName val="Thang 1 YL"/>
      <sheetName val="T3-03"/>
      <sheetName val="T3"/>
      <sheetName val="T2-03"/>
      <sheetName val="Thang 1"/>
      <sheetName val="CM T1"/>
      <sheetName val="THT1"/>
      <sheetName val="SCT1-H"/>
      <sheetName val="SCT1"/>
      <sheetName val="SC-T1"/>
      <sheetName val="CmayT1"/>
      <sheetName val="cong tron1m"/>
      <sheetName val="nen, mong, mat"/>
      <sheetName val="KLGKCDoi1"/>
      <sheetName val="SKLGKdoi3"/>
      <sheetName val="Nhap"/>
      <sheetName val="ThT12"/>
      <sheetName val="KhT2"/>
      <sheetName val="ThT2"/>
      <sheetName val="KhT3"/>
      <sheetName val="ThT3"/>
      <sheetName val="KhT4"/>
      <sheetName val="20000000"/>
      <sheetName val="30000000"/>
      <sheetName val="40000000"/>
      <sheetName val="50000000"/>
      <sheetName val="60000000"/>
      <sheetName val="70000000"/>
      <sheetName val="80000000"/>
      <sheetName val="90000000"/>
      <sheetName val="a0000000"/>
      <sheetName val="T5.2002"/>
      <sheetName val="T5.2002 (2)"/>
      <sheetName val="Sheet18"/>
      <sheetName val="Sheet19"/>
      <sheetName val="Sheet20"/>
      <sheetName val="Sheet21"/>
      <sheetName val="Sheet22"/>
      <sheetName val="Sheet23"/>
      <sheetName val="Sheet24"/>
      <sheetName val="Sheet25"/>
      <sheetName val="Sheet26"/>
      <sheetName val="HS LUONG T5.02"/>
      <sheetName val="HS LUONG T6.02"/>
      <sheetName val="HS LUONG T7.02 "/>
      <sheetName val="H.Giang"/>
      <sheetName val="LAM THAO 2002"/>
      <sheetName val="ME Linh"/>
      <sheetName val="MOC CHAU T7.02 - QL43SLa"/>
      <sheetName val="SLa02 "/>
      <sheetName val="LAO CAI2002"/>
      <sheetName val="DAN PHUONG 2002 "/>
      <sheetName val="NGOC HOI 2002"/>
      <sheetName val="KONDAY 2002"/>
      <sheetName val="KONRAY 2002 "/>
      <sheetName val="NUI PHAN 2002 "/>
      <sheetName val="TQuang"/>
      <sheetName val="Minh Hoa - QBinh"/>
      <sheetName val="T1.2002"/>
      <sheetName val="T2.2002"/>
      <sheetName val="T3.02"/>
      <sheetName val="T3.02 Dchinh"/>
      <sheetName val="T4.02"/>
      <sheetName val="T4.02 Dchinh"/>
      <sheetName val="T5.02 "/>
      <sheetName val="T5.02 DChinh"/>
      <sheetName val="T6.02 "/>
      <sheetName val="T7.02"/>
      <sheetName val="T8.02"/>
      <sheetName val="T9.02"/>
      <sheetName val="T10.02"/>
      <sheetName val="T1.2002 "/>
      <sheetName val="T2.2002 "/>
      <sheetName val="T3.2002  "/>
      <sheetName val="T4.2002 "/>
      <sheetName val="T6.2002 "/>
      <sheetName val="Q1+2 - 2002 Dung"/>
      <sheetName val="T7.2002  "/>
      <sheetName val="T8.2002   "/>
      <sheetName val="T9.2002"/>
      <sheetName val="T10.2002"/>
      <sheetName val="T11.2002 "/>
      <sheetName val="T12.2002 "/>
      <sheetName val="T12.2002(Bo xung ) "/>
      <sheetName val="Q3+4 - 2002 Dung"/>
      <sheetName val="THop 12 Thang "/>
      <sheetName val="TH CA NAM -02"/>
      <sheetName val="Form3m"/>
      <sheetName val="FormCaoDo"/>
      <sheetName val="GOC-SB2"/>
      <sheetName val="2"/>
      <sheetName val="3"/>
      <sheetName val="4"/>
      <sheetName val="5"/>
      <sheetName val="6"/>
      <sheetName val="7"/>
      <sheetName val="8"/>
      <sheetName val="9"/>
      <sheetName val="10"/>
      <sheetName val="11"/>
      <sheetName val="12"/>
      <sheetName val="13"/>
      <sheetName val="14"/>
      <sheetName val="15"/>
      <sheetName val="16"/>
      <sheetName val="17"/>
      <sheetName val="BCC (2)"/>
      <sheetName val="Bao cao"/>
      <sheetName val="Bao cao 2"/>
      <sheetName val="BC3"/>
      <sheetName val="THKL"/>
      <sheetName val="Khoi luong"/>
      <sheetName val="Khoi luong mat"/>
      <sheetName val="Bang ke"/>
      <sheetName val="KLCL"/>
      <sheetName val="T.HopKL"/>
      <sheetName val="T.HopKL (2)"/>
      <sheetName val="S.Luong"/>
      <sheetName val="PTCP2"/>
      <sheetName val="CPBVTC2"/>
      <sheetName val="D.Dap"/>
      <sheetName val="Q.Toan"/>
      <sheetName val="NCong"/>
      <sheetName val="Phan tich chi phi"/>
      <sheetName val="Chi phi nen theo BVTC"/>
      <sheetName val="CPTBVTC3"/>
      <sheetName val="nhan cong phu"/>
      <sheetName val="nhan cong Hung"/>
      <sheetName val="CCD2"/>
      <sheetName val="BCC"/>
      <sheetName val="Doi2"/>
      <sheetName val="Khoi luong nen theo BVTC"/>
      <sheetName val="ty le tron"/>
      <sheetName val="cot lieu"/>
      <sheetName val="LOS"/>
      <sheetName val="thoi dÑt"/>
      <sheetName val="m-yÕu phong hãa"/>
      <sheetName val="c¸t vµ bét ®¸"/>
      <sheetName val="®­¬ng l­îng c¸t"/>
      <sheetName val="®¸ 12.5 vµ 19"/>
      <sheetName val="®¸ m¹t vµ 1"/>
      <sheetName val="bïn sÐt"/>
      <sheetName val="M¸c san"/>
      <sheetName val="B®å QHÖ"/>
      <sheetName val="Tæng hîpTK"/>
      <sheetName val="BiÓu ®å"/>
      <sheetName val="ty träng nhua"/>
      <sheetName val="mau"/>
      <sheetName val="E50"/>
      <sheetName val="Ecan"/>
      <sheetName val="Etep"/>
      <sheetName val="cty19-5"/>
      <sheetName val="Ha so hoa"/>
      <sheetName val="dong a"/>
      <sheetName val="Doi 1"/>
      <sheetName val="Doi 2"/>
      <sheetName val="Doi 3"/>
      <sheetName val="Doi 4"/>
      <sheetName val="CT5.PTCN"/>
      <sheetName val="CT 6.BL"/>
      <sheetName val="Doi XD"/>
      <sheetName val="花費"/>
      <sheetName val="CT-SL"/>
      <sheetName val="TH-SL"/>
      <sheetName val="TH2"/>
      <sheetName val="GTH3-4"/>
      <sheetName val="TH-3"/>
      <sheetName val="TH-4"/>
      <sheetName val="ct-SL2"/>
      <sheetName val="THx1"/>
      <sheetName val="CTx1"/>
      <sheetName val="Recovered_Sheet1"/>
      <sheetName val="bien bao"/>
      <sheetName val="Dan - TC"/>
      <sheetName val="TH-DTC"/>
      <sheetName val="nen duong"/>
      <sheetName val="mat duong"/>
      <sheetName val="cong ban"/>
      <sheetName val="TH-KS"/>
      <sheetName val="KL-KS"/>
      <sheetName val="Vchuyen"/>
      <sheetName val="Triet tinh"/>
      <sheetName val="THKT"/>
      <sheetName val="Van khuon"/>
      <sheetName val="Chenh lech"/>
      <sheetName val="Dien + Nuoc"/>
      <sheetName val="Phan tich"/>
      <sheetName val="Xay lap"/>
      <sheetName val="THChung"/>
      <sheetName val="CP#"/>
      <sheetName val="KL - KS"/>
      <sheetName val="TH - KS"/>
      <sheetName val="Mat + ranh"/>
      <sheetName val="CL Mat"/>
      <sheetName val="CLCB"/>
      <sheetName val="CLCT"/>
      <sheetName val="Cong tron"/>
      <sheetName val="CLtranK5"/>
      <sheetName val="Tran K5"/>
      <sheetName val="CL tran KM1"/>
      <sheetName val="TranKM1"/>
      <sheetName val="CL trankm2"/>
      <sheetName val="trankm2"/>
      <sheetName val="CLCau12"/>
      <sheetName val="Cau12"/>
      <sheetName val="Nen"/>
      <sheetName val="T10"/>
      <sheetName val="T11"/>
      <sheetName val="Thang 12"/>
      <sheetName val="MTC"/>
      <sheetName val="THDuong"/>
      <sheetName val="THCong"/>
      <sheetName val="DGCTDuong"/>
      <sheetName val="DGCTDuong (2)"/>
      <sheetName val="DGCTCau"/>
      <sheetName val="DGCTcong"/>
      <sheetName val="Hotbin"/>
      <sheetName val="extract"/>
      <sheetName val="Adust"/>
      <sheetName val="#REF"/>
      <sheetName val="KT Da"/>
      <sheetName val="OMai"/>
      <sheetName val="Chi"/>
      <sheetName val="Sheet27"/>
      <sheetName val="Sheet28"/>
      <sheetName val="Sheet29"/>
      <sheetName val="Sheet30"/>
      <sheetName val="bIN1"/>
      <sheetName val="bin2"/>
      <sheetName val="bin3"/>
      <sheetName val="bin4"/>
      <sheetName val="k98"/>
      <sheetName val="98"/>
      <sheetName val="botkhoang"/>
      <sheetName val="LDHT"/>
      <sheetName val="base"/>
      <sheetName val="KTBTN HT"/>
      <sheetName val="Cong dam"/>
      <sheetName val="sub Base"/>
      <sheetName val="KTCP"/>
      <sheetName val="ha"/>
      <sheetName val="KT Cap phoi"/>
      <sheetName val="HoChiMinh"/>
      <sheetName val="KTNduoc"/>
      <sheetName val="423"/>
      <sheetName val="KHQ II"/>
      <sheetName val="May 10"/>
      <sheetName val="May9"/>
      <sheetName val="TTKLT10"/>
      <sheetName val="TTKL9"/>
      <sheetName val="GT10"/>
      <sheetName val="hhh"/>
      <sheetName val="GTT9"/>
      <sheetName val="HSo9"/>
      <sheetName val="BHXH"/>
      <sheetName val="dccn"/>
      <sheetName val="gia tri sl"/>
      <sheetName val="nghiem th 37asl"/>
      <sheetName val="Bang gia ca may"/>
      <sheetName val="Bang luong CB"/>
      <sheetName val="Bang P.tich CT"/>
      <sheetName val="D.toan chi tiet"/>
      <sheetName val="Bang TH Dtoan"/>
      <sheetName val="T Thuy"/>
      <sheetName val="T Xe"/>
      <sheetName val="T BV"/>
      <sheetName val="T M"/>
      <sheetName val="T A"/>
      <sheetName val="T Q"/>
      <sheetName val="T D"/>
      <sheetName val="T May"/>
      <sheetName val="TXe"/>
      <sheetName val="T C"/>
      <sheetName val="TM"/>
      <sheetName val="TBV"/>
      <sheetName val="Phat sinh - Bo xung gia cu"/>
      <sheetName val="Vat lieu 2003"/>
      <sheetName val="Nhan cong 2003"/>
      <sheetName val="May 2003"/>
      <sheetName val="Don gia chi tiet 2003"/>
      <sheetName val="GT Bo xung - Phat sinh gia moi"/>
      <sheetName val="XXXXXXX1"/>
      <sheetName val="XXXXXXX2"/>
      <sheetName val="XXXXXXX3"/>
      <sheetName val="XXXXXXX4"/>
      <sheetName val="XXXXXXX5"/>
      <sheetName val="XXXXXXX6"/>
      <sheetName val="XXXXXXX7"/>
      <sheetName val="XXXXXXX8"/>
      <sheetName val="XXXXXXX9"/>
      <sheetName val="XXXXXXXA"/>
      <sheetName val="XXXXXXXB"/>
      <sheetName val="Tong du toan"/>
      <sheetName val="Tong hop quy 1-2-02"/>
      <sheetName val="Chi tiet Q1-Q2-2002"/>
      <sheetName val="Cap phoi q1+2-2002"/>
      <sheetName val="DG q1+2-2002 "/>
      <sheetName val="Vat lieu Q1+2-2002"/>
      <sheetName val="Nhan cong nhom 2"/>
      <sheetName val="Nhan cong nhom 3"/>
      <sheetName val="VLq2-01"/>
      <sheetName val="pc tra san"/>
      <sheetName val="PTH"/>
      <sheetName val="DC HCM"/>
      <sheetName val="DC ADB2N1"/>
      <sheetName val="DC 1A2"/>
      <sheetName val="131"/>
      <sheetName val="HD vay TL"/>
      <sheetName val="gia han"/>
      <sheetName val="vay DD"/>
      <sheetName val="Vay TH"/>
      <sheetName val="vay TH TL"/>
      <sheetName val="KHe vay TL"/>
      <sheetName val="o. Tam"/>
      <sheetName val="tkiem"/>
      <sheetName val="Han vay TL"/>
      <sheetName val="khe vay CT"/>
      <sheetName val="vay -tra theo khe"/>
      <sheetName val="so du VNHNH"/>
      <sheetName val="so du thang"/>
      <sheetName val="Kvay DD"/>
      <sheetName val="BKvayDD"/>
      <sheetName val="CketDD"/>
      <sheetName val="UQ DD"/>
      <sheetName val="KHdd"/>
      <sheetName val="Lai TH"/>
      <sheetName val="Lai NH"/>
      <sheetName val="cquan"/>
      <sheetName val="doan thanh nien"/>
      <sheetName val="tram tron"/>
      <sheetName val="xuong"/>
      <sheetName val="vp vinh"/>
      <sheetName val="doi1"/>
      <sheetName val="doi2 van dien"/>
      <sheetName val="TN doi 2"/>
      <sheetName val="TN doi 2 van dien"/>
      <sheetName val="TN doi 4"/>
      <sheetName val="doi 6"/>
      <sheetName val="doi 9"/>
      <sheetName val="doi 7"/>
      <sheetName val=" TN doi 7"/>
      <sheetName val="doi 8"/>
      <sheetName val="TN doi 8"/>
      <sheetName val="doi 5"/>
      <sheetName val="TN doi5"/>
      <sheetName val="TN doi52"/>
      <sheetName val="th luong"/>
      <sheetName val="DK"/>
      <sheetName val="DK2"/>
      <sheetName val="TK 141"/>
      <sheetName val="bx"/>
      <sheetName val="TN doi53"/>
      <sheetName val="ty"/>
      <sheetName val="tron"/>
      <sheetName val="phep"/>
      <sheetName val="Th BX"/>
      <sheetName val="bx doi 5"/>
      <sheetName val="vay ngan hang"/>
      <sheetName val="vay ngan hang 2"/>
      <sheetName val="ngan hang"/>
      <sheetName val="vay quy 3 thang long"/>
      <sheetName val="Vay quy 3 cong thuong"/>
      <sheetName val="thu TGNH thang long 3"/>
      <sheetName val="chi TGNH thang long3"/>
      <sheetName val="DK TL"/>
      <sheetName val="DK Chi"/>
      <sheetName val="DK thu"/>
      <sheetName val="baocao tong c,ty"/>
      <sheetName val="Tu km 223 "/>
      <sheetName val="TU Hat 6"/>
      <sheetName val="TU Doi 3 -2"/>
      <sheetName val="TCTC"/>
      <sheetName val="TTTu Km 223"/>
      <sheetName val="Cua 160 Hoµn thµnh"/>
      <sheetName val="Cua 160 Hoµn thµnh (2)"/>
      <sheetName val="Tong_hop"/>
      <sheetName val="Tu km 223  (2)"/>
      <sheetName val="KL (5)"/>
      <sheetName val="Dau"/>
      <sheetName val="T-no"/>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KL.TONG.CT"/>
      <sheetName val="KL.HT.2001"/>
      <sheetName val="BiaDT"/>
      <sheetName val="Khaitoan"/>
      <sheetName val="chenhdt"/>
      <sheetName val="VLQtoan"/>
      <sheetName val="QTchinh"/>
      <sheetName val="QToan"/>
      <sheetName val="KHOILUONG"/>
      <sheetName val="Thuyet minh"/>
      <sheetName val="VTBXlan"/>
      <sheetName val="LanBx"/>
      <sheetName val="DTBX"/>
      <sheetName val="pho"/>
      <sheetName val="Am"/>
      <sheetName val="Tuyen"/>
      <sheetName val="Chuyen"/>
      <sheetName val="Canh"/>
      <sheetName val="Dang"/>
      <sheetName val="Hieu"/>
      <sheetName val="thanh"/>
      <sheetName val="hai"/>
      <sheetName val="Phan"/>
      <sheetName val="Phucvu"/>
      <sheetName val="Giantiep"/>
      <sheetName val="TL3-2002"/>
      <sheetName val="9015"/>
      <sheetName val="0502"/>
      <sheetName val="2213"/>
      <sheetName val="7270"/>
      <sheetName val="8672"/>
      <sheetName val="3027"/>
      <sheetName val="3810"/>
      <sheetName val="8523"/>
      <sheetName val="BiaTT"/>
      <sheetName val="Voi B phu"/>
      <sheetName val="T7 KLTC"/>
      <sheetName val="CT thao do Nha an ca"/>
      <sheetName val="TH thao do Nha an ca"/>
      <sheetName val="CT XD Nha an ca"/>
      <sheetName val="CLVL XD Nha an ca"/>
      <sheetName val="CS"/>
      <sheetName val="Bia du toan"/>
      <sheetName val="tong hop kinh phi"/>
      <sheetName val="chi tiet"/>
      <sheetName val="VLC"/>
      <sheetName val="CLVL"/>
      <sheetName val="CST"/>
      <sheetName val="Bao cao 1"/>
      <sheetName val="lay kinh phi t91"/>
      <sheetName val="du toan 1"/>
      <sheetName val="du toan II"/>
      <sheetName val="Bao cao 3"/>
      <sheetName val="Phan dien"/>
      <sheetName val="lay kpthang 9"/>
      <sheetName val="lay kinh phi T6"/>
      <sheetName val="Hoan thanh"/>
      <sheetName val="Khoach"/>
      <sheetName val="hoan th 15"/>
      <sheetName val="Khoach 15"/>
      <sheetName val="HT 22"/>
      <sheetName val="KH 22"/>
      <sheetName val="KH29"/>
      <sheetName val="KH T8"/>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 12"/>
      <sheetName val="T120031"/>
      <sheetName val="T120032"/>
      <sheetName val="T101"/>
      <sheetName val="dien nn"/>
      <sheetName val="Nha TY"/>
      <sheetName val="Cap kho"/>
      <sheetName val="may cat"/>
      <sheetName val="Bao gia"/>
      <sheetName val="Bang gia"/>
      <sheetName val="Tong hop don gia"/>
      <sheetName val="Chiet tinh"/>
      <sheetName val="ht 30)11"/>
      <sheetName val="DT nuoc"/>
      <sheetName val="Tong hop KP"/>
      <sheetName val="Bia lap dat"/>
      <sheetName val="Bia ld"/>
      <sheetName val="Bia che tao"/>
      <sheetName val="Bia ct"/>
      <sheetName val="Tong hop ct"/>
      <sheetName val="Tong hop ld"/>
      <sheetName val="DG-BT"/>
      <sheetName val="DG-NS"/>
      <sheetName val="DG-Tron khuay"/>
      <sheetName val="DG-LB"/>
      <sheetName val="DG-MDE"/>
      <sheetName val="DG- TBCL"/>
      <sheetName val="DG-MK"/>
      <sheetName val="DG-MPD"/>
      <sheetName val="DG-LD4"/>
      <sheetName val="TH-DG"/>
      <sheetName val="DG-GC6"/>
      <sheetName val="DT-Lapdat"/>
      <sheetName val="DT-Giacong"/>
      <sheetName val="2001"/>
      <sheetName val="T.H 01"/>
      <sheetName val="2000"/>
      <sheetName val="1999"/>
      <sheetName val="NHNNBP"/>
      <sheetName val="K882"/>
      <sheetName val="GV"/>
      <sheetName val="D.THU"/>
      <sheetName val="DT"/>
      <sheetName val="[花費.xls偝䕞Áeet1"/>
      <sheetName val="DD6t"/>
      <sheetName val="Danh mucT6"/>
      <sheetName val="DanhmucquyII"/>
      <sheetName val="Danh muc6t"/>
      <sheetName val="SXKD"/>
      <sheetName val="Quy"/>
      <sheetName val=" K800 Vien KTQS"/>
      <sheetName val="Viet Nga"/>
      <sheetName val="CTCT 1996"/>
      <sheetName val="CTCT 1997"/>
      <sheetName val="Tong CTCT 98"/>
      <sheetName val="CTCP 98"/>
      <sheetName val="Tong CTCT 99"/>
      <sheetName val="CTCP nam1999"/>
      <sheetName val="Truong QS-QK4"/>
      <sheetName val="Tong CTCT2000"/>
      <sheetName val="CT chi phi 2000"/>
      <sheetName val="Tinh Doi NA"/>
      <sheetName val="Duong 19-5"/>
      <sheetName val="Tong hop nop Cty"/>
      <sheetName val="HT Gia Dinh HVHC"/>
      <sheetName val="CK3 QBinh"/>
      <sheetName val="SVD 2001"/>
      <sheetName val=" Tong CTCT 2001"/>
      <sheetName val="8B - HVHC"/>
      <sheetName val="N11- K8 2001"/>
      <sheetName val="Dai Kim"/>
      <sheetName val="Nha An-F968"/>
      <sheetName val="BQL TM Laobao"/>
      <sheetName val=" Nha Tu Lao Bao"/>
      <sheetName val="Ctu cphi 2001"/>
      <sheetName val="Nha Tu LBAO 2"/>
      <sheetName val="E80 QK4"/>
      <sheetName val="E-283 QK4"/>
      <sheetName val="Muong Xen"/>
      <sheetName val="E273- II"/>
      <sheetName val="E273 QK4"/>
      <sheetName val="A2 Nam Dan"/>
      <sheetName val="2-3"/>
      <sheetName val="Duong 2-3"/>
      <sheetName val="TTKHQS"/>
      <sheetName val="Chan May1"/>
      <sheetName val="Chan May 2"/>
      <sheetName val="Thanh Tra 1"/>
      <sheetName val="Thanh Tra 2"/>
      <sheetName val="E1-F324"/>
      <sheetName val="SCH F324"/>
      <sheetName val="Nha N18-3"/>
      <sheetName val="X467 Nha ma"/>
      <sheetName val="QUYET TOAN A-B 2001"/>
      <sheetName val="San Vuon HVHC"/>
      <sheetName val="1%"/>
      <sheetName val="10%"/>
      <sheetName val="BkeMH"/>
      <sheetName val="kk1%"/>
      <sheetName val="TKhai"/>
      <sheetName val="BCSDHD"/>
      <sheetName val="QTHD"/>
      <sheetName val="DRA"/>
      <sheetName val="BKCTNT"/>
      <sheetName val="QTTTN"/>
      <sheetName val="TKCT"/>
      <sheetName val="TKTTN"/>
      <sheetName val="DTHN"/>
      <sheetName val="THTT"/>
      <sheetName val="QTVAT"/>
      <sheetName val="CDDH2-04"/>
      <sheetName val="bctp1-04 (2)"/>
      <sheetName val="ChiphiTG"/>
      <sheetName val="154TG"/>
      <sheetName val="155 TG"/>
      <sheetName val="bcgd"/>
      <sheetName val="CP COTTO"/>
      <sheetName val="154+155 cotto"/>
      <sheetName val="155 Cotto"/>
      <sheetName val="CP Yen Hung"/>
      <sheetName val="154 YH +155YH"/>
      <sheetName val="CPPX men"/>
      <sheetName val="154 men"/>
      <sheetName val="155 men "/>
      <sheetName val="157"/>
      <sheetName val="157 6t"/>
      <sheetName val="lolai 157"/>
      <sheetName val="Lo lai ctto"/>
      <sheetName val="Lo lai men"/>
      <sheetName val="lo lai yen hung"/>
      <sheetName val="Lo lai tieu giao"/>
      <sheetName val="155men"/>
      <sheetName val="154 mem"/>
      <sheetName val="155 men"/>
      <sheetName val="bcthong ke"/>
      <sheetName val="PTVT"/>
      <sheetName val="bkevtu"/>
      <sheetName val="no"/>
      <sheetName val="bh"/>
      <sheetName val="an3"/>
      <sheetName val="an2"/>
      <sheetName val="ds"/>
      <sheetName val="an1"/>
      <sheetName val="tong"/>
      <sheetName val="oai"/>
      <sheetName val="g tiep"/>
      <sheetName val="p vu"/>
      <sheetName val="lap"/>
      <sheetName val="loi"/>
      <sheetName val="xuan"/>
      <sheetName val="kich"/>
      <sheetName val="Bao"/>
      <sheetName val="hoach"/>
      <sheetName val="Lam"/>
      <sheetName val="Canteen"/>
    </sheetNames>
    <definedNames>
      <definedName name="DataFilter"/>
      <definedName name="DataSort"/>
      <definedName name="GoBack"/>
    </defined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refreshError="1"/>
      <sheetData sheetId="866"/>
      <sheetData sheetId="867"/>
      <sheetData sheetId="868"/>
      <sheetData sheetId="869"/>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sheetData sheetId="884"/>
      <sheetData sheetId="885"/>
      <sheetData sheetId="886"/>
      <sheetData sheetId="887"/>
      <sheetData sheetId="888"/>
      <sheetData sheetId="889"/>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nLoaiDinhNghia"/>
      <sheetName val="DanhGia"/>
      <sheetName val="PhanLoaiNV"/>
      <sheetName val="ESOP"/>
      <sheetName val="Qthpt"/>
      <sheetName val="Qgb"/>
      <sheetName val="BangLuongMOI"/>
      <sheetName val="PhanCongLanhDao"/>
      <sheetName val="CEO"/>
      <sheetName val="YeucauLanhdao"/>
      <sheetName val="TopManagement"/>
    </sheetNames>
    <sheetDataSet>
      <sheetData sheetId="0" refreshError="1"/>
      <sheetData sheetId="1" refreshError="1"/>
      <sheetData sheetId="2" refreshError="1"/>
      <sheetData sheetId="3" refreshError="1"/>
      <sheetData sheetId="4" refreshError="1"/>
      <sheetData sheetId="5" refreshError="1"/>
      <sheetData sheetId="6" refreshError="1">
        <row r="10">
          <cell r="O10">
            <v>467</v>
          </cell>
        </row>
        <row r="11">
          <cell r="C11">
            <v>61.2</v>
          </cell>
          <cell r="G11">
            <v>127.68181818181819</v>
          </cell>
          <cell r="K11">
            <v>306.68020304568529</v>
          </cell>
        </row>
        <row r="16">
          <cell r="O16">
            <v>755.5</v>
          </cell>
          <cell r="S16">
            <v>847.5</v>
          </cell>
        </row>
        <row r="17">
          <cell r="G17">
            <v>189.8358208955224</v>
          </cell>
          <cell r="K17">
            <v>473.67313915857608</v>
          </cell>
        </row>
        <row r="21">
          <cell r="K21">
            <v>620</v>
          </cell>
        </row>
        <row r="22">
          <cell r="O22">
            <v>1198.5</v>
          </cell>
          <cell r="S22">
            <v>1393</v>
          </cell>
        </row>
        <row r="27">
          <cell r="G27">
            <v>348</v>
          </cell>
          <cell r="K27">
            <v>935</v>
          </cell>
        </row>
        <row r="28">
          <cell r="K28">
            <v>991.41123439667126</v>
          </cell>
          <cell r="O28">
            <v>1848.5</v>
          </cell>
          <cell r="S28">
            <v>2229</v>
          </cell>
        </row>
      </sheetData>
      <sheetData sheetId="7" refreshError="1"/>
      <sheetData sheetId="8" refreshError="1"/>
      <sheetData sheetId="9" refreshError="1"/>
      <sheetData sheetId="1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Sheet16"/>
      <sheetName val="Assumptions"/>
      <sheetName val="95WBS"/>
      <sheetName val="소비자가"/>
      <sheetName val="인원계획-미화"/>
      <sheetName val="DTXL"/>
      <sheetName val="신가격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1"/>
      <sheetName val="1312"/>
      <sheetName val="1313"/>
      <sheetName val="1314"/>
      <sheetName val="2441"/>
      <sheetName val="3441"/>
      <sheetName val="3442"/>
      <sheetName val="3443.."/>
      <sheetName val="3311"/>
      <sheetName val="3351"/>
      <sheetName val="Accrual Jul'17"/>
      <sheetName val="1368"/>
      <sheetName val="VAT input recon"/>
      <sheetName val="VAT 31.07.17"/>
      <sheetName val="At as 31.08.2017"/>
    </sheetNames>
    <definedNames>
      <definedName name="BTRAM"/>
      <definedName name="DSTD_Clear" refersTo="#REF!" sheetId="10"/>
      <definedName name="PtichDTL" refersTo="#REF!" sheetId="10"/>
      <definedName name="TAM" refersTo="#REF!" sheetId="10"/>
      <definedName name="TXL" refersTo="#REF!" sheetId="10"/>
    </definedNames>
    <sheetDataSet>
      <sheetData sheetId="0">
        <row r="766">
          <cell r="I766">
            <v>3204062282</v>
          </cell>
        </row>
      </sheetData>
      <sheetData sheetId="1"/>
      <sheetData sheetId="2">
        <row r="772">
          <cell r="I772">
            <v>288656151</v>
          </cell>
        </row>
      </sheetData>
      <sheetData sheetId="3"/>
      <sheetData sheetId="4"/>
      <sheetData sheetId="5"/>
      <sheetData sheetId="6"/>
      <sheetData sheetId="7"/>
      <sheetData sheetId="8">
        <row r="4">
          <cell r="B4" t="str">
            <v>Code</v>
          </cell>
        </row>
      </sheetData>
      <sheetData sheetId="9"/>
      <sheetData sheetId="10"/>
      <sheetData sheetId="11" refreshError="1"/>
      <sheetData sheetId="12"/>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GTCE"/>
      <sheetName val="BDGTCE-AG"/>
      <sheetName val="BDGTCE-PM"/>
      <sheetName val="FS"/>
      <sheetName val="Sheet16"/>
      <sheetName val="#REF"/>
      <sheetName val="#Lookup"/>
    </sheetNames>
    <sheetDataSet>
      <sheetData sheetId="0"/>
      <sheetData sheetId="1"/>
      <sheetData sheetId="2"/>
      <sheetData sheetId="3" refreshError="1"/>
      <sheetData sheetId="4" refreshError="1"/>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atabas"/>
      <sheetName val="NAME"/>
      <sheetName val="cover"/>
      <sheetName val="실행갑지"/>
      <sheetName val="BOQ 실행10.9"/>
      <sheetName val="Sheet1"/>
      <sheetName val="대비"/>
      <sheetName val="금액집계"/>
      <sheetName val="전기일위대가"/>
      <sheetName val="설계내역서"/>
      <sheetName val="TEL"/>
      <sheetName val="소비자가"/>
      <sheetName val="기계경비(시간당)"/>
      <sheetName val="램머"/>
      <sheetName val="입찰안"/>
      <sheetName val="6호기"/>
      <sheetName val="갑지"/>
      <sheetName val="1차 내역서"/>
      <sheetName val="골조시행"/>
      <sheetName val="1ST"/>
      <sheetName val="일위대가"/>
      <sheetName val="EACT10"/>
      <sheetName val="내역서(총)"/>
      <sheetName val="개요"/>
      <sheetName val="일위대가목차"/>
      <sheetName val="BID"/>
      <sheetName val="DESIGN CRITERIA"/>
      <sheetName val="Sheet2 (2)"/>
      <sheetName val="산출금액내역"/>
      <sheetName val="청천내"/>
      <sheetName val="실행(표지,갑,을)"/>
      <sheetName val="기본일위"/>
      <sheetName val="CUSTOMER"/>
      <sheetName val="부대대비"/>
      <sheetName val="냉연집계"/>
      <sheetName val="데이타"/>
      <sheetName val="기계내역"/>
      <sheetName val="공통비(전체)"/>
      <sheetName val="내역_FILE"/>
      <sheetName val="asd"/>
      <sheetName val="중갑지"/>
      <sheetName val="수량산출"/>
      <sheetName val="총투입계"/>
      <sheetName val="계정"/>
      <sheetName val="내역서"/>
      <sheetName val="견적서세부내용"/>
      <sheetName val="견적내용입력"/>
      <sheetName val="백암비스타내역"/>
      <sheetName val="공통가설"/>
      <sheetName val="1-1"/>
      <sheetName val="아파트"/>
      <sheetName val="노임단가"/>
      <sheetName val="Customer_Databas"/>
      <sheetName val="BOQ_실행10_9"/>
      <sheetName val="1차_내역서"/>
      <sheetName val="Sheet2_(2)"/>
      <sheetName val="DESIGN_CRITERIA"/>
      <sheetName val="직재"/>
      <sheetName val="#REF"/>
      <sheetName val="일위대가(4층원격)"/>
      <sheetName val="N賃率-職"/>
      <sheetName val="일위대가목록"/>
      <sheetName val="예가표"/>
      <sheetName val="건축원가계산서"/>
      <sheetName val="코스모공장 (어음)"/>
      <sheetName val="FANDBS"/>
      <sheetName val="GRDATA"/>
      <sheetName val="SHAFTDBSE"/>
      <sheetName val="BDGTCE"/>
      <sheetName val="경산"/>
      <sheetName val="신고서.전"/>
      <sheetName val="공사내역"/>
      <sheetName val="일용직내역"/>
      <sheetName val="재집"/>
      <sheetName val="0226"/>
      <sheetName val="실행(ALT1)"/>
      <sheetName val="Cash Flows"/>
      <sheetName val="Area"/>
      <sheetName val="인원계획-미화"/>
      <sheetName val="#Lookup"/>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gia"/>
      <sheetName val="ptdg"/>
      <sheetName val="gia vt,nc,may"/>
      <sheetName val="XL4Poppy"/>
      <sheetName val="tuong"/>
      <sheetName val="Customer Databas"/>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Tong San luong"/>
      <sheetName val="TQT"/>
      <sheetName val="Tong Quyettoan"/>
      <sheetName val="Quyettoan 2001"/>
      <sheetName val="TT tam ung"/>
      <sheetName val="QT thue 2001"/>
      <sheetName val="P bo CPC 2001"/>
      <sheetName val="PB KHTS 2001"/>
      <sheetName val="Dieuchinh thueVAT"/>
      <sheetName val="Sheet2"/>
      <sheetName val="Sheet3"/>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gia vt,nc,may"/>
      <sheetName val="Congty"/>
      <sheetName val="VPPN"/>
      <sheetName val="XN74"/>
      <sheetName val="XN54"/>
      <sheetName val="XN33"/>
      <sheetName val="NK96"/>
      <sheetName val="XL4Test5"/>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5 nam (tach)"/>
      <sheetName val="5 nam (tach) (2)"/>
      <sheetName val="KH 2003"/>
      <sheetName val="tong hop"/>
      <sheetName val="phan tich DG"/>
      <sheetName val="gia vat lieu"/>
      <sheetName val="gia xe may"/>
      <sheetName val="gia nhan cong"/>
      <sheetName val="Tonghop30.9"/>
      <sheetName val="Tonghop15.7"/>
      <sheetName val="Tonghop30.6"/>
      <sheetName val="Tonghop30.4"/>
      <sheetName val="Tonghop30.2"/>
      <sheetName val="Tonghop31.12"/>
      <sheetName val="CPQl"/>
      <sheetName val="DBDAN"/>
      <sheetName val="CTCCN"/>
      <sheetName val="TDC"/>
      <sheetName val="Daotao"/>
      <sheetName val="Quang Tri"/>
      <sheetName val="TTHue"/>
      <sheetName val="Da Nang"/>
      <sheetName val="Quang Nam"/>
      <sheetName val="Quang Ngai"/>
      <sheetName val="TH DH-QN"/>
      <sheetName val="KP HD"/>
      <sheetName val="DB HD"/>
      <sheetName val="TH"/>
      <sheetName val="THop (2)"/>
      <sheetName val="phÐp 99"/>
      <sheetName val="Nghi s¬n (2)"/>
      <sheetName val="kt1 (2)"/>
      <sheetName val="Tiepthi"/>
      <sheetName val="THop"/>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NEW_PANEL"/>
      <sheetName val="TK331A"/>
      <sheetName val="TK131B"/>
      <sheetName val="TK131A"/>
      <sheetName val="TK 331c1"/>
      <sheetName val="TK331C"/>
      <sheetName val="CT331-2003"/>
      <sheetName val="CT 331"/>
      <sheetName val="CT131-2003"/>
      <sheetName val="CT 131"/>
      <sheetName val="TK331B"/>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gia vat mieu"/>
      <sheetName val="ctTBA"/>
      <sheetName val="ton tam"/>
      <sheetName val="Thep hinh"/>
      <sheetName val="p-in"/>
      <sheetName val="cong40_x0016_-410"/>
      <sheetName val="T1"/>
      <sheetName val="T2"/>
      <sheetName val="KHOI LUONG"/>
      <sheetName val="[heet30"/>
      <sheetName val="BL01"/>
      <sheetName val="BL02"/>
      <sheetName val="BL03"/>
      <sheetName val="Sheet4"/>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
      <sheetName val="DSKH HN"/>
      <sheetName val="NKY "/>
      <sheetName val="DS-TT"/>
      <sheetName val=" HN NHAP"/>
      <sheetName val="KHO HN"/>
      <sheetName val="CNO "/>
      <sheetName val="_x0012_2-9"/>
      <sheetName val="kh Òv-10"/>
      <sheetName val="k`28-10"/>
      <sheetName val="Sheet5"/>
      <sheetName val="Sheet6"/>
      <sheetName val="Sheet7"/>
      <sheetName val="Sheet8"/>
      <sheetName val="Sheet9"/>
      <sheetName val="Sheet10"/>
      <sheetName val="Sheet13"/>
      <sheetName val="Sheet14"/>
      <sheetName val="Sheet15"/>
      <sheetName val="Sheet16"/>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400-415.37"/>
      <sheetName val="KL NR2"/>
      <sheetName val="NR2 565 PQ DQ"/>
      <sheetName val="565 DD"/>
      <sheetName val="M2-415.37"/>
      <sheetName val="Cong"/>
      <sheetName val="507 PQ"/>
      <sheetName val="507 DD"/>
      <sheetName val=" Subbase"/>
      <sheetName val="NR2"/>
      <sheetName val="Bang lu哜ng CB"/>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tuong"/>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uan B_x0000_ao"/>
      <sheetName val="T9"/>
      <sheetName val="K255 SBasa"/>
      <sheetName val="[PANEL.XLSŝQT thue 2001"/>
      <sheetName val="Bang PTKL/Luu"/>
      <sheetName val="gvl"/>
      <sheetName val="THqchienKHTVQI-2003"/>
      <sheetName val="Ba⁮g luong CB"/>
      <sheetName val="TH FF140"/>
      <sheetName val="TH FF177"/>
      <sheetName val="Tien dat HD"/>
      <sheetName val="TH cong no"/>
      <sheetName val="12.03"/>
      <sheetName val="1.04"/>
      <sheetName val="2.04"/>
      <sheetName val="3.04"/>
      <sheetName val="4.04"/>
      <sheetName val="[PANEL.XLS_x001d_T5"/>
      <sheetName val="SŨeet3"/>
      <sheetName val="Giantiep"/>
      <sheetName val="Phucvu"/>
      <sheetName val="PXBTso1_SLa"/>
      <sheetName val="PXBT TQuang"/>
      <sheetName val="Doicogioi"/>
      <sheetName val="PXnghien"/>
      <sheetName val="BTHLT01&amp;0205"/>
      <sheetName val="Dien+T 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NEW-PANEL"/>
      <sheetName val="gia vt,nc,may"/>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C47-456"/>
      <sheetName val="C46"/>
      <sheetName val="C47-PII"/>
      <sheetName val="dongia_x0000__x0000__x0000__x0000__x0000__x0000__x0000__x0000__x0000__x0000_ _x0000_㢠ś_x0000__x0004__x0000__x0000__x0000__x0000__x0000__x0000_㋄ś_x0000_"/>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 㢠ś_x0004__x0000_㋄ś"/>
      <sheetName val="dongia_x0000_ 㢠ś_x0000__x0004__x0000_㋄ś_x0000_"/>
      <sheetName val="phan tich DG_x0000__x0000_㠨Ȣ_x0000__x0004__x0000__x0000__x0000__x0000__x0000__x0000_杀Ȣ_x0000__x0000__x0000__x0000__x0000_"/>
      <sheetName val="THCP"/>
      <sheetName val="BQT"/>
      <sheetName val="RG"/>
      <sheetName val="BCVT"/>
      <sheetName val="BKHD"/>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N"/>
      <sheetName val="ND"/>
      <sheetName val="VL"/>
      <sheetName val="Chart1"/>
      <sheetName val="KL18Thang"/>
      <sheetName val="TH"/>
      <sheetName val="M200"/>
      <sheetName val="DTCT"/>
      <sheetName val="Shaet4"/>
      <sheetName val="Page 3"/>
      <sheetName val="d䁧"/>
      <sheetName val=""/>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_x0000__x0000__x0000__x0000__x0000__x0000__x0000__x0000__x0000_ _x0000_?s_x0000__x0004__x0000__x0000__x0000__x0000__x0000__x0000_?s_x0000__x0000__x0000__x0000__x0000__x0000__x0000__x0000_"/>
      <sheetName val="d?"/>
      <sheetName val="dongia_x0000__x0000__x0000__x0000__x0000__x0000__x0000__x0000__x0000__x0000_ _x0000_?s_x0000__x0004__x0000__x0000__x0000__x0000__x0000__x0000_?s_x0000_"/>
      <sheetName val="dongia_x0000_ ?s_x0000__x0004__x0000_?s_x0000_"/>
      <sheetName val="dongia_x0000_ ?s_x0004__x0000_?s"/>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 ?s_x0000__x0004__x0000_?s_x0000_"/>
      <sheetName val="ch DG_x0000_??_x0000__x0004__x0000_??_x0000_??_x0000_"/>
      <sheetName val="phan tich DG_x0000_??_x0000__x0004__x0000_??_x0000_"/>
      <sheetName val="dongia_x0000__x0000__x0000__x0000__x0000__x0000__x0000__x0000__x0000__x0000__x0009__x0000_㢠ś_x0000__x0004__x0000__x0000__x0000__x0000__x0000__x0000_㋄ś_x0000_"/>
      <sheetName val="dongia_x0000__x0009_㢠ś_x0004__x0000_㋄ś"/>
      <sheetName val="dongia_x0000__x0009_㢠ś_x0000__x0004__x0000_㋄ś_x0000_"/>
      <sheetName val="_x0000__x0000__x0000__x0000__x0000__x0000__x0000__x0000__x0000__x0009__x0000_?s_x0000__x0004__x0000__x0000__x0000__x0000__x0000__x0000_?s_x0000__x0000__x0000__x0000__x0000__x0000__x0000__x0000_"/>
      <sheetName val="dongia_x0000__x0000__x0000__x0000__x0000__x0000__x0000__x0000__x0000__x0000__x0009__x0000_?s_x0000__x0004__x0000__x0000__x0000__x0000__x0000__x0000_?s_x0000_"/>
      <sheetName val="dongia_x0000__x0009_?s_x0000__x0004__x0000_?s_x0000_"/>
      <sheetName val="dongia_x0000__x0009_?s_x0004__x0000_?s"/>
      <sheetName val="_x0009_?s_x0000__x0004__x0000_?s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
      <sheetName val="Facility Information"/>
      <sheetName val="General"/>
      <sheetName val="Training"/>
      <sheetName val="People"/>
      <sheetName val="Risk"/>
      <sheetName val="Quality"/>
      <sheetName val="PPA - Score Sheet"/>
      <sheetName val="Graphs"/>
      <sheetName val="Action Plan"/>
      <sheetName val="Special Notes"/>
      <sheetName val="Module1"/>
      <sheetName val="Module2"/>
      <sheetName val="Module3"/>
      <sheetName val="7기예산"/>
      <sheetName val="임대수익_시그마"/>
      <sheetName val="관리수익_시그마"/>
      <sheetName val="위탁관리비"/>
      <sheetName val="임대수익_시티"/>
      <sheetName val="수광비_시그마"/>
      <sheetName val="공사"/>
      <sheetName val="기타제세공과"/>
      <sheetName val="보증금_시그마"/>
      <sheetName val="보험료"/>
      <sheetName val="감가상각비"/>
      <sheetName val="예산결과"/>
      <sheetName val="지급수수료-변경시"/>
      <sheetName val="지급수수료-현행"/>
      <sheetName val="일반관리비"/>
      <sheetName val="이자수익"/>
      <sheetName val="revenue rate"/>
      <sheetName val="Sale_Actual"/>
      <sheetName val="QPQ_2001"/>
      <sheetName val="Utility Cost Trend"/>
      <sheetName val="Operational Activities"/>
    </sheetNames>
    <sheetDataSet>
      <sheetData sheetId="0" refreshError="1">
        <row r="1">
          <cell r="A1" t="str">
            <v>ServiceMaster Management Services</v>
          </cell>
        </row>
        <row r="2">
          <cell r="A2" t="str">
            <v>Quality Performance Quotient</v>
          </cell>
        </row>
        <row r="3">
          <cell r="A3" t="str">
            <v/>
          </cell>
        </row>
        <row r="4">
          <cell r="A4" t="str">
            <v>Directions and Guidelines - 2001</v>
          </cell>
        </row>
        <row r="6">
          <cell r="B6" t="str">
            <v>Purpose</v>
          </cell>
        </row>
        <row r="7">
          <cell r="B7" t="str">
            <v>The purpose of this instruction is to introduce and provide guidelines for the “Quality Performance Quotient” (QPQ).  The QPQ has five major components:</v>
          </cell>
        </row>
        <row r="9">
          <cell r="B9" t="str">
            <v>General - This section refers to all parts of our business</v>
          </cell>
        </row>
        <row r="10">
          <cell r="B10" t="str">
            <v>Training - Training items relative to everyone</v>
          </cell>
        </row>
        <row r="11">
          <cell r="B11" t="str">
            <v>People - ServiceMaster Hourly Employees Only</v>
          </cell>
        </row>
        <row r="12">
          <cell r="B12" t="str">
            <v>Risk - Covers risk and liability issues</v>
          </cell>
        </row>
        <row r="13">
          <cell r="B13" t="str">
            <v>Quality - Basic ServiceMaster programs</v>
          </cell>
        </row>
        <row r="15">
          <cell r="B15" t="str">
            <v>This program is in an electronic form using Microsoft Excel 97.  You may run hard copies for use in the field, than transfer the results to the electronic version and it will automatically total the results.  Always save a blank for future use!</v>
          </cell>
        </row>
        <row r="16">
          <cell r="B16" t="str">
            <v>COVER PAGE - PROGRAM SET UP</v>
          </cell>
        </row>
        <row r="17">
          <cell r="B17" t="str">
            <v>1.  Select Services</v>
          </cell>
        </row>
        <row r="18">
          <cell r="B18" t="str">
            <v>2.  Select Payroll   (May be both Facility and ServiceMaster)</v>
          </cell>
        </row>
        <row r="19">
          <cell r="B19" t="str">
            <v>3.  Select Market</v>
          </cell>
        </row>
        <row r="20">
          <cell r="B20" t="str">
            <v>4.  Click on Red and Grey box - Program will automatically score questions you are responsible for as a "1"</v>
          </cell>
        </row>
        <row r="21">
          <cell r="B21" t="str">
            <v>5.  To start over click Green and Grey box - Program will automatically "N/A" every question</v>
          </cell>
        </row>
        <row r="22">
          <cell r="B22" t="str">
            <v>6.  To Print - Click Yellow and Grey Box - Program will print entire QPQ, Score Sheet, Action Plan, and Graphs</v>
          </cell>
        </row>
        <row r="23">
          <cell r="B23" t="str">
            <v>7.  To create "Action Plan" Go to Action Plan tab and click Black and Grey box.</v>
          </cell>
        </row>
        <row r="26">
          <cell r="B26" t="str">
            <v>Scoring Guidelines</v>
          </cell>
        </row>
        <row r="28">
          <cell r="A28" t="str">
            <v>A.</v>
          </cell>
          <cell r="B28" t="str">
            <v xml:space="preserve">Fill in boxes to the left of the question with a number :( 0-1-2.) If a question does not apply, type "2" to ensure the points in the possible point box will not be counted in the total score. </v>
          </cell>
        </row>
        <row r="30">
          <cell r="A30" t="str">
            <v>B.</v>
          </cell>
          <cell r="B30" t="str">
            <v xml:space="preserve">The Total points and Possible points boxes will fill in automatically when the left box is filled. </v>
          </cell>
        </row>
        <row r="32">
          <cell r="A32" t="str">
            <v>C.</v>
          </cell>
          <cell r="B32" t="str">
            <v xml:space="preserve">One of the following values should be used for scoring in the left boxes for each question.  </v>
          </cell>
        </row>
        <row r="33">
          <cell r="A33">
            <v>0</v>
          </cell>
          <cell r="B33" t="str">
            <v>Complete or substantial failure to comply with standard</v>
          </cell>
          <cell r="C33">
            <v>0</v>
          </cell>
        </row>
        <row r="34">
          <cell r="A34">
            <v>1</v>
          </cell>
          <cell r="B34" t="str">
            <v xml:space="preserve">Complete or substantial compliance with standard </v>
          </cell>
          <cell r="C34">
            <v>1</v>
          </cell>
        </row>
        <row r="35">
          <cell r="A35">
            <v>2</v>
          </cell>
          <cell r="B35" t="str">
            <v>Used for NOT APPLICABLE (N/A)</v>
          </cell>
          <cell r="C35" t="str">
            <v>N/A</v>
          </cell>
        </row>
        <row r="38">
          <cell r="A38">
            <v>0</v>
          </cell>
        </row>
        <row r="40">
          <cell r="A40" t="str">
            <v>D.</v>
          </cell>
          <cell r="B40" t="str">
            <v>Enter previous PPA/QPQ/QPE scores on QPQ Score Sheet (Right Hand Column)</v>
          </cell>
        </row>
        <row r="41">
          <cell r="A41" t="str">
            <v>E.</v>
          </cell>
          <cell r="B41" t="str">
            <v>Insert Previous scores in Col E on Score Page</v>
          </cell>
        </row>
        <row r="44">
          <cell r="B44" t="str">
            <v/>
          </cell>
        </row>
        <row r="45">
          <cell r="A45" t="str">
            <v>References</v>
          </cell>
        </row>
        <row r="47">
          <cell r="A47" t="str">
            <v>ANSI: A13.1</v>
          </cell>
          <cell r="B47" t="str">
            <v xml:space="preserve">Scheme for the identification of Piping Systems </v>
          </cell>
        </row>
        <row r="49">
          <cell r="A49" t="str">
            <v>NFPA 10</v>
          </cell>
          <cell r="B49" t="str">
            <v>Standard for Portable Fire Extinguishers</v>
          </cell>
        </row>
        <row r="51">
          <cell r="A51" t="str">
            <v>NFPA 13</v>
          </cell>
          <cell r="B51" t="str">
            <v>Standard for the Installation of Sprinkler Systems</v>
          </cell>
        </row>
        <row r="53">
          <cell r="A53" t="str">
            <v>NFPA 13A</v>
          </cell>
          <cell r="B53" t="str">
            <v>Recommended Practice for the Inspection, Testing and Maintenance of Sprinkler Systems</v>
          </cell>
        </row>
        <row r="55">
          <cell r="A55" t="str">
            <v>NFPA 70</v>
          </cell>
          <cell r="B55" t="str">
            <v>National Electrical Code</v>
          </cell>
        </row>
        <row r="57">
          <cell r="A57" t="str">
            <v>NFPA 96</v>
          </cell>
          <cell r="B57" t="str">
            <v>Standard for the Installation of Equipment for the</v>
          </cell>
        </row>
        <row r="58">
          <cell r="B58" t="str">
            <v>Removal of Smoke and Grease - Laden vapors from</v>
          </cell>
        </row>
        <row r="59">
          <cell r="B59" t="str">
            <v>Commercial Cooking Equipment</v>
          </cell>
        </row>
        <row r="61">
          <cell r="A61" t="str">
            <v>NFPA 99</v>
          </cell>
          <cell r="B61" t="str">
            <v>Health Care Facilities</v>
          </cell>
        </row>
        <row r="63">
          <cell r="A63" t="str">
            <v>NFPA 101</v>
          </cell>
          <cell r="B63" t="str">
            <v>Code for Safety of Life from fire in Buildings and</v>
          </cell>
        </row>
        <row r="64">
          <cell r="B64" t="str">
            <v>Structures. (Life Safety Code 101)</v>
          </cell>
        </row>
        <row r="66">
          <cell r="A66" t="str">
            <v>OSHA</v>
          </cell>
          <cell r="B66" t="str">
            <v>General Industry Safety and Health Standards</v>
          </cell>
        </row>
        <row r="67">
          <cell r="A67" t="str">
            <v>29 CFR 1910</v>
          </cell>
        </row>
      </sheetData>
      <sheetData sheetId="1">
        <row r="1">
          <cell r="F1" t="str">
            <v>ServiceMaster Management Services</v>
          </cell>
        </row>
      </sheetData>
      <sheetData sheetId="2" refreshError="1"/>
      <sheetData sheetId="3" refreshError="1">
        <row r="1">
          <cell r="F1" t="str">
            <v>ServiceMaster Management Services</v>
          </cell>
          <cell r="J1" t="str">
            <v/>
          </cell>
        </row>
        <row r="2">
          <cell r="A2" t="str">
            <v>Facility:</v>
          </cell>
          <cell r="B2" t="str">
            <v/>
          </cell>
          <cell r="C2" t="str">
            <v/>
          </cell>
          <cell r="F2" t="str">
            <v>Quality Performance Quotient</v>
          </cell>
          <cell r="G2" t="str">
            <v>Fac #:</v>
          </cell>
          <cell r="H2" t="str">
            <v/>
          </cell>
        </row>
        <row r="3">
          <cell r="A3" t="str">
            <v>Manager:</v>
          </cell>
          <cell r="C3" t="str">
            <v/>
          </cell>
          <cell r="F3">
            <v>2001</v>
          </cell>
        </row>
        <row r="4">
          <cell r="A4" t="str">
            <v>Date:</v>
          </cell>
          <cell r="C4" t="str">
            <v/>
          </cell>
          <cell r="F4">
            <v>2001</v>
          </cell>
          <cell r="G4" t="str">
            <v>DATE:</v>
          </cell>
          <cell r="H4" t="str">
            <v>DATE:</v>
          </cell>
          <cell r="I4" t="str">
            <v/>
          </cell>
          <cell r="J4" t="str">
            <v/>
          </cell>
        </row>
        <row r="5">
          <cell r="A5" t="str">
            <v>Evaluator:</v>
          </cell>
          <cell r="C5" t="str">
            <v/>
          </cell>
          <cell r="F5" t="str">
            <v/>
          </cell>
          <cell r="G5" t="str">
            <v>Date:</v>
          </cell>
          <cell r="H5" t="str">
            <v/>
          </cell>
          <cell r="I5" t="str">
            <v/>
          </cell>
          <cell r="J5" t="str">
            <v>Possible</v>
          </cell>
        </row>
        <row r="6">
          <cell r="A6" t="str">
            <v>Title:</v>
          </cell>
          <cell r="C6" t="str">
            <v/>
          </cell>
          <cell r="F6" t="str">
            <v>GENERAL</v>
          </cell>
          <cell r="H6" t="str">
            <v>Score</v>
          </cell>
          <cell r="I6" t="str">
            <v>Possible</v>
          </cell>
          <cell r="J6" t="str">
            <v>Score</v>
          </cell>
        </row>
        <row r="7">
          <cell r="A7">
            <v>1</v>
          </cell>
          <cell r="D7">
            <v>1</v>
          </cell>
          <cell r="F7" t="str">
            <v>ALL</v>
          </cell>
          <cell r="G7" t="str">
            <v>Score</v>
          </cell>
          <cell r="H7" t="str">
            <v/>
          </cell>
          <cell r="I7" t="str">
            <v>Score</v>
          </cell>
          <cell r="J7" t="str">
            <v>Score</v>
          </cell>
        </row>
        <row r="8">
          <cell r="A8" t="str">
            <v/>
          </cell>
          <cell r="D8">
            <v>1</v>
          </cell>
          <cell r="F8" t="str">
            <v>ALL</v>
          </cell>
          <cell r="G8" t="str">
            <v>Score</v>
          </cell>
          <cell r="H8">
            <v>1</v>
          </cell>
          <cell r="I8" t="str">
            <v>Score</v>
          </cell>
          <cell r="J8">
            <v>1</v>
          </cell>
        </row>
        <row r="9">
          <cell r="A9">
            <v>1</v>
          </cell>
          <cell r="C9">
            <v>1</v>
          </cell>
          <cell r="D9" t="str">
            <v/>
          </cell>
          <cell r="F9" t="str">
            <v xml:space="preserve">Are all copies of licenses, permits and inspections required by Federal, State and Local Agencies posted or available? </v>
          </cell>
          <cell r="G9">
            <v>1</v>
          </cell>
          <cell r="H9">
            <v>1</v>
          </cell>
          <cell r="I9">
            <v>1</v>
          </cell>
          <cell r="J9">
            <v>1</v>
          </cell>
        </row>
        <row r="10">
          <cell r="A10">
            <v>2</v>
          </cell>
          <cell r="C10">
            <v>1</v>
          </cell>
          <cell r="D10">
            <v>1</v>
          </cell>
          <cell r="F10" t="str">
            <v>Are the ServiceMaster manuals current and kept in a secured place? (Account, Technical, Managers, etc.)</v>
          </cell>
          <cell r="G10">
            <v>1</v>
          </cell>
          <cell r="H10">
            <v>1</v>
          </cell>
          <cell r="I10">
            <v>1</v>
          </cell>
          <cell r="J10">
            <v>1</v>
          </cell>
        </row>
        <row r="11">
          <cell r="A11">
            <v>3</v>
          </cell>
          <cell r="C11">
            <v>1</v>
          </cell>
          <cell r="D11">
            <v>1</v>
          </cell>
          <cell r="F11" t="str">
            <v>Does the Manager take an active part in Joint Review Meeting?  Are there minutes from the meeting on file?</v>
          </cell>
          <cell r="G11">
            <v>1</v>
          </cell>
          <cell r="H11">
            <v>1</v>
          </cell>
          <cell r="I11">
            <v>1</v>
          </cell>
          <cell r="J11">
            <v>1</v>
          </cell>
        </row>
        <row r="12">
          <cell r="A12">
            <v>4</v>
          </cell>
          <cell r="C12">
            <v>1</v>
          </cell>
          <cell r="D12">
            <v>1</v>
          </cell>
          <cell r="F12" t="str">
            <v>Has (have) the Manager(s) taken an active part in facility activities (picnics, parties, Founders Day, Board Meetings)?</v>
          </cell>
          <cell r="G12">
            <v>1</v>
          </cell>
          <cell r="H12">
            <v>1</v>
          </cell>
          <cell r="I12">
            <v>1</v>
          </cell>
          <cell r="J12">
            <v>1</v>
          </cell>
        </row>
        <row r="13">
          <cell r="A13">
            <v>5</v>
          </cell>
          <cell r="B13" t="str">
            <v>a.</v>
          </cell>
          <cell r="C13">
            <v>1</v>
          </cell>
          <cell r="D13">
            <v>1</v>
          </cell>
          <cell r="F13" t="str">
            <v>Is the Manager's office area (desk, files, etc.) neat, clean, and orderly?</v>
          </cell>
          <cell r="G13">
            <v>1</v>
          </cell>
          <cell r="H13">
            <v>1</v>
          </cell>
          <cell r="I13">
            <v>1</v>
          </cell>
          <cell r="J13">
            <v>1</v>
          </cell>
        </row>
        <row r="14">
          <cell r="A14">
            <v>6</v>
          </cell>
          <cell r="B14" t="str">
            <v>b.</v>
          </cell>
          <cell r="C14">
            <v>1</v>
          </cell>
          <cell r="D14">
            <v>1</v>
          </cell>
          <cell r="F14" t="str">
            <v>Was an Annual Performance Review presented to the facility Administration within the past year?</v>
          </cell>
          <cell r="G14">
            <v>1</v>
          </cell>
          <cell r="H14">
            <v>1</v>
          </cell>
          <cell r="I14">
            <v>1</v>
          </cell>
          <cell r="J14">
            <v>1</v>
          </cell>
        </row>
        <row r="15">
          <cell r="A15">
            <v>7</v>
          </cell>
          <cell r="B15" t="str">
            <v>c.</v>
          </cell>
          <cell r="C15">
            <v>1</v>
          </cell>
          <cell r="D15" t="str">
            <v/>
          </cell>
          <cell r="F15" t="str">
            <v>Are copies of previous APRs available for review?  Is a file maintained for developing the next APR?</v>
          </cell>
          <cell r="G15">
            <v>1</v>
          </cell>
          <cell r="H15">
            <v>1</v>
          </cell>
          <cell r="I15">
            <v>1</v>
          </cell>
          <cell r="J15">
            <v>1</v>
          </cell>
        </row>
        <row r="16">
          <cell r="A16">
            <v>8</v>
          </cell>
          <cell r="C16">
            <v>1</v>
          </cell>
          <cell r="D16">
            <v>1</v>
          </cell>
          <cell r="F16" t="str">
            <v>Has the Manager prepared budget data for consideration by facility Administration?</v>
          </cell>
          <cell r="G16">
            <v>1</v>
          </cell>
          <cell r="H16">
            <v>7</v>
          </cell>
          <cell r="I16">
            <v>1</v>
          </cell>
          <cell r="J16">
            <v>7</v>
          </cell>
        </row>
        <row r="17">
          <cell r="A17">
            <v>9</v>
          </cell>
          <cell r="C17">
            <v>1</v>
          </cell>
          <cell r="D17">
            <v>1</v>
          </cell>
          <cell r="F17" t="str">
            <v>Is the ServiceMaster budget at or below target?</v>
          </cell>
          <cell r="G17">
            <v>1</v>
          </cell>
          <cell r="H17">
            <v>1</v>
          </cell>
          <cell r="I17">
            <v>1</v>
          </cell>
          <cell r="J17">
            <v>1</v>
          </cell>
        </row>
        <row r="18">
          <cell r="A18">
            <v>10</v>
          </cell>
          <cell r="C18">
            <v>1</v>
          </cell>
          <cell r="D18">
            <v>1</v>
          </cell>
          <cell r="F18" t="str">
            <v>Are the department's operating expenses are at or below budgeted levels YTD for both payroll and expense categories?</v>
          </cell>
          <cell r="G18">
            <v>1</v>
          </cell>
          <cell r="H18">
            <v>1</v>
          </cell>
          <cell r="I18">
            <v>1</v>
          </cell>
          <cell r="J18">
            <v>1</v>
          </cell>
        </row>
        <row r="19">
          <cell r="A19">
            <v>11</v>
          </cell>
          <cell r="C19">
            <v>1</v>
          </cell>
          <cell r="D19">
            <v>1</v>
          </cell>
          <cell r="F19" t="str">
            <v>Have authorized ServiceMaster purchasing programs have been evaluated for potential benefit?</v>
          </cell>
          <cell r="G19">
            <v>1</v>
          </cell>
          <cell r="H19">
            <v>1</v>
          </cell>
          <cell r="I19">
            <v>1</v>
          </cell>
          <cell r="J19">
            <v>1</v>
          </cell>
        </row>
        <row r="20">
          <cell r="A20">
            <v>12</v>
          </cell>
          <cell r="C20">
            <v>1</v>
          </cell>
          <cell r="D20">
            <v>1</v>
          </cell>
          <cell r="F20" t="str">
            <v xml:space="preserve">Are department organizational charts in place, and do they correlate with the job descriptions using the same titles and with the same number of FTEs as stated in the contract? (SOPI 100.2)  </v>
          </cell>
          <cell r="G20">
            <v>1</v>
          </cell>
          <cell r="H20">
            <v>1</v>
          </cell>
          <cell r="I20">
            <v>1</v>
          </cell>
          <cell r="J20">
            <v>1</v>
          </cell>
        </row>
        <row r="21">
          <cell r="A21">
            <v>13</v>
          </cell>
          <cell r="C21">
            <v>1</v>
          </cell>
          <cell r="D21">
            <v>1</v>
          </cell>
          <cell r="F21" t="str">
            <v xml:space="preserve">Is there a rotational back-up system (3 rotating tapes, one standby tape, as well as a permanent annual archive tape)?  Is each tape labeled, numbered, and dated as to when the back-up was completed?  </v>
          </cell>
          <cell r="G21">
            <v>1</v>
          </cell>
          <cell r="H21">
            <v>1</v>
          </cell>
          <cell r="I21">
            <v>1</v>
          </cell>
          <cell r="J21">
            <v>1</v>
          </cell>
        </row>
        <row r="22">
          <cell r="A22">
            <v>14</v>
          </cell>
          <cell r="C22">
            <v>1</v>
          </cell>
          <cell r="D22">
            <v>2</v>
          </cell>
          <cell r="F22" t="str">
            <v>Does the Manager maintain a binder with the original signed agreement and all subsequent amendments, which are logged by service? Have amendments been obtained for all changes in services provided?   Is the manager monitoring these reports and planning to</v>
          </cell>
          <cell r="G22">
            <v>1</v>
          </cell>
          <cell r="H22" t="str">
            <v>N/A</v>
          </cell>
          <cell r="I22">
            <v>1</v>
          </cell>
          <cell r="J22">
            <v>0</v>
          </cell>
        </row>
        <row r="23">
          <cell r="A23">
            <v>15</v>
          </cell>
          <cell r="C23">
            <v>1</v>
          </cell>
          <cell r="D23">
            <v>1</v>
          </cell>
          <cell r="F23" t="str">
            <v>Is the Manager familiar with and operates in compliance with the ServiceMaster Envronmental Stewardship Principles?</v>
          </cell>
          <cell r="G23">
            <v>1</v>
          </cell>
          <cell r="H23">
            <v>1</v>
          </cell>
          <cell r="I23">
            <v>1</v>
          </cell>
          <cell r="J23">
            <v>1</v>
          </cell>
        </row>
        <row r="24">
          <cell r="A24">
            <v>16</v>
          </cell>
          <cell r="C24">
            <v>1</v>
          </cell>
          <cell r="D24">
            <v>1</v>
          </cell>
          <cell r="F24" t="str">
            <v>Is there deomonstrated use of the Network to Knowledge by management staff?</v>
          </cell>
          <cell r="G24">
            <v>1</v>
          </cell>
          <cell r="H24">
            <v>0</v>
          </cell>
          <cell r="I24">
            <v>1</v>
          </cell>
          <cell r="J24">
            <v>0</v>
          </cell>
        </row>
        <row r="25">
          <cell r="A25">
            <v>15</v>
          </cell>
          <cell r="D25">
            <v>1</v>
          </cell>
          <cell r="F25" t="str">
            <v xml:space="preserve">                                                                  Percentage Implemented</v>
          </cell>
          <cell r="G25">
            <v>1</v>
          </cell>
          <cell r="H25" t="str">
            <v>N/A</v>
          </cell>
          <cell r="J25">
            <v>1</v>
          </cell>
        </row>
        <row r="26">
          <cell r="F26" t="str">
            <v xml:space="preserve">                                                             General All</v>
          </cell>
          <cell r="G26">
            <v>15</v>
          </cell>
          <cell r="I26">
            <v>15</v>
          </cell>
          <cell r="J26">
            <v>1</v>
          </cell>
        </row>
        <row r="27">
          <cell r="F27" t="str">
            <v xml:space="preserve">                                                            Percentage Implemented</v>
          </cell>
          <cell r="G27">
            <v>1</v>
          </cell>
          <cell r="J27">
            <v>1</v>
          </cell>
        </row>
        <row r="28">
          <cell r="F28" t="str">
            <v>GENERAL</v>
          </cell>
          <cell r="I28" t="str">
            <v>Possible</v>
          </cell>
          <cell r="J28" t="str">
            <v>Possible</v>
          </cell>
        </row>
        <row r="29">
          <cell r="F29" t="str">
            <v>POM</v>
          </cell>
          <cell r="G29" t="str">
            <v>Score</v>
          </cell>
          <cell r="H29" t="str">
            <v/>
          </cell>
          <cell r="I29" t="str">
            <v>Score</v>
          </cell>
          <cell r="J29" t="str">
            <v>Score</v>
          </cell>
        </row>
        <row r="30">
          <cell r="J30">
            <v>1</v>
          </cell>
        </row>
        <row r="31">
          <cell r="A31">
            <v>17</v>
          </cell>
          <cell r="C31">
            <v>1</v>
          </cell>
          <cell r="F31" t="str">
            <v>Has a system for chemical treatment (water conditioning) been implemented?</v>
          </cell>
          <cell r="G31">
            <v>1</v>
          </cell>
          <cell r="I31">
            <v>1</v>
          </cell>
          <cell r="J31">
            <v>0</v>
          </cell>
        </row>
        <row r="32">
          <cell r="A32">
            <v>18</v>
          </cell>
          <cell r="C32">
            <v>1</v>
          </cell>
          <cell r="F32" t="str">
            <v>Are control instructions, test instructions, and material safety data sheets (MSDS) for chemical treatment posted or in a binder at each analytical test equipment location? (Warning labels are required)</v>
          </cell>
          <cell r="G32">
            <v>1</v>
          </cell>
          <cell r="I32">
            <v>1</v>
          </cell>
          <cell r="J32">
            <v>0</v>
          </cell>
        </row>
        <row r="33">
          <cell r="A33">
            <v>19</v>
          </cell>
          <cell r="C33">
            <v>1</v>
          </cell>
          <cell r="F33" t="str">
            <v>Self assessment performed annually and all deficiencies corrected within approved timelines.</v>
          </cell>
          <cell r="G33">
            <v>1</v>
          </cell>
          <cell r="I33">
            <v>1</v>
          </cell>
          <cell r="J33">
            <v>0</v>
          </cell>
        </row>
        <row r="34">
          <cell r="A34">
            <v>20</v>
          </cell>
          <cell r="C34">
            <v>1</v>
          </cell>
          <cell r="F34" t="str">
            <v>Five year capital plan prepared and presented to the customer for approval.</v>
          </cell>
          <cell r="G34">
            <v>1</v>
          </cell>
          <cell r="I34">
            <v>1</v>
          </cell>
        </row>
        <row r="35">
          <cell r="A35">
            <v>21</v>
          </cell>
          <cell r="C35">
            <v>1</v>
          </cell>
          <cell r="F35" t="str">
            <v>A customer satisfaction measurement/correction process is in place.</v>
          </cell>
          <cell r="G35">
            <v>1</v>
          </cell>
          <cell r="I35">
            <v>1</v>
          </cell>
          <cell r="J35">
            <v>19</v>
          </cell>
        </row>
        <row r="36">
          <cell r="A36">
            <v>22</v>
          </cell>
          <cell r="C36">
            <v>1</v>
          </cell>
          <cell r="F36" t="str">
            <v>Is all roof in good repair and free of leaks?  Is the roof inventoried and indexed in the PM program? (SOPI 300.8, SOPI 700.5)</v>
          </cell>
          <cell r="G36">
            <v>1</v>
          </cell>
          <cell r="I36">
            <v>1</v>
          </cell>
          <cell r="J36">
            <v>0</v>
          </cell>
        </row>
        <row r="37">
          <cell r="A37">
            <v>23</v>
          </cell>
          <cell r="C37">
            <v>1</v>
          </cell>
          <cell r="F37" t="str">
            <v>Are accesses to roofs locked?  (SOPI 300.8, SOPI 700.5)</v>
          </cell>
          <cell r="G37">
            <v>1</v>
          </cell>
          <cell r="I37">
            <v>1</v>
          </cell>
          <cell r="J37">
            <v>1</v>
          </cell>
        </row>
        <row r="38">
          <cell r="A38">
            <v>24</v>
          </cell>
          <cell r="C38">
            <v>1</v>
          </cell>
          <cell r="F38" t="str">
            <v>Have roof plans been prepared and kept current and in accordance with SOPI 300.8?</v>
          </cell>
          <cell r="G38">
            <v>1</v>
          </cell>
          <cell r="I38">
            <v>1</v>
          </cell>
          <cell r="J38">
            <v>1</v>
          </cell>
        </row>
        <row r="39">
          <cell r="A39">
            <v>25</v>
          </cell>
          <cell r="C39">
            <v>1</v>
          </cell>
          <cell r="F39" t="str">
            <v xml:space="preserve">Was a roof inspection performed within the last 12 months by a qualified outside contractor?   </v>
          </cell>
          <cell r="G39">
            <v>1</v>
          </cell>
          <cell r="I39">
            <v>1</v>
          </cell>
          <cell r="J39" t="str">
            <v>Score</v>
          </cell>
        </row>
        <row r="40">
          <cell r="A40">
            <v>26</v>
          </cell>
          <cell r="C40">
            <v>1</v>
          </cell>
          <cell r="F40" t="str">
            <v>Has a written Maintenance &amp; Repair Requisition System been approved by Administration and disseminated to the appropriate departments?  (SOPI:400.3)</v>
          </cell>
          <cell r="G40">
            <v>1</v>
          </cell>
          <cell r="I40">
            <v>1</v>
          </cell>
        </row>
        <row r="41">
          <cell r="A41">
            <v>27</v>
          </cell>
          <cell r="C41">
            <v>1</v>
          </cell>
          <cell r="F41" t="str">
            <v>Are building exteriors (lighting, windows, gutters, and downspouts, etc.) in good repair?</v>
          </cell>
          <cell r="G41">
            <v>1</v>
          </cell>
          <cell r="I41">
            <v>1</v>
          </cell>
        </row>
        <row r="42">
          <cell r="A42">
            <v>28</v>
          </cell>
          <cell r="C42">
            <v>1</v>
          </cell>
          <cell r="F42" t="str">
            <v>Is Electro-mechanical equipment clean?</v>
          </cell>
          <cell r="G42">
            <v>1</v>
          </cell>
          <cell r="I42">
            <v>1</v>
          </cell>
          <cell r="J42">
            <v>1</v>
          </cell>
        </row>
        <row r="43">
          <cell r="A43">
            <v>29</v>
          </cell>
          <cell r="C43">
            <v>1</v>
          </cell>
          <cell r="F43" t="str">
            <v>Is equipment properly labeled?</v>
          </cell>
          <cell r="G43">
            <v>1</v>
          </cell>
          <cell r="I43">
            <v>1</v>
          </cell>
          <cell r="J43">
            <v>1</v>
          </cell>
        </row>
        <row r="44">
          <cell r="A44">
            <v>30</v>
          </cell>
          <cell r="C44">
            <v>1</v>
          </cell>
          <cell r="F44" t="str">
            <v>Are air handling units, HVAC systems, and supply/exhaust fans marked for area service?  (NFPA:92A)</v>
          </cell>
          <cell r="G44">
            <v>1</v>
          </cell>
          <cell r="I44">
            <v>1</v>
          </cell>
          <cell r="J44">
            <v>1</v>
          </cell>
        </row>
        <row r="45">
          <cell r="A45">
            <v>31</v>
          </cell>
          <cell r="C45">
            <v>1</v>
          </cell>
          <cell r="F45" t="str">
            <v>Are electrical controls and panels labeled for equipment served?  (NFPA: 70-3.8.4.)</v>
          </cell>
          <cell r="G45">
            <v>1</v>
          </cell>
          <cell r="I45">
            <v>1</v>
          </cell>
          <cell r="J45">
            <v>1</v>
          </cell>
        </row>
        <row r="46">
          <cell r="A46">
            <v>32</v>
          </cell>
          <cell r="C46">
            <v>1</v>
          </cell>
          <cell r="F46" t="str">
            <v>Is piping/insulation clean, free of leaks, properly equipped with applicable operating safety devices and identified (marked) as to direction of flow and content?  (ANSI A-13.1)</v>
          </cell>
          <cell r="G46">
            <v>1</v>
          </cell>
          <cell r="I46">
            <v>1</v>
          </cell>
        </row>
        <row r="47">
          <cell r="A47">
            <v>33</v>
          </cell>
          <cell r="C47">
            <v>1</v>
          </cell>
          <cell r="F47" t="str">
            <v>Are valves tagged and numbered, and is valve chart posted in mechanical spaces.(SOPI 300.7)</v>
          </cell>
          <cell r="G47">
            <v>1</v>
          </cell>
          <cell r="I47">
            <v>1</v>
          </cell>
        </row>
        <row r="48">
          <cell r="A48">
            <v>34</v>
          </cell>
          <cell r="C48">
            <v>1</v>
          </cell>
          <cell r="F48" t="str">
            <v xml:space="preserve">Are gauges clean, functional, and marked for service range or normal operating range where  appropriate?  </v>
          </cell>
          <cell r="G48">
            <v>1</v>
          </cell>
          <cell r="I48">
            <v>1</v>
          </cell>
        </row>
        <row r="49">
          <cell r="A49">
            <v>35</v>
          </cell>
          <cell r="C49">
            <v>1</v>
          </cell>
          <cell r="F49" t="str">
            <v xml:space="preserve">Have applicable plant operating logs (i.e. Boiler, Filter, Fire Extinguisher, Pull Box Station, Mechanical Rounds, Chiller etc.) been developed for operational, functional and data collection purposes, and are they neat, legible and current? (SOPI 300.6) </v>
          </cell>
          <cell r="G49">
            <v>1</v>
          </cell>
          <cell r="I49">
            <v>1</v>
          </cell>
        </row>
        <row r="50">
          <cell r="A50">
            <v>36</v>
          </cell>
          <cell r="C50">
            <v>1</v>
          </cell>
          <cell r="F50" t="str">
            <v xml:space="preserve">Is there documentation verifying that grease removal filters and duct work on kitchen hoods have been inspected and cleaned every 6 months? </v>
          </cell>
          <cell r="G50">
            <v>1</v>
          </cell>
          <cell r="I50">
            <v>1</v>
          </cell>
        </row>
        <row r="51">
          <cell r="F51" t="str">
            <v>(Cleaning of surfaces, filters, pans, etc. generally are on a daily basis).</v>
          </cell>
        </row>
        <row r="52">
          <cell r="F52" t="str">
            <v>GENERAL</v>
          </cell>
        </row>
        <row r="53">
          <cell r="F53" t="str">
            <v>POM (CONTINUED)</v>
          </cell>
        </row>
        <row r="54">
          <cell r="A54">
            <v>37</v>
          </cell>
          <cell r="C54">
            <v>1</v>
          </cell>
          <cell r="F54" t="str">
            <v>Are Daily Rounds and Standard Maintenance Routines conducted in accordance with SOPI 300.4, SOPI 300.5).</v>
          </cell>
          <cell r="G54">
            <v>1</v>
          </cell>
          <cell r="I54">
            <v>1</v>
          </cell>
        </row>
        <row r="55">
          <cell r="A55">
            <v>38</v>
          </cell>
          <cell r="C55">
            <v>1</v>
          </cell>
          <cell r="F55" t="str">
            <v>Have current facility blueprints been collected and indexed using the Blueprint Index System  contained in SOPI:300.11 or equivalent system?</v>
          </cell>
          <cell r="G55">
            <v>1</v>
          </cell>
          <cell r="I55">
            <v>1</v>
          </cell>
        </row>
        <row r="56">
          <cell r="A56">
            <v>39</v>
          </cell>
          <cell r="C56">
            <v>1</v>
          </cell>
          <cell r="F56" t="str">
            <v>Is there a filter maintenance procedure in place using the Filter Log #73018 or equivalent facility  form?  (SOPI:300.12 or equivalent system)</v>
          </cell>
          <cell r="G56">
            <v>1</v>
          </cell>
          <cell r="I56">
            <v>1</v>
          </cell>
        </row>
        <row r="57">
          <cell r="A57">
            <v>40</v>
          </cell>
          <cell r="C57">
            <v>1</v>
          </cell>
          <cell r="F57" t="str">
            <v>Is a Manufacturers' Instruction Library Index maintained in accordance with SOPI:300.13 or equivalent system?</v>
          </cell>
          <cell r="G57">
            <v>1</v>
          </cell>
          <cell r="I57">
            <v>1</v>
          </cell>
        </row>
        <row r="58">
          <cell r="A58">
            <v>41</v>
          </cell>
          <cell r="C58">
            <v>1</v>
          </cell>
          <cell r="F58" t="str">
            <v>Are Work Requests #73015 or equivalent facility forms completed in accordance with SOPI:400.4?</v>
          </cell>
          <cell r="G58">
            <v>1</v>
          </cell>
          <cell r="I58">
            <v>1</v>
          </cell>
        </row>
        <row r="59">
          <cell r="A59">
            <v>42</v>
          </cell>
          <cell r="C59">
            <v>1</v>
          </cell>
          <cell r="F59" t="str">
            <v xml:space="preserve">Does the Manager review and sign or initial all utility bills?  </v>
          </cell>
          <cell r="G59">
            <v>1</v>
          </cell>
          <cell r="I59">
            <v>1</v>
          </cell>
        </row>
        <row r="60">
          <cell r="A60">
            <v>43</v>
          </cell>
          <cell r="C60">
            <v>1</v>
          </cell>
          <cell r="F60" t="str">
            <v>Are current utility rate schedules and riders on file?</v>
          </cell>
          <cell r="G60">
            <v>1</v>
          </cell>
          <cell r="I60">
            <v>1</v>
          </cell>
        </row>
        <row r="61">
          <cell r="A61">
            <v>44</v>
          </cell>
          <cell r="C61">
            <v>1</v>
          </cell>
          <cell r="F61" t="str">
            <v>Has the Manager verified that the facility is being billed on the most  advantageous utility rate schedules?  (ADM.: 800.19B)</v>
          </cell>
          <cell r="G61">
            <v>1</v>
          </cell>
          <cell r="I61">
            <v>1</v>
          </cell>
        </row>
        <row r="62">
          <cell r="A62">
            <v>45</v>
          </cell>
          <cell r="C62">
            <v>1</v>
          </cell>
          <cell r="F62" t="str">
            <v>Are incomplete preventive maintenance actions listed on the incomplete Work Order Report no more than 2 months delinquent?</v>
          </cell>
          <cell r="G62">
            <v>1</v>
          </cell>
          <cell r="I62">
            <v>1</v>
          </cell>
        </row>
        <row r="63">
          <cell r="A63">
            <v>46</v>
          </cell>
          <cell r="C63">
            <v>1</v>
          </cell>
          <cell r="F63" t="str">
            <v>Are incomplete corrective maintenance actions listed on the Incomplete Work Order Report no more than 2 months delinquent?</v>
          </cell>
          <cell r="G63">
            <v>1</v>
          </cell>
          <cell r="I63">
            <v>1</v>
          </cell>
        </row>
        <row r="64">
          <cell r="A64">
            <v>47</v>
          </cell>
          <cell r="C64">
            <v>1</v>
          </cell>
          <cell r="F64" t="str">
            <v>Is the Code Compliance schedule complete and up to date for the facility needs?</v>
          </cell>
          <cell r="G64">
            <v>1</v>
          </cell>
          <cell r="I64">
            <v>1</v>
          </cell>
        </row>
        <row r="65">
          <cell r="A65">
            <v>48</v>
          </cell>
          <cell r="C65">
            <v>1</v>
          </cell>
          <cell r="F65" t="str">
            <v>Are all Account Definitions entered correctly on ISIS?</v>
          </cell>
          <cell r="G65">
            <v>1</v>
          </cell>
          <cell r="I65">
            <v>1</v>
          </cell>
        </row>
        <row r="66">
          <cell r="A66">
            <v>49</v>
          </cell>
          <cell r="C66">
            <v>1</v>
          </cell>
          <cell r="F66" t="str">
            <v>Is there a written snow plan, and is it approved by Administration? (Geographical)</v>
          </cell>
          <cell r="G66">
            <v>1</v>
          </cell>
          <cell r="I66">
            <v>1</v>
          </cell>
        </row>
        <row r="67">
          <cell r="A67">
            <v>50</v>
          </cell>
          <cell r="C67">
            <v>1</v>
          </cell>
          <cell r="F67" t="str">
            <v>ISIS is installed and is being effectively used.</v>
          </cell>
          <cell r="G67">
            <v>1</v>
          </cell>
          <cell r="I67">
            <v>1</v>
          </cell>
        </row>
        <row r="68">
          <cell r="A68">
            <v>51</v>
          </cell>
          <cell r="C68">
            <v>1</v>
          </cell>
          <cell r="F68" t="str">
            <v>ServiceMaster Career Development Program is implemented for staff.</v>
          </cell>
          <cell r="G68">
            <v>1</v>
          </cell>
          <cell r="I68">
            <v>1</v>
          </cell>
        </row>
        <row r="70">
          <cell r="F70" t="str">
            <v xml:space="preserve">                                                                                Total General - POM</v>
          </cell>
          <cell r="G70">
            <v>32</v>
          </cell>
          <cell r="I70">
            <v>32</v>
          </cell>
        </row>
        <row r="71">
          <cell r="F71" t="str">
            <v xml:space="preserve">                                                                 Percentage Implemented</v>
          </cell>
          <cell r="G71">
            <v>1</v>
          </cell>
        </row>
        <row r="73">
          <cell r="F73" t="str">
            <v>GENERAL PLANT OPERATION - EDUCATION ONLY</v>
          </cell>
        </row>
        <row r="74">
          <cell r="A74">
            <v>52</v>
          </cell>
          <cell r="C74">
            <v>2</v>
          </cell>
          <cell r="F74" t="str">
            <v>Are at least 90% of scheduled preventive maintenance actions on the Performance Summary  Report  completed each month?  Verify by inspecting several  pieces of plant equipment as well as to compare estimated P/M hours against actual P/M hours.</v>
          </cell>
          <cell r="G74" t="str">
            <v>N/A</v>
          </cell>
          <cell r="I74">
            <v>0</v>
          </cell>
        </row>
        <row r="76">
          <cell r="F76" t="str">
            <v xml:space="preserve">                                                                 Total General - POM - EDUCATION ONLY</v>
          </cell>
          <cell r="G76">
            <v>0</v>
          </cell>
          <cell r="I76">
            <v>0</v>
          </cell>
        </row>
        <row r="77">
          <cell r="F77" t="str">
            <v xml:space="preserve">                                                                 Percentage Implemented</v>
          </cell>
          <cell r="G77" t="str">
            <v>N/A</v>
          </cell>
        </row>
        <row r="79">
          <cell r="F79" t="str">
            <v>GENERAL PLANT OPERATION - HEALTHCARE ONLY</v>
          </cell>
        </row>
        <row r="80">
          <cell r="A80">
            <v>53</v>
          </cell>
          <cell r="C80">
            <v>2</v>
          </cell>
          <cell r="F80" t="str">
            <v>Up-to-date JCAHO Statement of Conditions (SOC) in place and deficiencies being addressed according to published schedule.</v>
          </cell>
          <cell r="G80" t="str">
            <v>N/A</v>
          </cell>
          <cell r="I80">
            <v>0</v>
          </cell>
        </row>
        <row r="81">
          <cell r="A81">
            <v>54</v>
          </cell>
          <cell r="C81">
            <v>2</v>
          </cell>
          <cell r="F81" t="str">
            <v>A minimum of 95% of all Preventive Maintenance Requirements have been consistently completed on a monthly basis.</v>
          </cell>
          <cell r="G81" t="str">
            <v>N/A</v>
          </cell>
          <cell r="I81">
            <v>0</v>
          </cell>
        </row>
        <row r="84">
          <cell r="F84" t="str">
            <v xml:space="preserve">                                                                 Total General - POM- Healthcare Only</v>
          </cell>
          <cell r="G84">
            <v>0</v>
          </cell>
          <cell r="I84">
            <v>0</v>
          </cell>
        </row>
        <row r="85">
          <cell r="F85" t="str">
            <v xml:space="preserve">                                                                 Percentage Implemented</v>
          </cell>
          <cell r="G85" t="str">
            <v>N/A</v>
          </cell>
        </row>
        <row r="86">
          <cell r="F86" t="str">
            <v>GENERAL</v>
          </cell>
          <cell r="I86" t="str">
            <v>Possible</v>
          </cell>
        </row>
        <row r="87">
          <cell r="F87" t="str">
            <v>POOLS</v>
          </cell>
          <cell r="G87" t="str">
            <v>Score</v>
          </cell>
          <cell r="H87" t="str">
            <v/>
          </cell>
          <cell r="I87" t="str">
            <v>Score</v>
          </cell>
        </row>
        <row r="89">
          <cell r="A89">
            <v>55</v>
          </cell>
          <cell r="C89">
            <v>2</v>
          </cell>
          <cell r="F89" t="str">
            <v>Do the Pool Operators under your supervision have a current CPO certification?</v>
          </cell>
          <cell r="G89" t="str">
            <v>N/A</v>
          </cell>
          <cell r="I89">
            <v>0</v>
          </cell>
        </row>
        <row r="90">
          <cell r="A90">
            <v>56</v>
          </cell>
          <cell r="C90">
            <v>2</v>
          </cell>
          <cell r="F90" t="str">
            <v>Does the Manager have a current "CPO" certification?</v>
          </cell>
          <cell r="G90" t="str">
            <v>N/A</v>
          </cell>
          <cell r="I90">
            <v>0</v>
          </cell>
        </row>
        <row r="91">
          <cell r="A91">
            <v>57</v>
          </cell>
          <cell r="C91">
            <v>2</v>
          </cell>
          <cell r="F91" t="str">
            <v>Are chemical tests completed and logged a minimum of three times daily?</v>
          </cell>
          <cell r="G91" t="str">
            <v>N/A</v>
          </cell>
          <cell r="I91">
            <v>0</v>
          </cell>
        </row>
        <row r="92">
          <cell r="A92">
            <v>58</v>
          </cell>
          <cell r="C92">
            <v>2</v>
          </cell>
          <cell r="F92" t="str">
            <v>If Chlorine Gas used, is the tank room equipped with correct safety equipment such as an audible and visible leak alarm, SCBA outside room, and proper air exchange? (1 to 4 min).</v>
          </cell>
          <cell r="G92" t="str">
            <v>N/A</v>
          </cell>
          <cell r="I92">
            <v>0</v>
          </cell>
        </row>
        <row r="93">
          <cell r="A93">
            <v>59</v>
          </cell>
          <cell r="C93">
            <v>2</v>
          </cell>
          <cell r="F93" t="str">
            <v>Are monthly safety inspections completed and documented on the pool?  This can be fulfilled by the CPO program of ISIS provided the pool mechanicals are completely indexed and the pool chemicals are in complete compliance with RTK.</v>
          </cell>
          <cell r="G93" t="str">
            <v>N/A</v>
          </cell>
          <cell r="I93">
            <v>0</v>
          </cell>
        </row>
        <row r="94">
          <cell r="A94">
            <v>60</v>
          </cell>
          <cell r="C94">
            <v>2</v>
          </cell>
          <cell r="F94" t="str">
            <v>Are Material Safety Data Sheets available for all products used in the pool area?</v>
          </cell>
          <cell r="G94" t="str">
            <v>N/A</v>
          </cell>
          <cell r="I94">
            <v>0</v>
          </cell>
        </row>
        <row r="96">
          <cell r="F96" t="str">
            <v xml:space="preserve">                                                                   Total General - Pools</v>
          </cell>
          <cell r="G96">
            <v>0</v>
          </cell>
          <cell r="I96">
            <v>0</v>
          </cell>
        </row>
        <row r="97">
          <cell r="F97" t="str">
            <v xml:space="preserve">                                                                   Percentage Implemented</v>
          </cell>
          <cell r="G97" t="str">
            <v>N/A</v>
          </cell>
        </row>
        <row r="99">
          <cell r="F99" t="str">
            <v>GENERAL</v>
          </cell>
          <cell r="I99" t="str">
            <v>Possible</v>
          </cell>
        </row>
        <row r="100">
          <cell r="F100" t="str">
            <v>GROUNDS</v>
          </cell>
          <cell r="G100" t="str">
            <v>Score</v>
          </cell>
          <cell r="H100" t="str">
            <v/>
          </cell>
          <cell r="I100" t="str">
            <v>Score</v>
          </cell>
        </row>
        <row r="102">
          <cell r="A102">
            <v>61</v>
          </cell>
          <cell r="C102">
            <v>2</v>
          </cell>
          <cell r="F102" t="str">
            <v xml:space="preserve">Is the ServiceMaster Grounds Management Planning Calendar complete, up-to-date, and displayed?  </v>
          </cell>
          <cell r="G102" t="str">
            <v>N/A</v>
          </cell>
          <cell r="I102">
            <v>0</v>
          </cell>
        </row>
        <row r="103">
          <cell r="A103">
            <v>62</v>
          </cell>
          <cell r="C103">
            <v>2</v>
          </cell>
          <cell r="F103" t="str">
            <v>Are grounds schedules written and posted for watering, trimming, mowing, fertilization and weed control.</v>
          </cell>
          <cell r="G103" t="str">
            <v>N/A</v>
          </cell>
          <cell r="I103">
            <v>0</v>
          </cell>
        </row>
        <row r="104">
          <cell r="A104">
            <v>63</v>
          </cell>
          <cell r="C104">
            <v>2</v>
          </cell>
          <cell r="F104" t="str">
            <v xml:space="preserve">Has a soil analysis been completed within the last two years?                              </v>
          </cell>
          <cell r="G104" t="str">
            <v>N/A</v>
          </cell>
          <cell r="I104">
            <v>0</v>
          </cell>
        </row>
        <row r="105">
          <cell r="A105">
            <v>64</v>
          </cell>
          <cell r="C105">
            <v>2</v>
          </cell>
          <cell r="F105" t="str">
            <v>Has a grounds project list been prepared, photo documented, and presented to Administration with a suggested prioritization?</v>
          </cell>
          <cell r="G105" t="str">
            <v>N/A</v>
          </cell>
          <cell r="I105">
            <v>0</v>
          </cell>
        </row>
        <row r="106">
          <cell r="A106">
            <v>65</v>
          </cell>
          <cell r="C106">
            <v>2</v>
          </cell>
          <cell r="F106" t="str">
            <v>Are Grounds Inspections completed and documented regularly with grounds workers and three times a year with Administration.</v>
          </cell>
          <cell r="G106" t="str">
            <v>N/A</v>
          </cell>
          <cell r="I106">
            <v>0</v>
          </cell>
        </row>
        <row r="107">
          <cell r="A107">
            <v>66</v>
          </cell>
          <cell r="C107">
            <v>2</v>
          </cell>
          <cell r="F107" t="str">
            <v>Are application records up to date for fertilization and seeding?</v>
          </cell>
          <cell r="G107" t="str">
            <v>N/A</v>
          </cell>
          <cell r="I107">
            <v>0</v>
          </cell>
        </row>
        <row r="108">
          <cell r="A108">
            <v>67</v>
          </cell>
          <cell r="C108">
            <v>2</v>
          </cell>
          <cell r="F108" t="str">
            <v>Are color-coded plot maps completed and on file for all sites?</v>
          </cell>
          <cell r="G108" t="str">
            <v>N/A</v>
          </cell>
          <cell r="I108">
            <v>0</v>
          </cell>
        </row>
        <row r="109">
          <cell r="A109">
            <v>68</v>
          </cell>
          <cell r="C109">
            <v>2</v>
          </cell>
          <cell r="F109" t="str">
            <v>Is a grounds equipment maintenance program in effect and being documented?</v>
          </cell>
          <cell r="G109" t="str">
            <v>N/A</v>
          </cell>
          <cell r="I109">
            <v>0</v>
          </cell>
        </row>
        <row r="110">
          <cell r="A110">
            <v>69</v>
          </cell>
          <cell r="C110">
            <v>2</v>
          </cell>
          <cell r="F110" t="str">
            <v>Is capital equipment being inventoried on an annual  basis?</v>
          </cell>
          <cell r="G110" t="str">
            <v>N/A</v>
          </cell>
          <cell r="I110">
            <v>0</v>
          </cell>
        </row>
        <row r="111">
          <cell r="A111">
            <v>70</v>
          </cell>
          <cell r="C111">
            <v>2</v>
          </cell>
          <cell r="F111" t="str">
            <v>Are written job descriptions for all grounds positions up to date and reviewed with employees annually.</v>
          </cell>
          <cell r="G111" t="str">
            <v>N/A</v>
          </cell>
          <cell r="I111">
            <v>0</v>
          </cell>
        </row>
        <row r="112">
          <cell r="A112">
            <v>71</v>
          </cell>
          <cell r="C112">
            <v>2</v>
          </cell>
          <cell r="F112" t="str">
            <v>Before and after pictures have been taken of grounds improvements and shared with Administration.</v>
          </cell>
          <cell r="G112" t="str">
            <v>N/A</v>
          </cell>
          <cell r="I112">
            <v>0</v>
          </cell>
        </row>
        <row r="113">
          <cell r="A113">
            <v>72</v>
          </cell>
          <cell r="C113">
            <v>2</v>
          </cell>
          <cell r="F113" t="str">
            <v>ServiceMaster Grounds Management Support (telephone, written and personal visits) have been documented in joint review minutes.</v>
          </cell>
          <cell r="G113" t="str">
            <v>N/A</v>
          </cell>
          <cell r="I113">
            <v>0</v>
          </cell>
        </row>
        <row r="114">
          <cell r="A114">
            <v>73</v>
          </cell>
          <cell r="C114">
            <v>2</v>
          </cell>
          <cell r="F114" t="str">
            <v>The ServiceMaster Basics of Grounds Care I and II videotapes have been used annually for retraining.</v>
          </cell>
          <cell r="G114" t="str">
            <v>N/A</v>
          </cell>
          <cell r="I114">
            <v>0</v>
          </cell>
        </row>
        <row r="115">
          <cell r="A115">
            <v>74</v>
          </cell>
          <cell r="C115">
            <v>2</v>
          </cell>
          <cell r="F115" t="str">
            <v>Unitization of grounds responsibilities has been completed.</v>
          </cell>
          <cell r="G115" t="str">
            <v>N/A</v>
          </cell>
          <cell r="I115">
            <v>0</v>
          </cell>
        </row>
        <row r="116">
          <cell r="A116">
            <v>75</v>
          </cell>
          <cell r="C116">
            <v>2</v>
          </cell>
          <cell r="F116" t="str">
            <v>Are grounds vendor files up to date and reviewed for competitive pricing?</v>
          </cell>
          <cell r="G116" t="str">
            <v>N/A</v>
          </cell>
          <cell r="I116">
            <v>0</v>
          </cell>
        </row>
        <row r="118">
          <cell r="F118" t="str">
            <v xml:space="preserve">                                                             Total General - Grounds</v>
          </cell>
          <cell r="G118">
            <v>0</v>
          </cell>
          <cell r="I118">
            <v>0</v>
          </cell>
        </row>
        <row r="119">
          <cell r="F119" t="str">
            <v xml:space="preserve">                                                             Percentage Implemented</v>
          </cell>
          <cell r="G119" t="str">
            <v>N/A</v>
          </cell>
        </row>
        <row r="120">
          <cell r="F120" t="str">
            <v>GENERAL</v>
          </cell>
          <cell r="I120" t="str">
            <v>Possible</v>
          </cell>
        </row>
        <row r="121">
          <cell r="F121" t="str">
            <v>ENVIRONMENTAL/CUSTODIAL</v>
          </cell>
          <cell r="G121" t="str">
            <v>Score</v>
          </cell>
          <cell r="H121" t="str">
            <v/>
          </cell>
          <cell r="I121" t="str">
            <v>Score</v>
          </cell>
        </row>
        <row r="122">
          <cell r="A122">
            <v>76</v>
          </cell>
          <cell r="C122">
            <v>1</v>
          </cell>
          <cell r="F122" t="str">
            <v>Are there updated room inventories on file for all buildings? (In Campus/ISIS)</v>
          </cell>
          <cell r="G122">
            <v>1</v>
          </cell>
          <cell r="I122">
            <v>1</v>
          </cell>
        </row>
        <row r="123">
          <cell r="A123">
            <v>77</v>
          </cell>
          <cell r="C123">
            <v>1</v>
          </cell>
          <cell r="F123" t="str">
            <v>Have employee schedules been developed to incorporate all functions and duties of each employee; have they been updated annually and reviewed with employees?</v>
          </cell>
          <cell r="G123">
            <v>1</v>
          </cell>
          <cell r="I123">
            <v>1</v>
          </cell>
        </row>
        <row r="124">
          <cell r="A124">
            <v>78</v>
          </cell>
          <cell r="C124">
            <v>1</v>
          </cell>
          <cell r="F124" t="str">
            <v xml:space="preserve">Has a project calendar been designed to assist in scheduling projects on a yearly basis?  </v>
          </cell>
          <cell r="G124">
            <v>1</v>
          </cell>
          <cell r="I124">
            <v>1</v>
          </cell>
        </row>
        <row r="125">
          <cell r="A125">
            <v>79</v>
          </cell>
          <cell r="C125">
            <v>1</v>
          </cell>
          <cell r="F125" t="str">
            <v>Has a project history been maintained?</v>
          </cell>
          <cell r="G125">
            <v>1</v>
          </cell>
          <cell r="I125">
            <v>1</v>
          </cell>
        </row>
        <row r="126">
          <cell r="A126">
            <v>80</v>
          </cell>
          <cell r="C126">
            <v>1</v>
          </cell>
          <cell r="F126" t="str">
            <v>Has a supply inventory been completed monthly which identifies a minimum and maximum level of stock to be held in inventory and the monthly supply order developed from the inventory?</v>
          </cell>
          <cell r="G126">
            <v>1</v>
          </cell>
          <cell r="I126">
            <v>1</v>
          </cell>
        </row>
        <row r="127">
          <cell r="A127">
            <v>81</v>
          </cell>
          <cell r="C127">
            <v>1</v>
          </cell>
          <cell r="F127" t="str">
            <v>Does the Manager perform the physical inventory on the prescribed intervals?</v>
          </cell>
          <cell r="G127">
            <v>1</v>
          </cell>
          <cell r="I127">
            <v>1</v>
          </cell>
        </row>
        <row r="128">
          <cell r="F128" t="str">
            <v>Visible quality makes a positive impression on cleanliness and aesthetic appearance.</v>
          </cell>
        </row>
        <row r="129">
          <cell r="A129">
            <v>82</v>
          </cell>
          <cell r="F129" t="str">
            <v>Entrances and Lobby</v>
          </cell>
        </row>
        <row r="130">
          <cell r="A130">
            <v>82</v>
          </cell>
          <cell r="B130" t="str">
            <v>a.</v>
          </cell>
          <cell r="C130">
            <v>1</v>
          </cell>
          <cell r="F130" t="str">
            <v>Walk free of cigarette butts and litter?</v>
          </cell>
          <cell r="G130">
            <v>1</v>
          </cell>
          <cell r="I130">
            <v>1</v>
          </cell>
        </row>
        <row r="131">
          <cell r="A131">
            <v>82</v>
          </cell>
          <cell r="B131" t="str">
            <v>b.</v>
          </cell>
          <cell r="C131">
            <v>1</v>
          </cell>
          <cell r="F131" t="str">
            <v>Entrance window, glass, and doors free of finger smears?</v>
          </cell>
          <cell r="G131">
            <v>1</v>
          </cell>
          <cell r="I131">
            <v>1</v>
          </cell>
        </row>
        <row r="132">
          <cell r="A132">
            <v>82</v>
          </cell>
          <cell r="B132" t="str">
            <v>c.</v>
          </cell>
          <cell r="C132">
            <v>1</v>
          </cell>
          <cell r="F132" t="str">
            <v>Walk off mats clean, of proper type, and in proper position?</v>
          </cell>
          <cell r="G132">
            <v>1</v>
          </cell>
          <cell r="I132">
            <v>1</v>
          </cell>
        </row>
        <row r="133">
          <cell r="A133">
            <v>82</v>
          </cell>
          <cell r="B133" t="str">
            <v>d.</v>
          </cell>
          <cell r="C133">
            <v>1</v>
          </cell>
          <cell r="F133" t="str">
            <v>Cigarette urns and waste containers clean and properly lined?</v>
          </cell>
          <cell r="G133">
            <v>1</v>
          </cell>
          <cell r="I133">
            <v>1</v>
          </cell>
        </row>
        <row r="134">
          <cell r="A134">
            <v>82</v>
          </cell>
          <cell r="B134" t="str">
            <v>e.</v>
          </cell>
          <cell r="C134">
            <v>1</v>
          </cell>
          <cell r="F134" t="str">
            <v>Floors (carpets) and edges clean of dirt, dust, litter?</v>
          </cell>
          <cell r="G134">
            <v>1</v>
          </cell>
          <cell r="I134">
            <v>1</v>
          </cell>
        </row>
        <row r="135">
          <cell r="A135">
            <v>82</v>
          </cell>
          <cell r="B135" t="str">
            <v>f.</v>
          </cell>
          <cell r="C135">
            <v>1</v>
          </cell>
          <cell r="F135" t="str">
            <v>Floors finished with depth shine or carpets clean and fresh?</v>
          </cell>
          <cell r="G135">
            <v>1</v>
          </cell>
          <cell r="I135">
            <v>1</v>
          </cell>
        </row>
        <row r="136">
          <cell r="A136">
            <v>82</v>
          </cell>
          <cell r="B136" t="str">
            <v>g.</v>
          </cell>
          <cell r="C136">
            <v>1</v>
          </cell>
          <cell r="F136" t="str">
            <v>Walls and doors clean and free of smudges and marks?</v>
          </cell>
          <cell r="G136">
            <v>1</v>
          </cell>
          <cell r="I136">
            <v>1</v>
          </cell>
        </row>
        <row r="137">
          <cell r="A137">
            <v>82</v>
          </cell>
          <cell r="B137" t="str">
            <v>h.</v>
          </cell>
          <cell r="C137">
            <v>1</v>
          </cell>
          <cell r="F137" t="str">
            <v>Doors, push and kick plates clean and polished?</v>
          </cell>
          <cell r="G137">
            <v>1</v>
          </cell>
          <cell r="I137">
            <v>1</v>
          </cell>
        </row>
        <row r="138">
          <cell r="A138">
            <v>82</v>
          </cell>
          <cell r="B138" t="str">
            <v>I.</v>
          </cell>
          <cell r="C138">
            <v>1</v>
          </cell>
          <cell r="F138" t="str">
            <v>Ledges free of dust?</v>
          </cell>
          <cell r="G138">
            <v>1</v>
          </cell>
          <cell r="I138">
            <v>1</v>
          </cell>
        </row>
        <row r="139">
          <cell r="A139">
            <v>82</v>
          </cell>
          <cell r="B139" t="str">
            <v>j.</v>
          </cell>
          <cell r="C139">
            <v>1</v>
          </cell>
          <cell r="F139" t="str">
            <v>Signs, plants, and ornaments clean?</v>
          </cell>
          <cell r="G139">
            <v>1</v>
          </cell>
          <cell r="I139">
            <v>1</v>
          </cell>
        </row>
        <row r="140">
          <cell r="A140">
            <v>82</v>
          </cell>
          <cell r="B140" t="str">
            <v>k.</v>
          </cell>
          <cell r="C140">
            <v>1</v>
          </cell>
          <cell r="F140" t="str">
            <v>Lights clean and clear?</v>
          </cell>
          <cell r="G140">
            <v>1</v>
          </cell>
          <cell r="I140">
            <v>1</v>
          </cell>
        </row>
        <row r="141">
          <cell r="A141">
            <v>82</v>
          </cell>
          <cell r="B141" t="str">
            <v>l.</v>
          </cell>
          <cell r="C141">
            <v>1</v>
          </cell>
          <cell r="F141" t="str">
            <v>Furniture clean and orderly?</v>
          </cell>
          <cell r="G141">
            <v>1</v>
          </cell>
          <cell r="I141">
            <v>1</v>
          </cell>
        </row>
        <row r="142">
          <cell r="A142">
            <v>82</v>
          </cell>
          <cell r="B142" t="str">
            <v>m.</v>
          </cell>
          <cell r="C142">
            <v>1</v>
          </cell>
          <cell r="F142" t="str">
            <v>Telephones clean and free of dust?</v>
          </cell>
          <cell r="G142">
            <v>1</v>
          </cell>
          <cell r="I142">
            <v>1</v>
          </cell>
        </row>
        <row r="143">
          <cell r="A143">
            <v>82</v>
          </cell>
          <cell r="B143" t="str">
            <v>n.</v>
          </cell>
          <cell r="C143">
            <v>1</v>
          </cell>
          <cell r="F143" t="str">
            <v>Public restrooms clean and free of trash?</v>
          </cell>
          <cell r="G143">
            <v>1</v>
          </cell>
          <cell r="I143">
            <v>1</v>
          </cell>
        </row>
        <row r="144">
          <cell r="A144">
            <v>83</v>
          </cell>
          <cell r="F144" t="str">
            <v>Patient/Resident/Dorm Rooms</v>
          </cell>
        </row>
        <row r="145">
          <cell r="A145">
            <v>83</v>
          </cell>
          <cell r="B145" t="str">
            <v>a.</v>
          </cell>
          <cell r="C145">
            <v>1</v>
          </cell>
          <cell r="F145" t="str">
            <v>Floors (carpets) and edges clean, free of dirt, dust, and litter?</v>
          </cell>
          <cell r="G145">
            <v>1</v>
          </cell>
          <cell r="I145">
            <v>1</v>
          </cell>
        </row>
        <row r="146">
          <cell r="A146">
            <v>83</v>
          </cell>
          <cell r="B146" t="str">
            <v>b.</v>
          </cell>
          <cell r="C146">
            <v>1</v>
          </cell>
          <cell r="F146" t="str">
            <v>Floors finished with depth shine or carpets clean and fresh?</v>
          </cell>
          <cell r="G146">
            <v>1</v>
          </cell>
          <cell r="I146">
            <v>1</v>
          </cell>
        </row>
        <row r="147">
          <cell r="A147">
            <v>83</v>
          </cell>
          <cell r="B147" t="str">
            <v>c.</v>
          </cell>
          <cell r="C147">
            <v>1</v>
          </cell>
          <cell r="F147" t="str">
            <v>Waste containers clean and properly lined?</v>
          </cell>
          <cell r="G147">
            <v>1</v>
          </cell>
          <cell r="I147">
            <v>1</v>
          </cell>
        </row>
        <row r="148">
          <cell r="A148">
            <v>83</v>
          </cell>
          <cell r="B148" t="str">
            <v>d.</v>
          </cell>
          <cell r="C148">
            <v>1</v>
          </cell>
          <cell r="F148" t="str">
            <v>Walls clean and free of spots and marks?</v>
          </cell>
          <cell r="G148">
            <v>1</v>
          </cell>
          <cell r="I148">
            <v>1</v>
          </cell>
        </row>
        <row r="149">
          <cell r="A149">
            <v>83</v>
          </cell>
          <cell r="B149" t="str">
            <v>e.</v>
          </cell>
          <cell r="C149">
            <v>1</v>
          </cell>
          <cell r="F149" t="str">
            <v>Ledges free of dust?</v>
          </cell>
          <cell r="G149">
            <v>1</v>
          </cell>
          <cell r="I149">
            <v>1</v>
          </cell>
        </row>
        <row r="150">
          <cell r="A150">
            <v>83</v>
          </cell>
          <cell r="B150" t="str">
            <v>f.</v>
          </cell>
          <cell r="C150">
            <v>1</v>
          </cell>
          <cell r="F150" t="str">
            <v>Window (including partition glass) clean?</v>
          </cell>
          <cell r="G150">
            <v>1</v>
          </cell>
          <cell r="I150">
            <v>1</v>
          </cell>
        </row>
        <row r="151">
          <cell r="A151">
            <v>83</v>
          </cell>
          <cell r="B151" t="str">
            <v>g.</v>
          </cell>
          <cell r="C151">
            <v>1</v>
          </cell>
          <cell r="F151" t="str">
            <v>Room orderly including patient supplies and information?</v>
          </cell>
          <cell r="G151">
            <v>1</v>
          </cell>
          <cell r="I151">
            <v>1</v>
          </cell>
        </row>
        <row r="152">
          <cell r="A152">
            <v>83</v>
          </cell>
          <cell r="B152" t="str">
            <v>h.</v>
          </cell>
          <cell r="C152">
            <v>1</v>
          </cell>
          <cell r="F152" t="str">
            <v>Furniture, including bed(s) clean?</v>
          </cell>
          <cell r="G152">
            <v>1</v>
          </cell>
          <cell r="I152">
            <v>1</v>
          </cell>
        </row>
        <row r="153">
          <cell r="A153">
            <v>83</v>
          </cell>
          <cell r="B153" t="str">
            <v>I.</v>
          </cell>
          <cell r="C153">
            <v>1</v>
          </cell>
          <cell r="F153" t="str">
            <v>Cubicle curtains, drapes, and linen clean?</v>
          </cell>
          <cell r="G153">
            <v>1</v>
          </cell>
          <cell r="I153">
            <v>1</v>
          </cell>
        </row>
        <row r="154">
          <cell r="A154">
            <v>83</v>
          </cell>
          <cell r="B154" t="str">
            <v>j.</v>
          </cell>
          <cell r="C154">
            <v>1</v>
          </cell>
          <cell r="F154" t="str">
            <v>Lights clean, clear, and free of dust?</v>
          </cell>
          <cell r="G154">
            <v>1</v>
          </cell>
          <cell r="I154">
            <v>1</v>
          </cell>
        </row>
        <row r="155">
          <cell r="A155">
            <v>83</v>
          </cell>
          <cell r="B155" t="str">
            <v>k.</v>
          </cell>
          <cell r="C155">
            <v>1</v>
          </cell>
          <cell r="F155" t="str">
            <v>Vents and registers clean?</v>
          </cell>
          <cell r="G155">
            <v>1</v>
          </cell>
          <cell r="I155">
            <v>1</v>
          </cell>
        </row>
        <row r="156">
          <cell r="A156">
            <v>83</v>
          </cell>
          <cell r="B156" t="str">
            <v>l.</v>
          </cell>
          <cell r="C156">
            <v>1</v>
          </cell>
          <cell r="F156" t="str">
            <v>Room and restroom odor free?</v>
          </cell>
          <cell r="G156">
            <v>1</v>
          </cell>
          <cell r="I156">
            <v>1</v>
          </cell>
        </row>
        <row r="157">
          <cell r="A157">
            <v>83</v>
          </cell>
          <cell r="B157" t="str">
            <v>m.</v>
          </cell>
          <cell r="C157">
            <v>1</v>
          </cell>
          <cell r="F157" t="str">
            <v>Toilet clean and pipes polished?</v>
          </cell>
          <cell r="G157">
            <v>1</v>
          </cell>
          <cell r="I157">
            <v>1</v>
          </cell>
        </row>
        <row r="158">
          <cell r="A158">
            <v>83</v>
          </cell>
          <cell r="B158" t="str">
            <v>n.</v>
          </cell>
          <cell r="C158">
            <v>1</v>
          </cell>
          <cell r="F158" t="str">
            <v>Toilet supplies in place?</v>
          </cell>
          <cell r="G158">
            <v>1</v>
          </cell>
          <cell r="I158">
            <v>1</v>
          </cell>
        </row>
        <row r="159">
          <cell r="A159">
            <v>83</v>
          </cell>
          <cell r="B159" t="str">
            <v>o.</v>
          </cell>
          <cell r="C159">
            <v>1</v>
          </cell>
          <cell r="F159" t="str">
            <v>Sink free of soap build-up (top and bottom)</v>
          </cell>
          <cell r="G159">
            <v>1</v>
          </cell>
          <cell r="I159">
            <v>1</v>
          </cell>
        </row>
        <row r="160">
          <cell r="A160">
            <v>83</v>
          </cell>
          <cell r="B160" t="str">
            <v>p.</v>
          </cell>
          <cell r="C160">
            <v>1</v>
          </cell>
          <cell r="F160" t="str">
            <v>Mirror clean and spot free?</v>
          </cell>
          <cell r="G160">
            <v>1</v>
          </cell>
          <cell r="I160">
            <v>1</v>
          </cell>
        </row>
        <row r="161">
          <cell r="A161">
            <v>83</v>
          </cell>
          <cell r="B161" t="str">
            <v>q.</v>
          </cell>
          <cell r="C161">
            <v>1</v>
          </cell>
          <cell r="F161" t="str">
            <v>Shower or tub free of soap film?</v>
          </cell>
          <cell r="G161">
            <v>1</v>
          </cell>
          <cell r="I161">
            <v>1</v>
          </cell>
        </row>
        <row r="162">
          <cell r="F162" t="str">
            <v>GENERAL</v>
          </cell>
        </row>
        <row r="163">
          <cell r="F163" t="str">
            <v>ENVIRONMENTAL/CUSTODIAL (CONTINUED)</v>
          </cell>
        </row>
        <row r="164">
          <cell r="A164">
            <v>84</v>
          </cell>
          <cell r="F164" t="str">
            <v>Elevators, Stairwells, and Corridors</v>
          </cell>
        </row>
        <row r="165">
          <cell r="A165">
            <v>84</v>
          </cell>
          <cell r="B165" t="str">
            <v>a.</v>
          </cell>
          <cell r="C165">
            <v>1</v>
          </cell>
          <cell r="F165" t="str">
            <v>Corridor floors (carpets) and edges clean of dirt, dust, litter?</v>
          </cell>
          <cell r="G165">
            <v>1</v>
          </cell>
          <cell r="I165">
            <v>1</v>
          </cell>
        </row>
        <row r="166">
          <cell r="A166">
            <v>84</v>
          </cell>
          <cell r="B166" t="str">
            <v>b.</v>
          </cell>
          <cell r="C166">
            <v>1</v>
          </cell>
          <cell r="F166" t="str">
            <v>Corridors finished with depth shine or carpets clean and fresh?</v>
          </cell>
          <cell r="G166">
            <v>1</v>
          </cell>
          <cell r="I166">
            <v>1</v>
          </cell>
        </row>
        <row r="167">
          <cell r="A167">
            <v>84</v>
          </cell>
          <cell r="B167" t="str">
            <v>c.</v>
          </cell>
          <cell r="C167">
            <v>1</v>
          </cell>
          <cell r="F167" t="str">
            <v>Corridor walls clean and free of smudges and marks?</v>
          </cell>
          <cell r="G167">
            <v>1</v>
          </cell>
          <cell r="I167">
            <v>1</v>
          </cell>
        </row>
        <row r="168">
          <cell r="A168">
            <v>84</v>
          </cell>
          <cell r="B168" t="str">
            <v>d.</v>
          </cell>
          <cell r="C168">
            <v>1</v>
          </cell>
          <cell r="F168" t="str">
            <v>Corridor ledges and lights clean and free of dust?</v>
          </cell>
          <cell r="G168">
            <v>1</v>
          </cell>
          <cell r="I168">
            <v>1</v>
          </cell>
        </row>
        <row r="169">
          <cell r="A169">
            <v>84</v>
          </cell>
          <cell r="B169" t="str">
            <v>e.</v>
          </cell>
          <cell r="C169">
            <v>1</v>
          </cell>
          <cell r="F169" t="str">
            <v>Elevator tracks clean?</v>
          </cell>
          <cell r="G169">
            <v>1</v>
          </cell>
          <cell r="I169">
            <v>1</v>
          </cell>
        </row>
        <row r="170">
          <cell r="A170">
            <v>84</v>
          </cell>
          <cell r="B170" t="str">
            <v>f.</v>
          </cell>
          <cell r="C170">
            <v>1</v>
          </cell>
          <cell r="F170" t="str">
            <v>Elevator floors (carpets) and edges clean of dirt, dust, litter?</v>
          </cell>
          <cell r="G170">
            <v>1</v>
          </cell>
          <cell r="I170">
            <v>1</v>
          </cell>
        </row>
        <row r="171">
          <cell r="A171">
            <v>84</v>
          </cell>
          <cell r="B171" t="str">
            <v>g.</v>
          </cell>
          <cell r="C171">
            <v>1</v>
          </cell>
          <cell r="F171" t="str">
            <v>Elevators finished with depth shine or carpets clean and fresh?</v>
          </cell>
          <cell r="G171">
            <v>1</v>
          </cell>
          <cell r="I171">
            <v>1</v>
          </cell>
        </row>
        <row r="172">
          <cell r="A172">
            <v>84</v>
          </cell>
          <cell r="B172" t="str">
            <v>h.</v>
          </cell>
          <cell r="C172">
            <v>1</v>
          </cell>
          <cell r="F172" t="str">
            <v>Elevator walls clean and free of smudges and marks?</v>
          </cell>
          <cell r="G172">
            <v>1</v>
          </cell>
          <cell r="I172">
            <v>1</v>
          </cell>
        </row>
        <row r="173">
          <cell r="A173">
            <v>84</v>
          </cell>
          <cell r="B173" t="str">
            <v>I.</v>
          </cell>
          <cell r="C173">
            <v>1</v>
          </cell>
          <cell r="F173" t="str">
            <v>Elevator ledges and lights clean and free of dust?</v>
          </cell>
          <cell r="G173">
            <v>1</v>
          </cell>
          <cell r="I173">
            <v>1</v>
          </cell>
        </row>
        <row r="174">
          <cell r="A174">
            <v>84</v>
          </cell>
          <cell r="B174" t="str">
            <v>j.</v>
          </cell>
          <cell r="C174">
            <v>1</v>
          </cell>
          <cell r="F174" t="str">
            <v>Stairwell floors and edges clean of dirt, dust, and litter?</v>
          </cell>
          <cell r="G174">
            <v>1</v>
          </cell>
          <cell r="I174">
            <v>1</v>
          </cell>
        </row>
        <row r="175">
          <cell r="A175">
            <v>84</v>
          </cell>
          <cell r="B175" t="str">
            <v>k.</v>
          </cell>
          <cell r="C175">
            <v>1</v>
          </cell>
          <cell r="F175" t="str">
            <v>Stairwell ledges and lights clean and free of dust?</v>
          </cell>
          <cell r="G175">
            <v>1</v>
          </cell>
          <cell r="I175">
            <v>1</v>
          </cell>
        </row>
        <row r="176">
          <cell r="A176">
            <v>84</v>
          </cell>
          <cell r="B176" t="str">
            <v>l.</v>
          </cell>
          <cell r="C176">
            <v>1</v>
          </cell>
          <cell r="F176" t="str">
            <v>Stairwell walls clean and free of smudges and marks?</v>
          </cell>
          <cell r="G176">
            <v>1</v>
          </cell>
          <cell r="I176">
            <v>1</v>
          </cell>
        </row>
        <row r="177">
          <cell r="A177">
            <v>84</v>
          </cell>
          <cell r="B177" t="str">
            <v>m.</v>
          </cell>
          <cell r="C177">
            <v>1</v>
          </cell>
          <cell r="F177" t="str">
            <v>Fire extinquisher cabinets clean?</v>
          </cell>
          <cell r="G177">
            <v>1</v>
          </cell>
          <cell r="I177">
            <v>1</v>
          </cell>
        </row>
        <row r="178">
          <cell r="A178">
            <v>85</v>
          </cell>
          <cell r="F178" t="str">
            <v>Support Rooms</v>
          </cell>
        </row>
        <row r="179">
          <cell r="A179">
            <v>85</v>
          </cell>
          <cell r="B179" t="str">
            <v>a.</v>
          </cell>
          <cell r="C179">
            <v>1</v>
          </cell>
          <cell r="F179" t="str">
            <v>Floors (carpets) including edges clean of dirt, dust, and litter?</v>
          </cell>
          <cell r="G179">
            <v>1</v>
          </cell>
          <cell r="I179">
            <v>1</v>
          </cell>
        </row>
        <row r="180">
          <cell r="A180">
            <v>85</v>
          </cell>
          <cell r="B180" t="str">
            <v>b.</v>
          </cell>
          <cell r="C180">
            <v>1</v>
          </cell>
          <cell r="F180" t="str">
            <v>Floors finished with depth shine or carpets clean and fresh?</v>
          </cell>
          <cell r="G180">
            <v>1</v>
          </cell>
          <cell r="I180">
            <v>1</v>
          </cell>
        </row>
        <row r="181">
          <cell r="A181">
            <v>85</v>
          </cell>
          <cell r="B181" t="str">
            <v>c.</v>
          </cell>
          <cell r="C181">
            <v>1</v>
          </cell>
          <cell r="F181" t="str">
            <v>Restroom and fixtures clean?</v>
          </cell>
          <cell r="G181">
            <v>1</v>
          </cell>
          <cell r="I181">
            <v>1</v>
          </cell>
        </row>
        <row r="182">
          <cell r="A182">
            <v>85</v>
          </cell>
          <cell r="B182" t="str">
            <v>d.</v>
          </cell>
          <cell r="C182">
            <v>1</v>
          </cell>
          <cell r="F182" t="str">
            <v>Waste containers clean and properly lined?</v>
          </cell>
          <cell r="G182">
            <v>1</v>
          </cell>
          <cell r="I182">
            <v>1</v>
          </cell>
        </row>
        <row r="183">
          <cell r="A183">
            <v>85</v>
          </cell>
          <cell r="B183" t="str">
            <v>e.</v>
          </cell>
          <cell r="C183">
            <v>1</v>
          </cell>
          <cell r="F183" t="str">
            <v>Walls and ledges clean, free of dust and marks?</v>
          </cell>
          <cell r="G183">
            <v>1</v>
          </cell>
          <cell r="I183">
            <v>1</v>
          </cell>
        </row>
        <row r="184">
          <cell r="A184">
            <v>85</v>
          </cell>
          <cell r="B184" t="str">
            <v>f.</v>
          </cell>
          <cell r="C184">
            <v>1</v>
          </cell>
          <cell r="F184" t="str">
            <v>Windows clean and free of spots and marks?</v>
          </cell>
          <cell r="G184">
            <v>1</v>
          </cell>
          <cell r="I184">
            <v>1</v>
          </cell>
        </row>
        <row r="185">
          <cell r="A185">
            <v>85</v>
          </cell>
          <cell r="B185" t="str">
            <v>g.</v>
          </cell>
          <cell r="C185">
            <v>1</v>
          </cell>
          <cell r="F185" t="str">
            <v>Vents, registers, and cabinet exteriors clean?</v>
          </cell>
          <cell r="G185">
            <v>1</v>
          </cell>
          <cell r="I185">
            <v>1</v>
          </cell>
        </row>
        <row r="186">
          <cell r="A186">
            <v>85</v>
          </cell>
          <cell r="B186" t="str">
            <v>h.</v>
          </cell>
          <cell r="C186">
            <v>1</v>
          </cell>
          <cell r="F186" t="str">
            <v>Furniture and counters clean and polished?</v>
          </cell>
          <cell r="G186">
            <v>1</v>
          </cell>
          <cell r="I186">
            <v>1</v>
          </cell>
        </row>
        <row r="187">
          <cell r="A187">
            <v>86</v>
          </cell>
          <cell r="F187" t="str">
            <v>Housekeeping Areas and Equipment</v>
          </cell>
        </row>
        <row r="188">
          <cell r="A188">
            <v>86</v>
          </cell>
          <cell r="B188" t="str">
            <v>a.</v>
          </cell>
          <cell r="C188">
            <v>1</v>
          </cell>
          <cell r="F188" t="str">
            <v>Housekeeping carts clean, orderly and correct labels used?</v>
          </cell>
          <cell r="G188">
            <v>1</v>
          </cell>
          <cell r="I188">
            <v>1</v>
          </cell>
        </row>
        <row r="189">
          <cell r="A189">
            <v>86</v>
          </cell>
          <cell r="B189" t="str">
            <v>b.</v>
          </cell>
          <cell r="C189">
            <v>1</v>
          </cell>
          <cell r="F189" t="str">
            <v>Mop buckets and wringers (SRD if used) and Mega Mops clean?</v>
          </cell>
          <cell r="G189">
            <v>1</v>
          </cell>
          <cell r="I189">
            <v>1</v>
          </cell>
        </row>
        <row r="190">
          <cell r="A190">
            <v>86</v>
          </cell>
          <cell r="B190" t="str">
            <v>c.</v>
          </cell>
          <cell r="C190">
            <v>1</v>
          </cell>
          <cell r="F190" t="str">
            <v>Environmental control closet clean and orderly?</v>
          </cell>
          <cell r="G190">
            <v>1</v>
          </cell>
          <cell r="I190">
            <v>1</v>
          </cell>
        </row>
        <row r="191">
          <cell r="A191">
            <v>86</v>
          </cell>
          <cell r="B191" t="str">
            <v>d.</v>
          </cell>
          <cell r="C191">
            <v>1</v>
          </cell>
          <cell r="F191" t="str">
            <v>Sink or drain clean?</v>
          </cell>
          <cell r="G191">
            <v>1</v>
          </cell>
          <cell r="I191">
            <v>1</v>
          </cell>
        </row>
        <row r="192">
          <cell r="A192">
            <v>86</v>
          </cell>
          <cell r="B192" t="str">
            <v>e.</v>
          </cell>
          <cell r="C192">
            <v>1</v>
          </cell>
          <cell r="F192" t="str">
            <v>Closet and equipment free of unnecessary items?</v>
          </cell>
          <cell r="G192">
            <v>1</v>
          </cell>
          <cell r="I192">
            <v>1</v>
          </cell>
        </row>
        <row r="193">
          <cell r="A193">
            <v>86</v>
          </cell>
          <cell r="B193" t="str">
            <v>f.</v>
          </cell>
          <cell r="C193">
            <v>1</v>
          </cell>
          <cell r="F193" t="str">
            <v>All equipment and supplies stored off the floor?</v>
          </cell>
          <cell r="G193">
            <v>1</v>
          </cell>
          <cell r="I193">
            <v>1</v>
          </cell>
        </row>
        <row r="194">
          <cell r="A194">
            <v>86</v>
          </cell>
          <cell r="B194" t="str">
            <v>g.</v>
          </cell>
          <cell r="C194">
            <v>1</v>
          </cell>
          <cell r="F194" t="str">
            <v>Area 12-18 inches from ceiling clear of obstructions?</v>
          </cell>
          <cell r="G194">
            <v>1</v>
          </cell>
          <cell r="I194">
            <v>1</v>
          </cell>
        </row>
        <row r="195">
          <cell r="A195">
            <v>86</v>
          </cell>
          <cell r="B195" t="str">
            <v>h.</v>
          </cell>
          <cell r="C195">
            <v>1</v>
          </cell>
          <cell r="F195" t="str">
            <v>Back flow valve visible for water supply?</v>
          </cell>
          <cell r="G195">
            <v>1</v>
          </cell>
          <cell r="I195">
            <v>1</v>
          </cell>
        </row>
        <row r="196">
          <cell r="A196">
            <v>86</v>
          </cell>
          <cell r="B196" t="str">
            <v>I.</v>
          </cell>
          <cell r="C196">
            <v>1</v>
          </cell>
          <cell r="F196" t="str">
            <v>Equipment (rotos, vacuums, etc.) clean and polished?</v>
          </cell>
          <cell r="G196">
            <v>1</v>
          </cell>
          <cell r="I196">
            <v>1</v>
          </cell>
        </row>
        <row r="197">
          <cell r="A197">
            <v>86</v>
          </cell>
          <cell r="B197" t="str">
            <v>j.</v>
          </cell>
          <cell r="C197">
            <v>1</v>
          </cell>
          <cell r="F197" t="str">
            <v>Dry mops are treated and stored in metal containers?</v>
          </cell>
          <cell r="G197">
            <v>1</v>
          </cell>
          <cell r="I197">
            <v>1</v>
          </cell>
        </row>
        <row r="198">
          <cell r="A198">
            <v>86</v>
          </cell>
          <cell r="B198" t="str">
            <v>k.</v>
          </cell>
          <cell r="C198">
            <v>1</v>
          </cell>
          <cell r="F198" t="str">
            <v>Infectious waste is transported in designated carts?</v>
          </cell>
          <cell r="G198">
            <v>1</v>
          </cell>
          <cell r="I198">
            <v>1</v>
          </cell>
        </row>
        <row r="199">
          <cell r="A199">
            <v>86</v>
          </cell>
          <cell r="B199" t="str">
            <v>l.</v>
          </cell>
          <cell r="C199">
            <v>1</v>
          </cell>
          <cell r="F199" t="str">
            <v>Method and area for dispensing chemicals clearly defined?</v>
          </cell>
          <cell r="G199">
            <v>1</v>
          </cell>
          <cell r="I199">
            <v>1</v>
          </cell>
        </row>
        <row r="200">
          <cell r="A200">
            <v>87</v>
          </cell>
          <cell r="F200" t="str">
            <v>Department (Offices, Clinics, etc.)</v>
          </cell>
        </row>
        <row r="201">
          <cell r="A201">
            <v>87</v>
          </cell>
          <cell r="B201" t="str">
            <v>a.</v>
          </cell>
          <cell r="C201">
            <v>1</v>
          </cell>
          <cell r="F201" t="str">
            <v>Floors (carpets) including edges clean of dirt, dust, and litter?</v>
          </cell>
          <cell r="G201">
            <v>1</v>
          </cell>
          <cell r="I201">
            <v>1</v>
          </cell>
        </row>
        <row r="202">
          <cell r="A202">
            <v>87</v>
          </cell>
          <cell r="B202" t="str">
            <v>b.</v>
          </cell>
          <cell r="C202">
            <v>1</v>
          </cell>
          <cell r="F202" t="str">
            <v>Floors finished with depth shine or carpets clean and fresh?</v>
          </cell>
          <cell r="G202">
            <v>1</v>
          </cell>
          <cell r="I202">
            <v>1</v>
          </cell>
        </row>
        <row r="203">
          <cell r="A203">
            <v>87</v>
          </cell>
          <cell r="B203" t="str">
            <v>c.</v>
          </cell>
          <cell r="C203">
            <v>1</v>
          </cell>
          <cell r="F203" t="str">
            <v>Restroom and fixtures clean?</v>
          </cell>
          <cell r="G203">
            <v>1</v>
          </cell>
          <cell r="I203">
            <v>1</v>
          </cell>
        </row>
        <row r="204">
          <cell r="A204">
            <v>87</v>
          </cell>
          <cell r="B204" t="str">
            <v>d.</v>
          </cell>
          <cell r="C204">
            <v>1</v>
          </cell>
          <cell r="F204" t="str">
            <v>Waste containers clean and properly lined?</v>
          </cell>
          <cell r="G204">
            <v>1</v>
          </cell>
          <cell r="I204">
            <v>1</v>
          </cell>
        </row>
        <row r="205">
          <cell r="A205">
            <v>87</v>
          </cell>
          <cell r="B205" t="str">
            <v>e.</v>
          </cell>
          <cell r="C205">
            <v>1</v>
          </cell>
          <cell r="F205" t="str">
            <v>Walls and ledges clean, free of dust and marks?</v>
          </cell>
          <cell r="G205">
            <v>1</v>
          </cell>
          <cell r="I205">
            <v>1</v>
          </cell>
        </row>
        <row r="206">
          <cell r="A206">
            <v>87</v>
          </cell>
          <cell r="B206" t="str">
            <v>f.</v>
          </cell>
          <cell r="C206">
            <v>1</v>
          </cell>
          <cell r="F206" t="str">
            <v>Windows clean and free of spots and marks?</v>
          </cell>
          <cell r="G206">
            <v>1</v>
          </cell>
          <cell r="I206">
            <v>1</v>
          </cell>
        </row>
        <row r="207">
          <cell r="F207" t="str">
            <v>GENERAL</v>
          </cell>
        </row>
        <row r="208">
          <cell r="F208" t="str">
            <v>ENVIRONMENTAL/CUSTODIAL (CONTINUED)</v>
          </cell>
        </row>
        <row r="209">
          <cell r="A209">
            <v>87</v>
          </cell>
          <cell r="B209" t="str">
            <v>g.</v>
          </cell>
          <cell r="C209">
            <v>1</v>
          </cell>
          <cell r="F209" t="str">
            <v>Vents, registers, and cabinet exteriors clean?</v>
          </cell>
          <cell r="G209">
            <v>1</v>
          </cell>
          <cell r="I209">
            <v>1</v>
          </cell>
        </row>
        <row r="210">
          <cell r="A210">
            <v>87</v>
          </cell>
          <cell r="B210" t="str">
            <v>h.</v>
          </cell>
          <cell r="C210">
            <v>1</v>
          </cell>
          <cell r="F210" t="str">
            <v>Furniture and counters clean and polished?</v>
          </cell>
          <cell r="G210">
            <v>1</v>
          </cell>
          <cell r="I210">
            <v>1</v>
          </cell>
        </row>
        <row r="211">
          <cell r="F211" t="str">
            <v>Customer focus and satisfaction activities consist of surveys for all primary customer groups, "value added" joint review meetings, and a comprehensive annual program review.</v>
          </cell>
        </row>
        <row r="212">
          <cell r="A212">
            <v>88</v>
          </cell>
          <cell r="C212">
            <v>1</v>
          </cell>
          <cell r="F212" t="str">
            <v>Voice of the Customer Survey is completed annually.  Is the Economic Buyer satisfied?  Are the current customer groups identified satisfied?</v>
          </cell>
          <cell r="G212">
            <v>1</v>
          </cell>
          <cell r="I212">
            <v>1</v>
          </cell>
        </row>
        <row r="213">
          <cell r="A213">
            <v>89</v>
          </cell>
          <cell r="C213">
            <v>1</v>
          </cell>
          <cell r="F213" t="str">
            <v>Are the external (patients) satisfied?</v>
          </cell>
          <cell r="G213">
            <v>1</v>
          </cell>
          <cell r="I213">
            <v>1</v>
          </cell>
        </row>
        <row r="214">
          <cell r="A214">
            <v>90</v>
          </cell>
          <cell r="C214">
            <v>1</v>
          </cell>
          <cell r="F214" t="str">
            <v>Are the User Buyers (Nursing Directors) satisfied?</v>
          </cell>
          <cell r="G214">
            <v>1</v>
          </cell>
          <cell r="I214">
            <v>1</v>
          </cell>
        </row>
        <row r="215">
          <cell r="A215">
            <v>91</v>
          </cell>
          <cell r="C215">
            <v>1</v>
          </cell>
          <cell r="F215" t="str">
            <v>Are the Service Partners satisfied?</v>
          </cell>
          <cell r="G215">
            <v>1</v>
          </cell>
          <cell r="I215">
            <v>1</v>
          </cell>
        </row>
        <row r="216">
          <cell r="A216">
            <v>92</v>
          </cell>
          <cell r="C216">
            <v>1</v>
          </cell>
          <cell r="F216" t="str">
            <v>Joint Review meetings are held per agreement frequency?</v>
          </cell>
          <cell r="G216">
            <v>1</v>
          </cell>
          <cell r="I216">
            <v>1</v>
          </cell>
        </row>
        <row r="217">
          <cell r="A217">
            <v>93</v>
          </cell>
          <cell r="C217">
            <v>1</v>
          </cell>
          <cell r="F217" t="str">
            <v>"Value Added" programs are discussed?</v>
          </cell>
          <cell r="G217">
            <v>1</v>
          </cell>
          <cell r="I217">
            <v>1</v>
          </cell>
        </row>
        <row r="218">
          <cell r="A218">
            <v>94</v>
          </cell>
          <cell r="C218">
            <v>1</v>
          </cell>
          <cell r="F218" t="str">
            <v>Written minutes of the joint reviews on file?</v>
          </cell>
          <cell r="G218">
            <v>1</v>
          </cell>
          <cell r="I218">
            <v>1</v>
          </cell>
        </row>
        <row r="219">
          <cell r="F219" t="str">
            <v>Agreement and exhibits are concurrent with the work volumes, inventories, and schedules applied to manage the program.</v>
          </cell>
        </row>
        <row r="220">
          <cell r="A220">
            <v>95</v>
          </cell>
          <cell r="C220">
            <v>1</v>
          </cell>
          <cell r="F220" t="str">
            <v>Agreement and exhibits are up-to-date and available for review?</v>
          </cell>
          <cell r="G220">
            <v>1</v>
          </cell>
          <cell r="I220">
            <v>1</v>
          </cell>
        </row>
        <row r="221">
          <cell r="A221">
            <v>96</v>
          </cell>
          <cell r="C221">
            <v>1</v>
          </cell>
          <cell r="F221" t="str">
            <v>Exhibit A matches the services delivered?</v>
          </cell>
          <cell r="G221">
            <v>1</v>
          </cell>
          <cell r="I221">
            <v>1</v>
          </cell>
        </row>
        <row r="222">
          <cell r="A222">
            <v>97</v>
          </cell>
          <cell r="C222">
            <v>1</v>
          </cell>
          <cell r="F222" t="str">
            <v>Amendments have been processed per agreement and logged?</v>
          </cell>
          <cell r="G222">
            <v>1</v>
          </cell>
          <cell r="I222">
            <v>1</v>
          </cell>
        </row>
        <row r="223">
          <cell r="A223">
            <v>98</v>
          </cell>
          <cell r="C223">
            <v>1</v>
          </cell>
          <cell r="F223" t="str">
            <v>Total net cleanable square footage is documented?</v>
          </cell>
          <cell r="G223">
            <v>1</v>
          </cell>
          <cell r="I223">
            <v>1</v>
          </cell>
        </row>
        <row r="224">
          <cell r="A224">
            <v>99</v>
          </cell>
          <cell r="C224">
            <v>1</v>
          </cell>
          <cell r="F224" t="str">
            <v>Average census and number of active beds are documented?</v>
          </cell>
          <cell r="G224">
            <v>1</v>
          </cell>
          <cell r="I224">
            <v>1</v>
          </cell>
        </row>
        <row r="225">
          <cell r="A225">
            <v>100</v>
          </cell>
          <cell r="C225">
            <v>1</v>
          </cell>
          <cell r="F225" t="str">
            <v>Average checkouts and transfers are documented?</v>
          </cell>
          <cell r="G225">
            <v>1</v>
          </cell>
          <cell r="I225">
            <v>1</v>
          </cell>
        </row>
        <row r="226">
          <cell r="A226">
            <v>101</v>
          </cell>
          <cell r="C226">
            <v>1</v>
          </cell>
          <cell r="F226" t="str">
            <v>Space Inventory is current in ISIS within 90 days?</v>
          </cell>
          <cell r="G226">
            <v>1</v>
          </cell>
          <cell r="I226">
            <v>1</v>
          </cell>
        </row>
        <row r="227">
          <cell r="A227">
            <v>102</v>
          </cell>
          <cell r="C227">
            <v>1</v>
          </cell>
          <cell r="F227" t="str">
            <v>Task inventory is current in ISIS within 90 days?</v>
          </cell>
          <cell r="G227">
            <v>1</v>
          </cell>
          <cell r="I227">
            <v>1</v>
          </cell>
        </row>
        <row r="228">
          <cell r="A228">
            <v>103</v>
          </cell>
          <cell r="C228">
            <v>1</v>
          </cell>
          <cell r="F228" t="str">
            <v>Work schedules are current in ISIS within 90 days?</v>
          </cell>
          <cell r="G228">
            <v>1</v>
          </cell>
          <cell r="I228">
            <v>1</v>
          </cell>
        </row>
        <row r="229">
          <cell r="A229">
            <v>104</v>
          </cell>
          <cell r="C229">
            <v>1</v>
          </cell>
          <cell r="F229" t="str">
            <v>Project completion is documented in ISIS and is above 90% completion YTD?</v>
          </cell>
          <cell r="G229">
            <v>1</v>
          </cell>
          <cell r="I229">
            <v>1</v>
          </cell>
        </row>
        <row r="230">
          <cell r="A230">
            <v>105</v>
          </cell>
          <cell r="C230">
            <v>1</v>
          </cell>
          <cell r="F230" t="str">
            <v>Was an amendment prepared and signed by administration for the implementation of FloorCare QL?</v>
          </cell>
          <cell r="G230">
            <v>1</v>
          </cell>
          <cell r="I230">
            <v>1</v>
          </cell>
        </row>
        <row r="231">
          <cell r="A231">
            <v>106</v>
          </cell>
          <cell r="C231">
            <v>1</v>
          </cell>
          <cell r="F231" t="str">
            <v>Was an amendment prepared and signed by administration for the implementation of CarpetCare QL?</v>
          </cell>
          <cell r="G231">
            <v>1</v>
          </cell>
          <cell r="I231">
            <v>1</v>
          </cell>
        </row>
        <row r="232">
          <cell r="A232">
            <v>107</v>
          </cell>
          <cell r="C232">
            <v>1</v>
          </cell>
          <cell r="F232" t="str">
            <v>Was an amendment prepared and signed by administration for the implementation of SpaceCareQL?</v>
          </cell>
          <cell r="G232">
            <v>1</v>
          </cell>
          <cell r="I232">
            <v>1</v>
          </cell>
        </row>
        <row r="233">
          <cell r="A233">
            <v>108</v>
          </cell>
          <cell r="C233">
            <v>1</v>
          </cell>
          <cell r="F233" t="str">
            <v>Was an amendment prepared and signed by administration for the implementation of QuadCareQL?</v>
          </cell>
          <cell r="G233">
            <v>1</v>
          </cell>
          <cell r="I233">
            <v>1</v>
          </cell>
        </row>
        <row r="234">
          <cell r="A234">
            <v>109</v>
          </cell>
          <cell r="C234">
            <v>1</v>
          </cell>
          <cell r="F234" t="str">
            <v>Was an amendment prepared and signed by administration for the implementation of TerrazzoCareQL?</v>
          </cell>
          <cell r="G234">
            <v>1</v>
          </cell>
          <cell r="I234">
            <v>1</v>
          </cell>
        </row>
        <row r="235">
          <cell r="F235" t="str">
            <v>Compliance routines include essential inspection reports, written policies and procedures, and regulatory agency (JCAHO, OSHA, etc.) conformity.</v>
          </cell>
        </row>
        <row r="236">
          <cell r="A236">
            <v>110</v>
          </cell>
          <cell r="C236">
            <v>1</v>
          </cell>
          <cell r="F236" t="str">
            <v>Supervisor inspection reports are current and on file?</v>
          </cell>
          <cell r="G236">
            <v>1</v>
          </cell>
          <cell r="I236">
            <v>1</v>
          </cell>
        </row>
        <row r="237">
          <cell r="A237">
            <v>111</v>
          </cell>
          <cell r="C237">
            <v>1</v>
          </cell>
          <cell r="F237" t="str">
            <v>Weekly inspection reports are current and on file?</v>
          </cell>
          <cell r="G237">
            <v>1</v>
          </cell>
          <cell r="I237">
            <v>1</v>
          </cell>
        </row>
        <row r="238">
          <cell r="A238">
            <v>112</v>
          </cell>
          <cell r="C238">
            <v>1</v>
          </cell>
          <cell r="F238" t="str">
            <v>Quality Performance Quotients are current and on file?</v>
          </cell>
          <cell r="G238">
            <v>1</v>
          </cell>
          <cell r="I238">
            <v>1</v>
          </cell>
        </row>
        <row r="239">
          <cell r="A239">
            <v>113</v>
          </cell>
          <cell r="C239">
            <v>1</v>
          </cell>
          <cell r="F239" t="str">
            <v>Department policies and procedures are current (within last 12 months) and on file?</v>
          </cell>
          <cell r="G239">
            <v>1</v>
          </cell>
          <cell r="I239">
            <v>1</v>
          </cell>
        </row>
        <row r="240">
          <cell r="A240">
            <v>114</v>
          </cell>
          <cell r="C240">
            <v>1</v>
          </cell>
          <cell r="F240" t="str">
            <v>All regulatory requirement (JCAHO, OSHA, etc.) are in full compliance?</v>
          </cell>
          <cell r="G240">
            <v>1</v>
          </cell>
          <cell r="I240">
            <v>1</v>
          </cell>
        </row>
        <row r="243">
          <cell r="F243" t="str">
            <v>GENERAL</v>
          </cell>
        </row>
        <row r="244">
          <cell r="F244" t="str">
            <v>ENVIRONMENTAL/CUSTODIAL (CONTINUED)</v>
          </cell>
        </row>
        <row r="245">
          <cell r="F245" t="str">
            <v>ServiceMaster supplies and equipment are utilized and appropriately maintained.</v>
          </cell>
        </row>
        <row r="246">
          <cell r="A246">
            <v>115</v>
          </cell>
          <cell r="C246">
            <v>1</v>
          </cell>
          <cell r="F246" t="str">
            <v>ServiceMaster supplies and equipment are used at the facility?</v>
          </cell>
          <cell r="G246">
            <v>1</v>
          </cell>
          <cell r="I246">
            <v>1</v>
          </cell>
        </row>
        <row r="247">
          <cell r="A247">
            <v>116</v>
          </cell>
          <cell r="C247">
            <v>1</v>
          </cell>
          <cell r="F247" t="str">
            <v>A documented asset (supplies and equipment) inventory is current within 90 days?</v>
          </cell>
          <cell r="G247">
            <v>1</v>
          </cell>
          <cell r="I247">
            <v>1</v>
          </cell>
        </row>
        <row r="248">
          <cell r="A248">
            <v>117</v>
          </cell>
          <cell r="C248">
            <v>1</v>
          </cell>
          <cell r="F248" t="str">
            <v>An equipment parts inventory for all recommended equipment parts is on hand?</v>
          </cell>
          <cell r="G248">
            <v>1</v>
          </cell>
          <cell r="I248">
            <v>1</v>
          </cell>
        </row>
        <row r="249">
          <cell r="A249">
            <v>118</v>
          </cell>
          <cell r="C249">
            <v>1</v>
          </cell>
          <cell r="F249" t="str">
            <v>Preventive maintenance and safety records for all equipment are completed at least annually and are on file?</v>
          </cell>
          <cell r="G249">
            <v>1</v>
          </cell>
          <cell r="I249">
            <v>1</v>
          </cell>
        </row>
        <row r="250">
          <cell r="A250">
            <v>119</v>
          </cell>
          <cell r="C250">
            <v>1</v>
          </cell>
          <cell r="F250" t="str">
            <v>Corrective maintenance records (equipment history) are current within 90 days and are on file?</v>
          </cell>
          <cell r="G250">
            <v>1</v>
          </cell>
          <cell r="I250">
            <v>1</v>
          </cell>
        </row>
        <row r="251">
          <cell r="A251">
            <v>120</v>
          </cell>
          <cell r="C251">
            <v>1</v>
          </cell>
          <cell r="F251" t="str">
            <v>Are Quantum Leap Innovations implemented as per the facility survey and ongoing twice a year training being completed with service partners?</v>
          </cell>
          <cell r="G251">
            <v>1</v>
          </cell>
          <cell r="I251">
            <v>1</v>
          </cell>
        </row>
        <row r="252">
          <cell r="A252">
            <v>121</v>
          </cell>
          <cell r="C252">
            <v>1</v>
          </cell>
          <cell r="F252" t="str">
            <v>Is ISIS being used to manage the development of employee schedules, project statistics, and training of employees?</v>
          </cell>
          <cell r="G252">
            <v>1</v>
          </cell>
          <cell r="I252">
            <v>1</v>
          </cell>
        </row>
        <row r="253">
          <cell r="A253">
            <v>122</v>
          </cell>
          <cell r="C253">
            <v>1</v>
          </cell>
          <cell r="F253" t="str">
            <v>Is SMART used to order supplies and equipment?</v>
          </cell>
          <cell r="G253">
            <v>1</v>
          </cell>
          <cell r="I253">
            <v>1</v>
          </cell>
        </row>
        <row r="254">
          <cell r="A254">
            <v>123</v>
          </cell>
          <cell r="C254">
            <v>1</v>
          </cell>
          <cell r="F254" t="str">
            <v>Can manager demonstrate the ability to use NTK to obtain technical updates?</v>
          </cell>
          <cell r="G254">
            <v>1</v>
          </cell>
          <cell r="I254">
            <v>1</v>
          </cell>
        </row>
        <row r="255">
          <cell r="A255">
            <v>124</v>
          </cell>
          <cell r="C255">
            <v>1</v>
          </cell>
          <cell r="F255" t="str">
            <v>Hours report completed daily?</v>
          </cell>
          <cell r="G255">
            <v>1</v>
          </cell>
          <cell r="I255">
            <v>1</v>
          </cell>
        </row>
        <row r="256">
          <cell r="A256">
            <v>125</v>
          </cell>
          <cell r="C256">
            <v>1</v>
          </cell>
          <cell r="F256" t="str">
            <v>Hours report accuracy is verified within 5 workng days?</v>
          </cell>
          <cell r="G256">
            <v>1</v>
          </cell>
          <cell r="I256">
            <v>1</v>
          </cell>
        </row>
        <row r="257">
          <cell r="A257">
            <v>126</v>
          </cell>
          <cell r="C257">
            <v>1</v>
          </cell>
          <cell r="F257" t="str">
            <v>Payroll verification is completed within 5 working days?</v>
          </cell>
          <cell r="G257">
            <v>1</v>
          </cell>
          <cell r="I257">
            <v>1</v>
          </cell>
        </row>
        <row r="258">
          <cell r="A258">
            <v>127</v>
          </cell>
          <cell r="C258">
            <v>1</v>
          </cell>
          <cell r="F258" t="str">
            <v>Benefit time report is current (within 2 weeks)?</v>
          </cell>
          <cell r="G258">
            <v>1</v>
          </cell>
          <cell r="I258">
            <v>1</v>
          </cell>
        </row>
        <row r="259">
          <cell r="A259">
            <v>128</v>
          </cell>
          <cell r="C259">
            <v>1</v>
          </cell>
          <cell r="F259" t="str">
            <v>Position summary is current within 90 days?</v>
          </cell>
          <cell r="G259">
            <v>1</v>
          </cell>
          <cell r="I259">
            <v>1</v>
          </cell>
        </row>
        <row r="260">
          <cell r="A260">
            <v>129</v>
          </cell>
          <cell r="C260">
            <v>1</v>
          </cell>
          <cell r="F260" t="str">
            <v>Position summary hours are balanced?</v>
          </cell>
          <cell r="G260">
            <v>1</v>
          </cell>
          <cell r="I260">
            <v>1</v>
          </cell>
        </row>
        <row r="261">
          <cell r="A261">
            <v>130</v>
          </cell>
          <cell r="C261">
            <v>1</v>
          </cell>
          <cell r="F261" t="str">
            <v>Is Floor Care QL implemented as per the facility survey?</v>
          </cell>
          <cell r="G261">
            <v>1</v>
          </cell>
          <cell r="I261">
            <v>1</v>
          </cell>
        </row>
        <row r="262">
          <cell r="A262">
            <v>131</v>
          </cell>
          <cell r="C262">
            <v>1</v>
          </cell>
          <cell r="F262" t="str">
            <v>Is Carpet Care QL implemented as per the facility survey?</v>
          </cell>
          <cell r="G262">
            <v>1</v>
          </cell>
          <cell r="I262">
            <v>1</v>
          </cell>
        </row>
        <row r="263">
          <cell r="A263">
            <v>132</v>
          </cell>
          <cell r="C263">
            <v>1</v>
          </cell>
          <cell r="F263" t="str">
            <v>Is SpaceCare QL implemented as per the facility survey?</v>
          </cell>
          <cell r="G263">
            <v>1</v>
          </cell>
          <cell r="I263">
            <v>1</v>
          </cell>
        </row>
        <row r="264">
          <cell r="A264">
            <v>133</v>
          </cell>
          <cell r="C264">
            <v>1</v>
          </cell>
          <cell r="F264" t="str">
            <v>Is QuadCare QL implemented as per the facility survey?</v>
          </cell>
          <cell r="G264">
            <v>1</v>
          </cell>
          <cell r="I264">
            <v>1</v>
          </cell>
        </row>
        <row r="265">
          <cell r="A265">
            <v>134</v>
          </cell>
          <cell r="C265">
            <v>1</v>
          </cell>
          <cell r="F265" t="str">
            <v>Is TerrazzoCare QL implemented as per the facility survey?</v>
          </cell>
          <cell r="G265">
            <v>1</v>
          </cell>
          <cell r="I265">
            <v>1</v>
          </cell>
        </row>
        <row r="267">
          <cell r="F267" t="str">
            <v xml:space="preserve">                                     Total General - Environmental/Custodial </v>
          </cell>
          <cell r="G267">
            <v>125</v>
          </cell>
          <cell r="I267">
            <v>125</v>
          </cell>
        </row>
        <row r="268">
          <cell r="F268" t="str">
            <v xml:space="preserve">                                                             Percentage Implemented</v>
          </cell>
          <cell r="G268">
            <v>1</v>
          </cell>
        </row>
        <row r="270">
          <cell r="F270" t="str">
            <v>GENERAL</v>
          </cell>
        </row>
        <row r="271">
          <cell r="F271" t="str">
            <v>ENVIRONMENTAL SERVICES (HEALTHCARE ONLY)</v>
          </cell>
        </row>
        <row r="272">
          <cell r="A272">
            <v>135</v>
          </cell>
          <cell r="C272">
            <v>2</v>
          </cell>
          <cell r="F272" t="str">
            <v>Was an amendment prepared and signed by administration for the implementation of HRS?</v>
          </cell>
          <cell r="G272" t="str">
            <v>N/A</v>
          </cell>
          <cell r="I272">
            <v>0</v>
          </cell>
        </row>
        <row r="273">
          <cell r="A273">
            <v>136</v>
          </cell>
          <cell r="C273">
            <v>2</v>
          </cell>
          <cell r="F273" t="str">
            <v>Is HRS implemented as per the facility survey?</v>
          </cell>
          <cell r="G273" t="str">
            <v>N/A</v>
          </cell>
          <cell r="I273">
            <v>0</v>
          </cell>
        </row>
        <row r="274">
          <cell r="A274">
            <v>137</v>
          </cell>
          <cell r="C274">
            <v>2</v>
          </cell>
          <cell r="F274" t="str">
            <v>Total paid hours are below 5.0 manhours per 1000 net cleanable square feet?</v>
          </cell>
          <cell r="G274" t="str">
            <v>N/A</v>
          </cell>
          <cell r="I274">
            <v>0</v>
          </cell>
        </row>
        <row r="275">
          <cell r="A275">
            <v>138</v>
          </cell>
          <cell r="C275">
            <v>2</v>
          </cell>
          <cell r="F275" t="str">
            <v>MTP supply expense at or below $0.09 per net cleanable square foot?</v>
          </cell>
          <cell r="G275" t="str">
            <v>N/A</v>
          </cell>
          <cell r="I275">
            <v>0</v>
          </cell>
        </row>
        <row r="276">
          <cell r="A276">
            <v>139</v>
          </cell>
          <cell r="C276">
            <v>2</v>
          </cell>
          <cell r="F276" t="str">
            <v>Depreciation expense at or below $0.02 per net cleanable square foot?</v>
          </cell>
          <cell r="G276" t="str">
            <v>N/A</v>
          </cell>
          <cell r="I276">
            <v>0</v>
          </cell>
        </row>
        <row r="278">
          <cell r="F278" t="str">
            <v xml:space="preserve">                               Total General - Environmental/Custodial (Healthcare only)</v>
          </cell>
          <cell r="G278">
            <v>0</v>
          </cell>
          <cell r="I278">
            <v>0</v>
          </cell>
        </row>
        <row r="279">
          <cell r="F279" t="str">
            <v xml:space="preserve">                                                             Percentage Implemented</v>
          </cell>
          <cell r="G279" t="str">
            <v>N/A</v>
          </cell>
        </row>
        <row r="281">
          <cell r="F281" t="str">
            <v>ENVIRONMENTAL SERVICES (LONG TERM CARE ONLY)</v>
          </cell>
        </row>
        <row r="282">
          <cell r="A282">
            <v>140</v>
          </cell>
          <cell r="C282">
            <v>2</v>
          </cell>
          <cell r="F282" t="str">
            <v>Is FloorCare/CarpetCare QL (space cleaning) implemented as per the facility survey and ongoing twice a year training being completed with service partners?</v>
          </cell>
          <cell r="G282" t="str">
            <v>N/A</v>
          </cell>
          <cell r="I282">
            <v>0</v>
          </cell>
        </row>
        <row r="283">
          <cell r="A283">
            <v>141</v>
          </cell>
          <cell r="C283">
            <v>2</v>
          </cell>
          <cell r="F283" t="str">
            <v>Self Assessment performed annually and all deficiencies corrected within approved timelines.</v>
          </cell>
          <cell r="G283" t="str">
            <v>N/A</v>
          </cell>
          <cell r="I283">
            <v>0</v>
          </cell>
        </row>
        <row r="284">
          <cell r="A284">
            <v>142</v>
          </cell>
          <cell r="C284">
            <v>2</v>
          </cell>
          <cell r="F284" t="str">
            <v>All authorized ServiceMaster Purchasing Programs being effectively used where applicable.</v>
          </cell>
          <cell r="G284" t="str">
            <v>N/A</v>
          </cell>
          <cell r="I284">
            <v>0</v>
          </cell>
        </row>
        <row r="285">
          <cell r="A285">
            <v>143</v>
          </cell>
          <cell r="C285">
            <v>2</v>
          </cell>
          <cell r="F285" t="str">
            <v>Account is at a minimum of 90% on preventive maintenance requirements?</v>
          </cell>
          <cell r="G285" t="str">
            <v>N/A</v>
          </cell>
          <cell r="I285">
            <v>0</v>
          </cell>
        </row>
        <row r="286">
          <cell r="A286">
            <v>144</v>
          </cell>
          <cell r="C286">
            <v>2</v>
          </cell>
          <cell r="F286" t="str">
            <v>The entire Laundry JSV series has been shown to all employees at least once in past 2 years.</v>
          </cell>
          <cell r="G286" t="str">
            <v>N/A</v>
          </cell>
          <cell r="I286">
            <v>0</v>
          </cell>
        </row>
        <row r="287">
          <cell r="A287">
            <v>145</v>
          </cell>
          <cell r="C287">
            <v>2</v>
          </cell>
          <cell r="F287" t="str">
            <v>Material Safety Data Sheets (MSDS) available in the department for all chemicals present?</v>
          </cell>
          <cell r="G287" t="str">
            <v>N/A</v>
          </cell>
          <cell r="I287">
            <v>0</v>
          </cell>
        </row>
        <row r="288">
          <cell r="A288">
            <v>146</v>
          </cell>
          <cell r="C288">
            <v>2</v>
          </cell>
          <cell r="F288" t="str">
            <v>Laundry Test Piece run at least twice a year and test results are on file.</v>
          </cell>
          <cell r="G288" t="str">
            <v>N/A</v>
          </cell>
          <cell r="I288">
            <v>0</v>
          </cell>
        </row>
        <row r="289">
          <cell r="A289">
            <v>147</v>
          </cell>
          <cell r="C289">
            <v>2</v>
          </cell>
          <cell r="F289" t="str">
            <v>Pounds processed record current for this year and records for past 2 years on file?</v>
          </cell>
          <cell r="G289" t="str">
            <v>N/A</v>
          </cell>
          <cell r="I289">
            <v>0</v>
          </cell>
        </row>
        <row r="290">
          <cell r="A290">
            <v>148</v>
          </cell>
          <cell r="C290">
            <v>2</v>
          </cell>
          <cell r="F290" t="str">
            <v>Record of "Actual Resident Days" current for this year and records for past 2 years on file.</v>
          </cell>
          <cell r="G290" t="str">
            <v>N/A</v>
          </cell>
          <cell r="I290">
            <v>0</v>
          </cell>
        </row>
        <row r="291">
          <cell r="A291">
            <v>149</v>
          </cell>
          <cell r="C291">
            <v>2</v>
          </cell>
          <cell r="F291" t="str">
            <v>Equipment downtime and repair records kept for all laundry equipment?</v>
          </cell>
          <cell r="G291" t="str">
            <v>N/A</v>
          </cell>
          <cell r="I291">
            <v>0</v>
          </cell>
        </row>
        <row r="292">
          <cell r="A292">
            <v>150</v>
          </cell>
          <cell r="C292">
            <v>2</v>
          </cell>
          <cell r="F292" t="str">
            <v>Weekly or other periodic inspections for safety and quality conducted with a representative from administration and documentation on file?</v>
          </cell>
          <cell r="G292" t="str">
            <v>N/A</v>
          </cell>
          <cell r="I292">
            <v>0</v>
          </cell>
        </row>
        <row r="293">
          <cell r="A293">
            <v>151</v>
          </cell>
          <cell r="C293">
            <v>2</v>
          </cell>
          <cell r="F293" t="str">
            <v>Operating procedures are in place for efficient processing of residents' personal clothing to include labeling of clothes, turnaround time and wash formulas.</v>
          </cell>
          <cell r="G293" t="str">
            <v>N/A</v>
          </cell>
          <cell r="I293">
            <v>0</v>
          </cell>
        </row>
        <row r="295">
          <cell r="F295" t="str">
            <v xml:space="preserve">                                        Total General - Environmental (LTC) </v>
          </cell>
          <cell r="G295">
            <v>0</v>
          </cell>
          <cell r="I295">
            <v>0</v>
          </cell>
        </row>
        <row r="296">
          <cell r="F296" t="str">
            <v xml:space="preserve">                                                             Percentage Implemented</v>
          </cell>
          <cell r="G296" t="str">
            <v>N/A</v>
          </cell>
        </row>
        <row r="298">
          <cell r="F298" t="str">
            <v>GENERAL</v>
          </cell>
        </row>
        <row r="299">
          <cell r="F299" t="str">
            <v>CUSTODIAL (EDUCATION ONLY)</v>
          </cell>
        </row>
        <row r="300">
          <cell r="A300">
            <v>152</v>
          </cell>
          <cell r="C300">
            <v>2</v>
          </cell>
          <cell r="F300" t="str">
            <v>Are Custodial Weekly Inspections conducted with building Administration on at least 10% of the buildings served weekly ? (SOPI:300.19)</v>
          </cell>
          <cell r="G300" t="str">
            <v>N/A</v>
          </cell>
          <cell r="I300">
            <v>0</v>
          </cell>
        </row>
        <row r="301">
          <cell r="A301">
            <v>153</v>
          </cell>
          <cell r="C301">
            <v>2</v>
          </cell>
          <cell r="F301" t="str">
            <v>Are Supervisory Inspections completed weekly on each building visited?</v>
          </cell>
          <cell r="G301" t="str">
            <v>N/A</v>
          </cell>
          <cell r="I301">
            <v>0</v>
          </cell>
        </row>
        <row r="302">
          <cell r="A302">
            <v>154</v>
          </cell>
          <cell r="C302">
            <v>2</v>
          </cell>
          <cell r="F302" t="str">
            <v>Are Teacher/Staff Interviews completed for 10% of the teaching/staff each month or at least 100% annually ? (SOPI:300.20)</v>
          </cell>
          <cell r="G302" t="str">
            <v>N/A</v>
          </cell>
          <cell r="I302">
            <v>0</v>
          </cell>
        </row>
        <row r="303">
          <cell r="A303">
            <v>155</v>
          </cell>
          <cell r="C303">
            <v>2</v>
          </cell>
          <cell r="F303" t="str">
            <v>Total paid hours are below 2.0 manhours per 1000 net cleanable square feet?</v>
          </cell>
          <cell r="G303" t="str">
            <v>N/A</v>
          </cell>
          <cell r="I303">
            <v>0</v>
          </cell>
        </row>
        <row r="304">
          <cell r="A304">
            <v>156</v>
          </cell>
          <cell r="C304">
            <v>2</v>
          </cell>
          <cell r="F304" t="str">
            <v>MTP supply expense at or below $0.038 per net cleanable square foot?</v>
          </cell>
          <cell r="G304" t="str">
            <v>N/A</v>
          </cell>
          <cell r="I304">
            <v>0</v>
          </cell>
        </row>
        <row r="305">
          <cell r="A305">
            <v>157</v>
          </cell>
          <cell r="C305">
            <v>2</v>
          </cell>
          <cell r="F305" t="str">
            <v>Depreciation expense at or below $0.02 per net cleanable square foot?</v>
          </cell>
          <cell r="G305" t="str">
            <v>N/A</v>
          </cell>
          <cell r="I305">
            <v>0</v>
          </cell>
        </row>
        <row r="307">
          <cell r="F307" t="str">
            <v xml:space="preserve">                                  Total General - Custodial (Education Only)</v>
          </cell>
          <cell r="G307">
            <v>0</v>
          </cell>
          <cell r="I307">
            <v>0</v>
          </cell>
        </row>
        <row r="308">
          <cell r="F308" t="str">
            <v xml:space="preserve">                                                             Percentage Implemented</v>
          </cell>
          <cell r="G308" t="str">
            <v>N/A</v>
          </cell>
        </row>
        <row r="311">
          <cell r="F311" t="str">
            <v>GENERAL</v>
          </cell>
          <cell r="I311" t="str">
            <v>Possible</v>
          </cell>
        </row>
        <row r="312">
          <cell r="F312" t="str">
            <v>FOOD AND NUTRITION</v>
          </cell>
          <cell r="G312" t="str">
            <v>Score</v>
          </cell>
          <cell r="I312" t="str">
            <v>Score</v>
          </cell>
        </row>
        <row r="313">
          <cell r="A313">
            <v>158</v>
          </cell>
          <cell r="C313">
            <v>2</v>
          </cell>
          <cell r="F313" t="str">
            <v>Food and Nutrition Services Department's (Facility) operating budget is at or below budgeted levels YTD for payroll and expense categories.  (SOPs 400.2 and 400.3)</v>
          </cell>
          <cell r="G313" t="str">
            <v>N/A</v>
          </cell>
          <cell r="I313">
            <v>0</v>
          </cell>
        </row>
        <row r="314">
          <cell r="A314">
            <v>159</v>
          </cell>
          <cell r="C314">
            <v>2</v>
          </cell>
          <cell r="F314" t="str">
            <v>The Department is clean, neat and orderly.  Sanitation standards are being met.  (SOP Series 500; SOPs 500.3, 500.6, and 500.8)</v>
          </cell>
          <cell r="G314" t="str">
            <v>N/A</v>
          </cell>
          <cell r="I314">
            <v>0</v>
          </cell>
        </row>
        <row r="315">
          <cell r="A315">
            <v>160</v>
          </cell>
          <cell r="C315">
            <v>2</v>
          </cell>
          <cell r="F315" t="str">
            <v>Spot check for correct labeling of chemical bottles. (SOP 500.8)</v>
          </cell>
          <cell r="G315" t="str">
            <v>N/A</v>
          </cell>
          <cell r="I315">
            <v>0</v>
          </cell>
        </row>
        <row r="316">
          <cell r="A316">
            <v>161</v>
          </cell>
          <cell r="C316">
            <v>2</v>
          </cell>
          <cell r="F316" t="str">
            <v>Is there evidence of appropriate use of temperature logs? (SOP 500.6)</v>
          </cell>
          <cell r="G316" t="str">
            <v>N/A</v>
          </cell>
          <cell r="I316">
            <v>0</v>
          </cell>
        </row>
        <row r="317">
          <cell r="A317">
            <v>162</v>
          </cell>
          <cell r="C317">
            <v>2</v>
          </cell>
          <cell r="F317" t="str">
            <v>Are proper attire and personal hygiene standards being met?  (SOP 500.5)</v>
          </cell>
          <cell r="G317" t="str">
            <v>N/A</v>
          </cell>
          <cell r="I317">
            <v>0</v>
          </cell>
        </row>
        <row r="318">
          <cell r="A318">
            <v>163</v>
          </cell>
          <cell r="C318">
            <v>2</v>
          </cell>
          <cell r="F318" t="str">
            <v>ServiceMaster purchasing programs/agreements are implemented.  (SOPs 200.2, 200.3 and 200.4)</v>
          </cell>
          <cell r="G318" t="str">
            <v>N/A</v>
          </cell>
          <cell r="I318">
            <v>0</v>
          </cell>
        </row>
        <row r="319">
          <cell r="A319">
            <v>164</v>
          </cell>
          <cell r="C319">
            <v>2</v>
          </cell>
          <cell r="F319" t="str">
            <v>Trayline starts on time, is properly set up, runs smoothly and is generally quiet.  (SOP 700.1)</v>
          </cell>
          <cell r="G319" t="str">
            <v>N/A</v>
          </cell>
          <cell r="I319">
            <v>0</v>
          </cell>
        </row>
        <row r="320">
          <cell r="A320">
            <v>165</v>
          </cell>
          <cell r="B320" t="str">
            <v>a.</v>
          </cell>
          <cell r="C320">
            <v>2</v>
          </cell>
          <cell r="F320" t="str">
            <v>Are the menus ready for trayline? (SOP 700.1)</v>
          </cell>
          <cell r="G320" t="str">
            <v>N/A</v>
          </cell>
          <cell r="I320">
            <v>0</v>
          </cell>
        </row>
        <row r="321">
          <cell r="A321">
            <v>165</v>
          </cell>
          <cell r="B321" t="str">
            <v>b.</v>
          </cell>
          <cell r="C321">
            <v>2</v>
          </cell>
          <cell r="F321" t="str">
            <v>Test tray results are reviewed.  Are results acceptable? (SOPs 300.6 and 1100.2)</v>
          </cell>
          <cell r="G321" t="str">
            <v>N/A</v>
          </cell>
          <cell r="I321">
            <v>0</v>
          </cell>
        </row>
        <row r="322">
          <cell r="A322">
            <v>165</v>
          </cell>
          <cell r="B322" t="str">
            <v>c.</v>
          </cell>
          <cell r="C322">
            <v>2</v>
          </cell>
          <cell r="F322" t="str">
            <v>Are portions appropriate and correct? (SOPs 300.2 and 300.4)</v>
          </cell>
          <cell r="G322" t="str">
            <v>N/A</v>
          </cell>
          <cell r="I322">
            <v>0</v>
          </cell>
        </row>
        <row r="323">
          <cell r="A323">
            <v>165</v>
          </cell>
          <cell r="B323" t="str">
            <v>d.</v>
          </cell>
          <cell r="C323">
            <v>2</v>
          </cell>
          <cell r="F323" t="str">
            <v>Is food garnished? (SOP 300.7)</v>
          </cell>
          <cell r="G323" t="str">
            <v>N/A</v>
          </cell>
          <cell r="I323">
            <v>0</v>
          </cell>
        </row>
        <row r="324">
          <cell r="A324">
            <v>165</v>
          </cell>
          <cell r="B324" t="str">
            <v>e.</v>
          </cell>
          <cell r="C324">
            <v>2</v>
          </cell>
          <cell r="F324" t="str">
            <v>Are late trays being monitored? (SOP 700.1)</v>
          </cell>
          <cell r="G324" t="str">
            <v>N/A</v>
          </cell>
          <cell r="I324">
            <v>0</v>
          </cell>
        </row>
        <row r="325">
          <cell r="A325">
            <v>165</v>
          </cell>
          <cell r="B325" t="str">
            <v>f.</v>
          </cell>
          <cell r="C325">
            <v>2</v>
          </cell>
          <cell r="F325" t="str">
            <v>Is the telephone message sheet in use? (700.1)</v>
          </cell>
          <cell r="G325" t="str">
            <v>N/A</v>
          </cell>
          <cell r="I325">
            <v>0</v>
          </cell>
        </row>
        <row r="326">
          <cell r="A326">
            <v>166</v>
          </cell>
          <cell r="C326">
            <v>2</v>
          </cell>
          <cell r="F326" t="str">
            <v>Is nutrition screening completed within 24 hours for 100% of admissions?  (SOP 600.3)</v>
          </cell>
          <cell r="G326" t="str">
            <v>N/A</v>
          </cell>
          <cell r="I326">
            <v>0</v>
          </cell>
        </row>
        <row r="327">
          <cell r="A327">
            <v>167</v>
          </cell>
          <cell r="C327">
            <v>2</v>
          </cell>
          <cell r="F327" t="str">
            <v>Are nutrition assessments conducted for patients at risk according to the department policy?  (SOPs 600.3, 600.4 and department policy)</v>
          </cell>
          <cell r="G327" t="str">
            <v>N/A</v>
          </cell>
          <cell r="I327">
            <v>0</v>
          </cell>
        </row>
        <row r="328">
          <cell r="A328">
            <v>168</v>
          </cell>
          <cell r="C328">
            <v>2</v>
          </cell>
          <cell r="F328" t="str">
            <v>Are clinical staff participating in critical pathways (care maps/clinical maps or pathways) outcome data collection?  (SOP 600.15)</v>
          </cell>
          <cell r="G328" t="str">
            <v>N/A</v>
          </cell>
          <cell r="I328">
            <v>0</v>
          </cell>
        </row>
        <row r="329">
          <cell r="A329">
            <v>169</v>
          </cell>
          <cell r="C329">
            <v>2</v>
          </cell>
          <cell r="F329" t="str">
            <v>Is CQI data being collected on an on-going basis? (SOP Series 1100)</v>
          </cell>
          <cell r="G329" t="str">
            <v>N/A</v>
          </cell>
          <cell r="I329">
            <v>0</v>
          </cell>
        </row>
        <row r="331">
          <cell r="F331" t="str">
            <v xml:space="preserve">                                               Total General - Food and Nutrition</v>
          </cell>
          <cell r="G331">
            <v>0</v>
          </cell>
          <cell r="I331">
            <v>0</v>
          </cell>
        </row>
        <row r="332">
          <cell r="F332" t="str">
            <v xml:space="preserve">                                                             Percentage Implemented</v>
          </cell>
          <cell r="G332" t="str">
            <v>N/A</v>
          </cell>
        </row>
        <row r="334">
          <cell r="F334" t="str">
            <v>GENERAL</v>
          </cell>
        </row>
        <row r="335">
          <cell r="F335" t="str">
            <v>FOOD AND NUTRITION ( ACUTE CARE ONLY)</v>
          </cell>
        </row>
        <row r="336">
          <cell r="A336">
            <v>170</v>
          </cell>
          <cell r="C336">
            <v>2</v>
          </cell>
          <cell r="F336" t="str">
            <v>The Patient Satisfaction Survey has been reviewed. (SOP 700.8)</v>
          </cell>
          <cell r="G336" t="str">
            <v>N/A</v>
          </cell>
          <cell r="I336">
            <v>0</v>
          </cell>
        </row>
        <row r="337">
          <cell r="A337">
            <v>171</v>
          </cell>
          <cell r="C337">
            <v>2</v>
          </cell>
          <cell r="F337" t="str">
            <v>The Retail Satisfaction Survey has been reviewed, has an action plan and response letter.  (SOP 900.0 and References 900.9)</v>
          </cell>
          <cell r="G337" t="str">
            <v>N/A</v>
          </cell>
          <cell r="I337">
            <v>0</v>
          </cell>
        </row>
        <row r="338">
          <cell r="A338">
            <v>172</v>
          </cell>
          <cell r="C338">
            <v>2</v>
          </cell>
          <cell r="F338" t="str">
            <v>There is clear evidence that the ServiceMaster retail programs have been implemented.</v>
          </cell>
          <cell r="G338" t="str">
            <v>N/A</v>
          </cell>
          <cell r="I338">
            <v>0</v>
          </cell>
        </row>
        <row r="339">
          <cell r="A339">
            <v>173</v>
          </cell>
          <cell r="B339" t="str">
            <v>a.</v>
          </cell>
          <cell r="C339">
            <v>2</v>
          </cell>
          <cell r="F339" t="str">
            <v>Do retail food offerings have excellent appearance and taste? (SOP 900.1)</v>
          </cell>
          <cell r="G339" t="str">
            <v>N/A</v>
          </cell>
          <cell r="I339">
            <v>0</v>
          </cell>
        </row>
        <row r="340">
          <cell r="A340">
            <v>173</v>
          </cell>
          <cell r="B340" t="str">
            <v>b.</v>
          </cell>
          <cell r="C340">
            <v>2</v>
          </cell>
          <cell r="F340" t="str">
            <v>Are portion sizes accurate and consistent? (SOPs 900.1, 300.2, and 300.4)</v>
          </cell>
          <cell r="G340" t="str">
            <v>N/A</v>
          </cell>
          <cell r="I340">
            <v>0</v>
          </cell>
        </row>
        <row r="341">
          <cell r="A341">
            <v>173</v>
          </cell>
          <cell r="B341" t="str">
            <v>c.</v>
          </cell>
          <cell r="C341">
            <v>2</v>
          </cell>
          <cell r="F341" t="str">
            <v>Is there an adequate choice/variety of foods at each counter throughout service? (SOP 900.2)</v>
          </cell>
          <cell r="G341" t="str">
            <v>N/A</v>
          </cell>
          <cell r="I341">
            <v>0</v>
          </cell>
        </row>
        <row r="342">
          <cell r="A342">
            <v>173</v>
          </cell>
          <cell r="B342" t="str">
            <v>d.</v>
          </cell>
          <cell r="C342">
            <v>2</v>
          </cell>
          <cell r="F342" t="str">
            <v>Did service begin at the posted time? (SOP 900.4)</v>
          </cell>
          <cell r="G342" t="str">
            <v>N/A</v>
          </cell>
          <cell r="I342">
            <v>0</v>
          </cell>
        </row>
        <row r="343">
          <cell r="A343">
            <v>173</v>
          </cell>
          <cell r="B343" t="str">
            <v>e.</v>
          </cell>
          <cell r="C343">
            <v>2</v>
          </cell>
          <cell r="F343" t="str">
            <v>Are menu boards accurate (spelling, prices, and availability)? (SOP 900.4)</v>
          </cell>
          <cell r="G343" t="str">
            <v>N/A</v>
          </cell>
          <cell r="I343">
            <v>0</v>
          </cell>
        </row>
        <row r="344">
          <cell r="A344">
            <v>173</v>
          </cell>
          <cell r="B344" t="str">
            <v>f.</v>
          </cell>
          <cell r="C344">
            <v>2</v>
          </cell>
          <cell r="F344" t="str">
            <v>Are there adequate smallwares and equipment (soup bowls, crocks, silverware, beverage dispensers, tables, chairs, etc.)? (SOP 900.5)</v>
          </cell>
          <cell r="G344" t="str">
            <v>N/A</v>
          </cell>
          <cell r="I344">
            <v>0</v>
          </cell>
        </row>
        <row r="345">
          <cell r="A345">
            <v>173</v>
          </cell>
          <cell r="B345" t="str">
            <v>g.</v>
          </cell>
          <cell r="C345">
            <v>2</v>
          </cell>
          <cell r="F345" t="str">
            <v>Is service friendly, prompt and knowledgeable? (SOP 900.3)</v>
          </cell>
          <cell r="G345" t="str">
            <v>N/A</v>
          </cell>
          <cell r="I345">
            <v>0</v>
          </cell>
        </row>
        <row r="347">
          <cell r="F347" t="str">
            <v xml:space="preserve">           Total General - Food and Nutrition (Healthcare Only)</v>
          </cell>
          <cell r="G347">
            <v>0</v>
          </cell>
          <cell r="I347">
            <v>0</v>
          </cell>
        </row>
        <row r="348">
          <cell r="F348" t="str">
            <v xml:space="preserve">                                                             Percentage Implemented</v>
          </cell>
          <cell r="G348" t="str">
            <v>N/A</v>
          </cell>
        </row>
        <row r="350">
          <cell r="F350" t="str">
            <v>GENERAL</v>
          </cell>
        </row>
        <row r="351">
          <cell r="F351" t="str">
            <v>FOOD AND NUTRITION (LONG TERM CARE ONLY)</v>
          </cell>
        </row>
        <row r="352">
          <cell r="A352">
            <v>174</v>
          </cell>
          <cell r="C352">
            <v>2</v>
          </cell>
          <cell r="F352" t="str">
            <v>The Resident Satisfaction Survey has been reviewed by the Resident Council or Resident Food Committee (SOP 700.8)</v>
          </cell>
          <cell r="G352" t="str">
            <v>N/A</v>
          </cell>
          <cell r="I352">
            <v>0</v>
          </cell>
        </row>
        <row r="354">
          <cell r="F354" t="str">
            <v xml:space="preserve">                           Total General - Food and Nutrition (LTC Only)</v>
          </cell>
          <cell r="G354">
            <v>0</v>
          </cell>
          <cell r="I354">
            <v>0</v>
          </cell>
        </row>
        <row r="355">
          <cell r="F355" t="str">
            <v xml:space="preserve">                                                             Percentage Implemented</v>
          </cell>
          <cell r="G355" t="str">
            <v>N/A</v>
          </cell>
        </row>
        <row r="357">
          <cell r="F357" t="str">
            <v>GENERAL</v>
          </cell>
        </row>
        <row r="358">
          <cell r="F358" t="str">
            <v>CENTRAL TRANSPORTATION</v>
          </cell>
        </row>
        <row r="359">
          <cell r="A359">
            <v>175</v>
          </cell>
          <cell r="C359">
            <v>2</v>
          </cell>
          <cell r="F359" t="str">
            <v>Is the Central Control and Response Center organized, neat and clean?</v>
          </cell>
          <cell r="G359" t="str">
            <v>N/A</v>
          </cell>
          <cell r="I359">
            <v>0</v>
          </cell>
        </row>
        <row r="360">
          <cell r="A360">
            <v>176</v>
          </cell>
          <cell r="C360">
            <v>2</v>
          </cell>
          <cell r="F360" t="str">
            <v>Are the CTD data files current, accurate and inclusive of all areas served?</v>
          </cell>
          <cell r="G360" t="str">
            <v>N/A</v>
          </cell>
          <cell r="I360">
            <v>0</v>
          </cell>
        </row>
        <row r="361">
          <cell r="A361">
            <v>177</v>
          </cell>
          <cell r="C361">
            <v>2</v>
          </cell>
          <cell r="F361" t="str">
            <v>Do Customer Satisfaction Surveys indicate acceptable performance levels?</v>
          </cell>
          <cell r="G361" t="str">
            <v>N/A</v>
          </cell>
          <cell r="I361">
            <v>0</v>
          </cell>
        </row>
        <row r="362">
          <cell r="A362">
            <v>178</v>
          </cell>
          <cell r="C362">
            <v>2</v>
          </cell>
          <cell r="F362" t="str">
            <v>Are department goals and objectives set annually, reviewed with Administration, and documented?</v>
          </cell>
          <cell r="G362" t="str">
            <v>N/A</v>
          </cell>
          <cell r="I362">
            <v>0</v>
          </cell>
        </row>
        <row r="363">
          <cell r="A363">
            <v>179</v>
          </cell>
          <cell r="C363">
            <v>2</v>
          </cell>
          <cell r="F363" t="str">
            <v>Has the Central Transportation Manager notified their director of any changes in the contracted scope of activities which would result in an amendment to the control account and facility agreement?</v>
          </cell>
          <cell r="G363" t="str">
            <v>N/A</v>
          </cell>
          <cell r="I363">
            <v>0</v>
          </cell>
        </row>
        <row r="364">
          <cell r="A364">
            <v>180</v>
          </cell>
          <cell r="C364">
            <v>2</v>
          </cell>
          <cell r="F364" t="str">
            <v>Has the Central Transportation Manager taken an active roll in upgrading systems and improving departmental performance both operationallty and financially?</v>
          </cell>
          <cell r="G364" t="str">
            <v>N/A</v>
          </cell>
          <cell r="I364">
            <v>0</v>
          </cell>
        </row>
        <row r="365">
          <cell r="A365">
            <v>181</v>
          </cell>
          <cell r="C365">
            <v>2</v>
          </cell>
          <cell r="F365" t="str">
            <v>Has the manager run the month end summary reports, shared them with the Director to develop and implement a plan to resolve the indicated problems, with the facility department heads,so to improve services to the facility?</v>
          </cell>
          <cell r="G365" t="str">
            <v>N/A</v>
          </cell>
          <cell r="I365">
            <v>0</v>
          </cell>
        </row>
        <row r="366">
          <cell r="A366">
            <v>182</v>
          </cell>
          <cell r="C366">
            <v>2</v>
          </cell>
          <cell r="F366" t="str">
            <v>Is the manager's presence, grooming and attire, appropriate and in good taste?</v>
          </cell>
          <cell r="G366" t="str">
            <v>N/A</v>
          </cell>
          <cell r="I366">
            <v>0</v>
          </cell>
        </row>
        <row r="367">
          <cell r="A367">
            <v>183</v>
          </cell>
          <cell r="C367">
            <v>2</v>
          </cell>
          <cell r="F367" t="str">
            <v>Are all incoming telephone calls and correspondence handled in a professional, organized manner?</v>
          </cell>
          <cell r="G367" t="str">
            <v>N/A</v>
          </cell>
          <cell r="I367">
            <v>0</v>
          </cell>
        </row>
        <row r="368">
          <cell r="A368">
            <v>184</v>
          </cell>
          <cell r="C368">
            <v>2</v>
          </cell>
          <cell r="F368" t="str">
            <v>Does the manager have an active self development program in place?</v>
          </cell>
          <cell r="G368" t="str">
            <v>N/A</v>
          </cell>
          <cell r="I368">
            <v>0</v>
          </cell>
        </row>
        <row r="369">
          <cell r="A369">
            <v>185</v>
          </cell>
          <cell r="C369">
            <v>2</v>
          </cell>
          <cell r="F369" t="str">
            <v>Has the manager been instrumental in building ServiceMaster objectives within their subordinate management staff?</v>
          </cell>
          <cell r="G369" t="str">
            <v>N/A</v>
          </cell>
          <cell r="I369">
            <v>0</v>
          </cell>
        </row>
        <row r="370">
          <cell r="A370">
            <v>186</v>
          </cell>
          <cell r="C370">
            <v>2</v>
          </cell>
          <cell r="F370" t="str">
            <v>Has the transportation program established credibility, and is it viewed as a department with positive results, both financially and operationally?</v>
          </cell>
          <cell r="G370" t="str">
            <v>N/A</v>
          </cell>
          <cell r="I370">
            <v>0</v>
          </cell>
        </row>
        <row r="371">
          <cell r="A371">
            <v>187</v>
          </cell>
          <cell r="C371">
            <v>2</v>
          </cell>
          <cell r="F371" t="str">
            <v>Does the manager contribute to hospital decisions which will effect the services of the Central Transportation Department?</v>
          </cell>
          <cell r="G371" t="str">
            <v>N/A</v>
          </cell>
          <cell r="I371">
            <v>0</v>
          </cell>
        </row>
        <row r="372">
          <cell r="A372">
            <v>188</v>
          </cell>
          <cell r="C372">
            <v>2</v>
          </cell>
          <cell r="F372" t="str">
            <v>Has the manager shown hospital department heads the features of Central Transportation Dispatch, so to gain their confidence in the department's ability to provide them with timely service?</v>
          </cell>
          <cell r="G372" t="str">
            <v>N/A</v>
          </cell>
          <cell r="I372">
            <v>0</v>
          </cell>
        </row>
        <row r="374">
          <cell r="F374" t="str">
            <v xml:space="preserve">                                         Total General - Central Transportation</v>
          </cell>
          <cell r="G374">
            <v>0</v>
          </cell>
          <cell r="I374">
            <v>0</v>
          </cell>
        </row>
        <row r="375">
          <cell r="F375" t="str">
            <v xml:space="preserve">                                                             Percentage Implemented</v>
          </cell>
          <cell r="G375" t="str">
            <v>N/A</v>
          </cell>
        </row>
        <row r="378">
          <cell r="F378" t="str">
            <v>GENERAL</v>
          </cell>
        </row>
        <row r="379">
          <cell r="F379" t="str">
            <v>LAUNDRY/LINEN</v>
          </cell>
        </row>
        <row r="380">
          <cell r="A380">
            <v>189</v>
          </cell>
          <cell r="C380">
            <v>2</v>
          </cell>
          <cell r="F380" t="str">
            <v xml:space="preserve">Material Safety Data Sheets (MSDS) available in the laundry for all chemicals present. </v>
          </cell>
          <cell r="G380" t="str">
            <v>N/A</v>
          </cell>
          <cell r="I380">
            <v>0</v>
          </cell>
        </row>
        <row r="381">
          <cell r="A381">
            <v>190</v>
          </cell>
          <cell r="C381">
            <v>2</v>
          </cell>
          <cell r="F381" t="str">
            <v>Operating procedures are in writing and current for each process and for each piece of equipment, and are kept in an accessible place for laundry staff.</v>
          </cell>
          <cell r="G381" t="str">
            <v>N/A</v>
          </cell>
          <cell r="I381">
            <v>0</v>
          </cell>
        </row>
        <row r="382">
          <cell r="A382">
            <v>191</v>
          </cell>
          <cell r="C382">
            <v>2</v>
          </cell>
          <cell r="F382" t="str">
            <v>ServiceMaster washing supplies are being used.</v>
          </cell>
          <cell r="G382" t="str">
            <v>N/A</v>
          </cell>
          <cell r="I382">
            <v>0</v>
          </cell>
        </row>
        <row r="383">
          <cell r="A383">
            <v>192</v>
          </cell>
          <cell r="C383">
            <v>2</v>
          </cell>
          <cell r="F383" t="str">
            <v>Current copy of clean linen delivery schedule on file.</v>
          </cell>
          <cell r="G383" t="str">
            <v>N/A</v>
          </cell>
          <cell r="I383">
            <v>0</v>
          </cell>
        </row>
        <row r="384">
          <cell r="A384">
            <v>193</v>
          </cell>
          <cell r="C384">
            <v>2</v>
          </cell>
          <cell r="F384" t="str">
            <v>Current copy  of soiled linen collection schedule on file.</v>
          </cell>
          <cell r="G384" t="str">
            <v>N/A</v>
          </cell>
          <cell r="I384">
            <v>0</v>
          </cell>
        </row>
        <row r="385">
          <cell r="A385">
            <v>194</v>
          </cell>
          <cell r="C385">
            <v>2</v>
          </cell>
          <cell r="F385" t="str">
            <v>At least one linen inventory completed within past 12 months.</v>
          </cell>
          <cell r="G385" t="str">
            <v>N/A</v>
          </cell>
          <cell r="I385">
            <v>0</v>
          </cell>
        </row>
        <row r="386">
          <cell r="A386">
            <v>195</v>
          </cell>
          <cell r="C386">
            <v>2</v>
          </cell>
          <cell r="F386" t="str">
            <v>At least one linen useage study completed within past 6 months.</v>
          </cell>
          <cell r="G386" t="str">
            <v>N/A</v>
          </cell>
          <cell r="I386">
            <v>0</v>
          </cell>
        </row>
        <row r="387">
          <cell r="A387">
            <v>196</v>
          </cell>
          <cell r="C387">
            <v>2</v>
          </cell>
          <cell r="F387" t="str">
            <v>A record is kept of all linen discards.</v>
          </cell>
          <cell r="G387" t="str">
            <v>N/A</v>
          </cell>
          <cell r="I387">
            <v>0</v>
          </cell>
        </row>
        <row r="388">
          <cell r="A388">
            <v>197</v>
          </cell>
          <cell r="C388">
            <v>2</v>
          </cell>
          <cell r="F388" t="str">
            <v>A record is kept of all new linen placed into the system.</v>
          </cell>
          <cell r="G388" t="str">
            <v>N/A</v>
          </cell>
          <cell r="I388">
            <v>0</v>
          </cell>
        </row>
        <row r="389">
          <cell r="A389">
            <v>198</v>
          </cell>
          <cell r="C389">
            <v>2</v>
          </cell>
          <cell r="F389" t="str">
            <v>Supply Usage Audit (form 72058 or similar audit) completed each month?</v>
          </cell>
          <cell r="G389" t="str">
            <v>N/A</v>
          </cell>
          <cell r="I389">
            <v>0</v>
          </cell>
        </row>
        <row r="390">
          <cell r="A390">
            <v>199</v>
          </cell>
          <cell r="C390">
            <v>2</v>
          </cell>
          <cell r="F390" t="str">
            <v>Washing supplies costs used per 100 lb. washed at or below budget?</v>
          </cell>
          <cell r="G390" t="str">
            <v>N/A</v>
          </cell>
          <cell r="I390">
            <v>0</v>
          </cell>
        </row>
        <row r="391">
          <cell r="A391">
            <v>200</v>
          </cell>
          <cell r="C391">
            <v>2</v>
          </cell>
          <cell r="F391" t="str">
            <v>Phone log established and in use; record of calls reviewed daily?</v>
          </cell>
          <cell r="G391" t="str">
            <v>N/A</v>
          </cell>
          <cell r="I391">
            <v>0</v>
          </cell>
        </row>
        <row r="392">
          <cell r="A392">
            <v>201</v>
          </cell>
          <cell r="C392">
            <v>2</v>
          </cell>
          <cell r="F392" t="str">
            <v>Financials:  tracking and reports are accurate and up to date?</v>
          </cell>
          <cell r="G392" t="str">
            <v>N/A</v>
          </cell>
          <cell r="I392">
            <v>0</v>
          </cell>
        </row>
        <row r="393">
          <cell r="A393">
            <v>202</v>
          </cell>
          <cell r="C393">
            <v>2</v>
          </cell>
          <cell r="F393" t="str">
            <v>Position summary current within 120 days?</v>
          </cell>
          <cell r="G393" t="str">
            <v>N/A</v>
          </cell>
          <cell r="I393">
            <v>0</v>
          </cell>
        </row>
        <row r="394">
          <cell r="A394">
            <v>203</v>
          </cell>
          <cell r="C394">
            <v>2</v>
          </cell>
          <cell r="F394" t="str">
            <v>Written production standards are in place?</v>
          </cell>
          <cell r="G394" t="str">
            <v>N/A</v>
          </cell>
          <cell r="I394">
            <v>0</v>
          </cell>
        </row>
        <row r="395">
          <cell r="A395">
            <v>204</v>
          </cell>
          <cell r="C395">
            <v>2</v>
          </cell>
          <cell r="F395" t="str">
            <v>Payroll Verification completed for each pay period?</v>
          </cell>
          <cell r="G395" t="str">
            <v>N/A</v>
          </cell>
          <cell r="I395">
            <v>0</v>
          </cell>
        </row>
        <row r="396">
          <cell r="A396">
            <v>205</v>
          </cell>
          <cell r="C396">
            <v>2</v>
          </cell>
          <cell r="F396" t="str">
            <v>Average weekly hours for past 8 weeks at or below weekly standard hours?</v>
          </cell>
          <cell r="G396" t="str">
            <v>N/A</v>
          </cell>
          <cell r="I396">
            <v>0</v>
          </cell>
        </row>
        <row r="397">
          <cell r="A397">
            <v>206</v>
          </cell>
          <cell r="C397">
            <v>2</v>
          </cell>
          <cell r="F397" t="str">
            <v>Check water levels, temperature, and water hardness once per month?</v>
          </cell>
          <cell r="G397" t="str">
            <v>N/A</v>
          </cell>
          <cell r="I397">
            <v>0</v>
          </cell>
        </row>
        <row r="398">
          <cell r="A398">
            <v>207</v>
          </cell>
          <cell r="C398">
            <v>2</v>
          </cell>
          <cell r="F398" t="str">
            <v>Technical Service Washroom Report (form 72012 or a similar report) completed for each washer at least quarterly?</v>
          </cell>
          <cell r="G398" t="str">
            <v>N/A</v>
          </cell>
          <cell r="I398">
            <v>0</v>
          </cell>
        </row>
        <row r="399">
          <cell r="A399">
            <v>208</v>
          </cell>
          <cell r="C399">
            <v>2</v>
          </cell>
          <cell r="F399" t="str">
            <v>Linen test pieces processed quarterly, reports on file?</v>
          </cell>
          <cell r="G399" t="str">
            <v>N/A</v>
          </cell>
          <cell r="I399">
            <v>0</v>
          </cell>
        </row>
        <row r="400">
          <cell r="A400">
            <v>209</v>
          </cell>
          <cell r="C400">
            <v>2</v>
          </cell>
          <cell r="F400" t="str">
            <v>Linen test piece results are within acceptable ranges?</v>
          </cell>
          <cell r="G400" t="str">
            <v>N/A</v>
          </cell>
          <cell r="I400">
            <v>0</v>
          </cell>
        </row>
        <row r="401">
          <cell r="A401">
            <v>210</v>
          </cell>
          <cell r="C401">
            <v>2</v>
          </cell>
          <cell r="F401" t="str">
            <v>Finished linen is inspected by manager?</v>
          </cell>
          <cell r="G401" t="str">
            <v>N/A</v>
          </cell>
          <cell r="I401">
            <v>0</v>
          </cell>
        </row>
        <row r="402">
          <cell r="A402">
            <v>211</v>
          </cell>
          <cell r="C402">
            <v>2</v>
          </cell>
          <cell r="F402" t="str">
            <v>Completed "Survey of Linen Stations" (form 72024 or similar report), less than 13 months old?</v>
          </cell>
          <cell r="G402" t="str">
            <v>N/A</v>
          </cell>
          <cell r="I402">
            <v>0</v>
          </cell>
        </row>
        <row r="403">
          <cell r="A403">
            <v>212</v>
          </cell>
          <cell r="C403">
            <v>2</v>
          </cell>
          <cell r="F403" t="str">
            <v>Current written linen distribution and collection schedules on file?</v>
          </cell>
          <cell r="G403" t="str">
            <v>N/A</v>
          </cell>
          <cell r="I403">
            <v>0</v>
          </cell>
        </row>
        <row r="404">
          <cell r="A404">
            <v>213</v>
          </cell>
          <cell r="C404">
            <v>2</v>
          </cell>
          <cell r="F404" t="str">
            <v>Complaints at a minimum for past 3 months with no repeat complaints from the same area?</v>
          </cell>
          <cell r="G404" t="str">
            <v>N/A</v>
          </cell>
          <cell r="I404">
            <v>0</v>
          </cell>
        </row>
        <row r="405">
          <cell r="A405">
            <v>214</v>
          </cell>
          <cell r="C405">
            <v>2</v>
          </cell>
          <cell r="F405" t="str">
            <v>Current days-off roster posted.  The daily staffing is appropriate to daily work load?</v>
          </cell>
          <cell r="G405" t="str">
            <v>N/A</v>
          </cell>
          <cell r="I405">
            <v>0</v>
          </cell>
        </row>
        <row r="406">
          <cell r="A406">
            <v>215</v>
          </cell>
          <cell r="C406">
            <v>2</v>
          </cell>
          <cell r="F406" t="str">
            <v>Linen quota by item established for each user area, updated minimum of every 6 months?</v>
          </cell>
          <cell r="G406" t="str">
            <v>N/A</v>
          </cell>
          <cell r="I406">
            <v>0</v>
          </cell>
        </row>
        <row r="407">
          <cell r="A407">
            <v>216</v>
          </cell>
          <cell r="C407">
            <v>2</v>
          </cell>
          <cell r="F407" t="str">
            <v>Linen Replacement Record (form 72035 or similar report) and Linen Discard Record (form 72025 or similar form) used and up-to-date?</v>
          </cell>
          <cell r="G407" t="str">
            <v>N/A</v>
          </cell>
          <cell r="I407">
            <v>0</v>
          </cell>
        </row>
        <row r="408">
          <cell r="A408">
            <v>217</v>
          </cell>
          <cell r="C408">
            <v>2</v>
          </cell>
          <cell r="F408" t="str">
            <v>Linen specifications are in writing for all linen items, and on file?</v>
          </cell>
          <cell r="G408" t="str">
            <v>N/A</v>
          </cell>
          <cell r="I408">
            <v>0</v>
          </cell>
        </row>
        <row r="409">
          <cell r="A409">
            <v>218</v>
          </cell>
          <cell r="C409">
            <v>2</v>
          </cell>
          <cell r="F409" t="str">
            <v>All inventoried manuals are present, up-to-date, and kept in a secure, locked place?</v>
          </cell>
          <cell r="G409" t="str">
            <v>N/A</v>
          </cell>
          <cell r="I409">
            <v>0</v>
          </cell>
        </row>
        <row r="410">
          <cell r="A410">
            <v>219</v>
          </cell>
          <cell r="C410">
            <v>2</v>
          </cell>
          <cell r="F410" t="str">
            <v>All SM owned equipment inventoried and accounted for?</v>
          </cell>
          <cell r="G410" t="str">
            <v>N/A</v>
          </cell>
          <cell r="I410">
            <v>0</v>
          </cell>
        </row>
        <row r="411">
          <cell r="A411">
            <v>220</v>
          </cell>
          <cell r="C411">
            <v>2</v>
          </cell>
          <cell r="F411" t="str">
            <v>Routine housekeeping schedule and project cleaning schedule written and followed.</v>
          </cell>
          <cell r="G411" t="str">
            <v>N/A</v>
          </cell>
          <cell r="I411">
            <v>0</v>
          </cell>
        </row>
        <row r="412">
          <cell r="A412">
            <v>221</v>
          </cell>
          <cell r="C412">
            <v>2</v>
          </cell>
          <cell r="F412" t="str">
            <v>Laundry production records complete and up-to-date?</v>
          </cell>
          <cell r="G412" t="str">
            <v>N/A</v>
          </cell>
          <cell r="I412">
            <v>0</v>
          </cell>
        </row>
        <row r="413">
          <cell r="A413">
            <v>222</v>
          </cell>
          <cell r="C413">
            <v>2</v>
          </cell>
          <cell r="F413" t="str">
            <v>Written ,dated, and approved Infection Control policies for laundry and/or linen on file?</v>
          </cell>
          <cell r="G413" t="str">
            <v>N/A</v>
          </cell>
          <cell r="I413">
            <v>0</v>
          </cell>
        </row>
        <row r="414">
          <cell r="A414">
            <v>223</v>
          </cell>
          <cell r="C414">
            <v>2</v>
          </cell>
          <cell r="F414" t="str">
            <v>Current program schedule is on file and followed (Form 72013 or similar)?</v>
          </cell>
          <cell r="G414" t="str">
            <v>N/A</v>
          </cell>
          <cell r="I414">
            <v>0</v>
          </cell>
        </row>
        <row r="415">
          <cell r="A415">
            <v>224</v>
          </cell>
          <cell r="C415">
            <v>2</v>
          </cell>
          <cell r="F415" t="str">
            <v>Linen awareness committee functional, meets regularly?</v>
          </cell>
          <cell r="G415" t="str">
            <v>N/A</v>
          </cell>
          <cell r="I415">
            <v>0</v>
          </cell>
        </row>
        <row r="416">
          <cell r="A416">
            <v>225</v>
          </cell>
          <cell r="C416">
            <v>2</v>
          </cell>
          <cell r="F416" t="str">
            <v>Documented evidence that linen conservation activities to reduce or control linen costs have taken place during the past year?</v>
          </cell>
          <cell r="G416" t="str">
            <v>N/A</v>
          </cell>
          <cell r="I416">
            <v>0</v>
          </cell>
        </row>
        <row r="417">
          <cell r="A417">
            <v>226</v>
          </cell>
          <cell r="C417">
            <v>2</v>
          </cell>
          <cell r="F417" t="str">
            <v>Copies of current written Fire Plans and Disaster Plans on file?</v>
          </cell>
          <cell r="G417" t="str">
            <v>N/A</v>
          </cell>
          <cell r="I417">
            <v>0</v>
          </cell>
        </row>
        <row r="418">
          <cell r="A418">
            <v>227</v>
          </cell>
          <cell r="C418">
            <v>2</v>
          </cell>
          <cell r="F418" t="str">
            <v>Director of Nursing is positive and satisfied with laundry and/or linen program?</v>
          </cell>
          <cell r="G418" t="str">
            <v>N/A</v>
          </cell>
          <cell r="I418">
            <v>0</v>
          </cell>
        </row>
        <row r="419">
          <cell r="A419">
            <v>228</v>
          </cell>
          <cell r="C419">
            <v>2</v>
          </cell>
          <cell r="F419" t="str">
            <v>Coordinating manager takes active part in infection control and safety programs?</v>
          </cell>
          <cell r="G419" t="str">
            <v>N/A</v>
          </cell>
          <cell r="I419">
            <v>0</v>
          </cell>
        </row>
        <row r="420">
          <cell r="A420">
            <v>229</v>
          </cell>
          <cell r="C420">
            <v>2</v>
          </cell>
          <cell r="F420" t="str">
            <v>Administrator is positive about the quality and service of the laundry and/or linen program?</v>
          </cell>
          <cell r="G420" t="str">
            <v>N/A</v>
          </cell>
          <cell r="I420">
            <v>0</v>
          </cell>
        </row>
        <row r="421">
          <cell r="A421">
            <v>230</v>
          </cell>
          <cell r="C421">
            <v>2</v>
          </cell>
          <cell r="F421" t="str">
            <v>Administrative representative participates in laundry inspection at least once per month?</v>
          </cell>
          <cell r="G421" t="str">
            <v>N/A</v>
          </cell>
          <cell r="I421">
            <v>0</v>
          </cell>
        </row>
        <row r="422">
          <cell r="A422">
            <v>231</v>
          </cell>
          <cell r="C422">
            <v>2</v>
          </cell>
          <cell r="F422" t="str">
            <v>Manager visits customer linen use areas once per week?</v>
          </cell>
          <cell r="G422" t="str">
            <v>N/A</v>
          </cell>
          <cell r="I422">
            <v>0</v>
          </cell>
        </row>
        <row r="423">
          <cell r="A423">
            <v>232</v>
          </cell>
          <cell r="C423">
            <v>2</v>
          </cell>
          <cell r="F423" t="str">
            <v>A 5 year equipment replacement plan has been developed and shared with administration?</v>
          </cell>
          <cell r="G423" t="str">
            <v>N/A</v>
          </cell>
          <cell r="I423">
            <v>0</v>
          </cell>
        </row>
        <row r="424">
          <cell r="F424" t="str">
            <v>GENERAL</v>
          </cell>
        </row>
        <row r="425">
          <cell r="F425" t="str">
            <v>LAUNDRY/LINEN (CONTINUED)</v>
          </cell>
        </row>
        <row r="426">
          <cell r="A426">
            <v>233</v>
          </cell>
          <cell r="C426">
            <v>2</v>
          </cell>
          <cell r="F426" t="str">
            <v>"Voice of the Customer" survey is completed annually?</v>
          </cell>
          <cell r="G426" t="str">
            <v>N/A</v>
          </cell>
          <cell r="I426">
            <v>0</v>
          </cell>
        </row>
        <row r="427">
          <cell r="A427">
            <v>234</v>
          </cell>
          <cell r="C427">
            <v>2</v>
          </cell>
          <cell r="F427" t="str">
            <v>One or more items concerning laundry and/or linen recorded in each Joint Review Meeting?</v>
          </cell>
          <cell r="G427" t="str">
            <v>N/A</v>
          </cell>
          <cell r="I427">
            <v>0</v>
          </cell>
        </row>
        <row r="428">
          <cell r="A428">
            <v>235</v>
          </cell>
          <cell r="C428">
            <v>2</v>
          </cell>
          <cell r="F428" t="str">
            <v>ServiceMaster Support (telephone, written, and personal visits) has been documented in Joint Review Minutes?</v>
          </cell>
          <cell r="G428" t="str">
            <v>N/A</v>
          </cell>
          <cell r="I428">
            <v>0</v>
          </cell>
        </row>
        <row r="429">
          <cell r="A429">
            <v>236</v>
          </cell>
          <cell r="C429">
            <v>2</v>
          </cell>
          <cell r="F429" t="str">
            <v>Manager knows and understands:</v>
          </cell>
          <cell r="G429" t="str">
            <v>N/A</v>
          </cell>
          <cell r="I429">
            <v>0</v>
          </cell>
        </row>
        <row r="430">
          <cell r="A430">
            <v>236</v>
          </cell>
          <cell r="B430" t="str">
            <v>a.</v>
          </cell>
          <cell r="C430">
            <v>2</v>
          </cell>
          <cell r="F430" t="str">
            <v>Linen sorting procedure (Soiled and/or clean)?</v>
          </cell>
          <cell r="G430" t="str">
            <v>N/A</v>
          </cell>
          <cell r="I430">
            <v>0</v>
          </cell>
        </row>
        <row r="431">
          <cell r="A431">
            <v>236</v>
          </cell>
          <cell r="B431" t="str">
            <v>b.</v>
          </cell>
          <cell r="C431">
            <v>2</v>
          </cell>
          <cell r="F431" t="str">
            <v>How to operate washers?</v>
          </cell>
          <cell r="G431" t="str">
            <v>N/A</v>
          </cell>
          <cell r="I431">
            <v>0</v>
          </cell>
        </row>
        <row r="432">
          <cell r="A432">
            <v>236</v>
          </cell>
          <cell r="B432" t="str">
            <v>c.</v>
          </cell>
          <cell r="C432">
            <v>2</v>
          </cell>
          <cell r="F432" t="str">
            <v>How to operate dryers?</v>
          </cell>
          <cell r="G432" t="str">
            <v>N/A</v>
          </cell>
          <cell r="I432">
            <v>0</v>
          </cell>
        </row>
        <row r="433">
          <cell r="A433">
            <v>236</v>
          </cell>
          <cell r="B433" t="str">
            <v>d.</v>
          </cell>
          <cell r="C433">
            <v>2</v>
          </cell>
          <cell r="F433" t="str">
            <v>How to operate flat work ironer?</v>
          </cell>
          <cell r="G433" t="str">
            <v>N/A</v>
          </cell>
          <cell r="I433">
            <v>0</v>
          </cell>
        </row>
        <row r="434">
          <cell r="A434">
            <v>236</v>
          </cell>
          <cell r="B434" t="str">
            <v>e.</v>
          </cell>
          <cell r="C434">
            <v>2</v>
          </cell>
          <cell r="F434" t="str">
            <v>Folding and finishing procedures?</v>
          </cell>
          <cell r="G434" t="str">
            <v>N/A</v>
          </cell>
          <cell r="I434">
            <v>0</v>
          </cell>
        </row>
        <row r="435">
          <cell r="A435">
            <v>236</v>
          </cell>
          <cell r="B435" t="str">
            <v>f.</v>
          </cell>
          <cell r="C435">
            <v>2</v>
          </cell>
          <cell r="F435" t="str">
            <v>Assembly and distribution of linen?</v>
          </cell>
          <cell r="G435" t="str">
            <v>N/A</v>
          </cell>
          <cell r="I435">
            <v>0</v>
          </cell>
        </row>
        <row r="436">
          <cell r="A436">
            <v>236</v>
          </cell>
          <cell r="B436" t="str">
            <v>g.</v>
          </cell>
          <cell r="C436">
            <v>2</v>
          </cell>
          <cell r="F436" t="str">
            <v>Safety features and devices and their operation on all equipment?</v>
          </cell>
          <cell r="G436" t="str">
            <v>N/A</v>
          </cell>
          <cell r="I436">
            <v>0</v>
          </cell>
        </row>
        <row r="437">
          <cell r="A437">
            <v>236</v>
          </cell>
          <cell r="B437" t="str">
            <v>h.</v>
          </cell>
          <cell r="C437">
            <v>2</v>
          </cell>
          <cell r="F437" t="str">
            <v>How to perform titrations on wash water?</v>
          </cell>
          <cell r="G437" t="str">
            <v>N/A</v>
          </cell>
          <cell r="I437">
            <v>0</v>
          </cell>
        </row>
        <row r="438">
          <cell r="A438">
            <v>236</v>
          </cell>
          <cell r="B438" t="str">
            <v>I.</v>
          </cell>
          <cell r="C438">
            <v>2</v>
          </cell>
          <cell r="F438" t="str">
            <v>Total cost per pound of linen processed?</v>
          </cell>
          <cell r="G438" t="str">
            <v>N/A</v>
          </cell>
          <cell r="I438">
            <v>0</v>
          </cell>
        </row>
        <row r="439">
          <cell r="A439">
            <v>236</v>
          </cell>
          <cell r="B439" t="str">
            <v>j.</v>
          </cell>
          <cell r="C439">
            <v>2</v>
          </cell>
          <cell r="F439" t="str">
            <v>Surgery pack assemby and autoclave procedures?</v>
          </cell>
          <cell r="G439" t="str">
            <v>N/A</v>
          </cell>
          <cell r="I439">
            <v>0</v>
          </cell>
        </row>
        <row r="440">
          <cell r="A440">
            <v>237</v>
          </cell>
          <cell r="C440">
            <v>2</v>
          </cell>
          <cell r="F440" t="str">
            <v>Appearance of manager: professional, grooming, dress?</v>
          </cell>
          <cell r="G440" t="str">
            <v>N/A</v>
          </cell>
          <cell r="I440">
            <v>0</v>
          </cell>
        </row>
        <row r="441">
          <cell r="A441">
            <v>238</v>
          </cell>
          <cell r="C441">
            <v>2</v>
          </cell>
          <cell r="F441" t="str">
            <v>There is a feeling of warmth and high morale on the laundry staff?</v>
          </cell>
          <cell r="G441" t="str">
            <v>N/A</v>
          </cell>
          <cell r="I441">
            <v>0</v>
          </cell>
        </row>
        <row r="442">
          <cell r="A442">
            <v>239</v>
          </cell>
          <cell r="C442">
            <v>2</v>
          </cell>
          <cell r="F442" t="str">
            <v>Manager is proud of the laundry and job he/she is doing?</v>
          </cell>
          <cell r="G442" t="str">
            <v>N/A</v>
          </cell>
          <cell r="I442">
            <v>0</v>
          </cell>
        </row>
        <row r="444">
          <cell r="F444" t="str">
            <v xml:space="preserve">                                                      Total General - Laundry/Linen</v>
          </cell>
          <cell r="G444">
            <v>0</v>
          </cell>
          <cell r="I444">
            <v>0</v>
          </cell>
        </row>
        <row r="445">
          <cell r="F445" t="str">
            <v xml:space="preserve">                                                             Percentage Implemented</v>
          </cell>
          <cell r="G445" t="str">
            <v>N/A</v>
          </cell>
        </row>
        <row r="447">
          <cell r="F447" t="str">
            <v>GENERAL</v>
          </cell>
        </row>
        <row r="448">
          <cell r="F448" t="str">
            <v>MATERIALS MANAGEMENT</v>
          </cell>
        </row>
        <row r="449">
          <cell r="A449">
            <v>240</v>
          </cell>
          <cell r="C449">
            <v>2</v>
          </cell>
          <cell r="F449" t="str">
            <v>Is a monthly savings summary provided to the facility and documented?</v>
          </cell>
          <cell r="G449" t="str">
            <v>N/A</v>
          </cell>
          <cell r="I449">
            <v>0</v>
          </cell>
        </row>
        <row r="450">
          <cell r="A450">
            <v>241</v>
          </cell>
          <cell r="C450">
            <v>2</v>
          </cell>
          <cell r="F450" t="str">
            <v>Is the storeroom (shelves, aisles, bin labels) clean and are work areas neat and organized?</v>
          </cell>
          <cell r="G450" t="str">
            <v>N/A</v>
          </cell>
          <cell r="I450">
            <v>0</v>
          </cell>
        </row>
        <row r="451">
          <cell r="A451">
            <v>242</v>
          </cell>
          <cell r="C451">
            <v>2</v>
          </cell>
          <cell r="F451" t="str">
            <v>Does the Materials Management team contribute to the facility's capital equipment/improvement procurement plans?</v>
          </cell>
          <cell r="G451" t="str">
            <v>N/A</v>
          </cell>
          <cell r="I451">
            <v>0</v>
          </cell>
        </row>
        <row r="452">
          <cell r="A452">
            <v>243</v>
          </cell>
          <cell r="C452">
            <v>2</v>
          </cell>
          <cell r="F452" t="str">
            <v>Does the facility have a product selection value analysis process that demonstrated positive results through documented cost savings?</v>
          </cell>
          <cell r="G452" t="str">
            <v>N/A</v>
          </cell>
          <cell r="I452">
            <v>0</v>
          </cell>
        </row>
        <row r="453">
          <cell r="A453">
            <v>244</v>
          </cell>
          <cell r="C453">
            <v>2</v>
          </cell>
          <cell r="F453" t="str">
            <v>Are there written policies and procedures for all activities (receiving, vendor, backorder notification, etc.)?</v>
          </cell>
          <cell r="G453" t="str">
            <v>N/A</v>
          </cell>
          <cell r="I453">
            <v>0</v>
          </cell>
        </row>
        <row r="454">
          <cell r="A454">
            <v>245</v>
          </cell>
          <cell r="C454">
            <v>2</v>
          </cell>
          <cell r="F454" t="str">
            <v>Is the Materials Management Customer Satisfaction Survey score &gt;85% in each materials management category?</v>
          </cell>
          <cell r="G454" t="str">
            <v>N/A</v>
          </cell>
          <cell r="I454">
            <v>0</v>
          </cell>
        </row>
        <row r="456">
          <cell r="F456" t="str">
            <v xml:space="preserve">                                                             Total General - Materials Management</v>
          </cell>
          <cell r="G456">
            <v>0</v>
          </cell>
          <cell r="I456">
            <v>0</v>
          </cell>
        </row>
        <row r="457">
          <cell r="F457" t="str">
            <v xml:space="preserve">                                                             Percentage Implemented</v>
          </cell>
          <cell r="G457" t="str">
            <v>N/A</v>
          </cell>
        </row>
        <row r="459">
          <cell r="F459" t="str">
            <v>GENERAL</v>
          </cell>
        </row>
        <row r="460">
          <cell r="F460" t="str">
            <v>CLINICAL EQUIPMENT</v>
          </cell>
        </row>
        <row r="462">
          <cell r="A462">
            <v>246</v>
          </cell>
          <cell r="C462">
            <v>2</v>
          </cell>
          <cell r="F462" t="str">
            <v>Does Management utilize a computerized maintenance management system, such as ISIS or equivalent?</v>
          </cell>
          <cell r="G462" t="str">
            <v>N/A</v>
          </cell>
          <cell r="I462">
            <v>0</v>
          </cell>
        </row>
        <row r="463">
          <cell r="A463">
            <v>247</v>
          </cell>
          <cell r="C463">
            <v>2</v>
          </cell>
          <cell r="F463" t="str">
            <v>Is there ready access to service manuals for equipment which is routinely repaired and maintained by the CEM Department?</v>
          </cell>
          <cell r="G463" t="str">
            <v>N/A</v>
          </cell>
          <cell r="I463">
            <v>0</v>
          </cell>
        </row>
        <row r="464">
          <cell r="A464">
            <v>248</v>
          </cell>
          <cell r="C464">
            <v>2</v>
          </cell>
          <cell r="F464" t="str">
            <v>Does the manager routinely visit all departments served by the CEM Department?</v>
          </cell>
          <cell r="G464" t="str">
            <v>N/A</v>
          </cell>
          <cell r="I464">
            <v>0</v>
          </cell>
        </row>
        <row r="466">
          <cell r="F466" t="str">
            <v>GENERAL</v>
          </cell>
        </row>
        <row r="467">
          <cell r="F467" t="str">
            <v>CLINICAL EQUIPMENT (CONTINUED)</v>
          </cell>
        </row>
        <row r="468">
          <cell r="A468">
            <v>249</v>
          </cell>
          <cell r="C468">
            <v>2</v>
          </cell>
          <cell r="F468" t="str">
            <v>Does the department utilize the following ServiceMaster software programs:  Oasis/Web Fast, Network to Knowledge, Lotus Notes E-Mail?  Verify that an antivirus software program is in use on the system and has been updated in the last month?</v>
          </cell>
          <cell r="G468" t="str">
            <v>N/A</v>
          </cell>
          <cell r="I468">
            <v>0</v>
          </cell>
        </row>
        <row r="469">
          <cell r="A469">
            <v>250</v>
          </cell>
          <cell r="C469">
            <v>2</v>
          </cell>
          <cell r="F469" t="str">
            <v>Routinely visits all departments served by the CEM Department?</v>
          </cell>
          <cell r="G469" t="str">
            <v>N/A</v>
          </cell>
          <cell r="I469">
            <v>0</v>
          </cell>
        </row>
        <row r="470">
          <cell r="F470" t="str">
            <v>Program Documentation</v>
          </cell>
        </row>
        <row r="471">
          <cell r="A471">
            <v>251</v>
          </cell>
          <cell r="C471">
            <v>2</v>
          </cell>
          <cell r="F471" t="str">
            <v xml:space="preserve">Does the ServiceMaster CEM "Operations Manual" contain the latest updates?  Have the CEM manager and all department employees initialed a cover sheet indicating that they have reviewed, annually, the contents of the manual, including new additions? (SOPI </v>
          </cell>
          <cell r="G471" t="str">
            <v>N/A</v>
          </cell>
          <cell r="I471">
            <v>0</v>
          </cell>
        </row>
        <row r="472">
          <cell r="A472">
            <v>252</v>
          </cell>
          <cell r="C472">
            <v>2</v>
          </cell>
          <cell r="F472" t="str">
            <v>Does an historical record exists for each item on the most current equipment list? (SOPI 300.1)</v>
          </cell>
          <cell r="G472" t="str">
            <v>N/A</v>
          </cell>
          <cell r="I472">
            <v>0</v>
          </cell>
        </row>
        <row r="473">
          <cell r="A473">
            <v>253</v>
          </cell>
          <cell r="C473">
            <v>2</v>
          </cell>
          <cell r="F473" t="str">
            <v>Are all service manuals filed in a professional manner?  Verify accuracy of entered technical literature data in the computer.</v>
          </cell>
          <cell r="G473" t="str">
            <v>N/A</v>
          </cell>
          <cell r="I473">
            <v>0</v>
          </cell>
        </row>
        <row r="474">
          <cell r="A474">
            <v>254</v>
          </cell>
          <cell r="C474">
            <v>2</v>
          </cell>
          <cell r="F474" t="str">
            <v>Are policies and procedures in place that meet the needs and requirements of the facility, AOA (American Osteopathic Association), state, ServiceMaster, and JCAHO?  Are they reviewed by the CEM Manager and all CEM employees annually?  Verify by a dated an</v>
          </cell>
          <cell r="G474" t="str">
            <v>N/A</v>
          </cell>
          <cell r="I474">
            <v>0</v>
          </cell>
        </row>
        <row r="475">
          <cell r="A475">
            <v>255</v>
          </cell>
          <cell r="C475">
            <v>2</v>
          </cell>
          <cell r="F475" t="str">
            <v>Is there an "On-Call" policy, and can proof of implementation be demonstrated?  (SOPI 300.10)</v>
          </cell>
          <cell r="G475" t="str">
            <v>N/A</v>
          </cell>
          <cell r="I475">
            <v>0</v>
          </cell>
        </row>
        <row r="476">
          <cell r="A476">
            <v>256</v>
          </cell>
          <cell r="C476">
            <v>2</v>
          </cell>
          <cell r="F476" t="str">
            <v xml:space="preserve">Are all operating policies, including the equipment management plan, approved by the facility administrator or their designee on an annual basis?  Verify by a dated sign-off sheet. (SOPI 100.7, SOPI 400.17) </v>
          </cell>
          <cell r="G476" t="str">
            <v>N/A</v>
          </cell>
          <cell r="I476">
            <v>0</v>
          </cell>
        </row>
        <row r="477">
          <cell r="A477">
            <v>257</v>
          </cell>
          <cell r="C477">
            <v>2</v>
          </cell>
          <cell r="F477" t="str">
            <v>Are all CEM Absolutes met?  (SOPI 100.12)</v>
          </cell>
          <cell r="G477" t="str">
            <v>N/A</v>
          </cell>
          <cell r="I477">
            <v>0</v>
          </cell>
        </row>
        <row r="478">
          <cell r="A478">
            <v>258</v>
          </cell>
          <cell r="C478">
            <v>2</v>
          </cell>
          <cell r="F478" t="str">
            <v>Is all test equipment, both ServiceMaster and the facility owned, calibrated annually?  Are certificates on file?  (SOPI 400.11)</v>
          </cell>
          <cell r="G478" t="str">
            <v>N/A</v>
          </cell>
          <cell r="I478">
            <v>0</v>
          </cell>
        </row>
        <row r="479">
          <cell r="A479">
            <v>259</v>
          </cell>
          <cell r="C479">
            <v>2</v>
          </cell>
          <cell r="F479" t="str">
            <v>Is a copy of the original equipment inventory on file?  If present CEM manager is not the original manager, then verify that the inventory is current as of the last amendment or contract renewal.   (SOPI 400.7)</v>
          </cell>
          <cell r="G479" t="str">
            <v>N/A</v>
          </cell>
          <cell r="I479">
            <v>0</v>
          </cell>
        </row>
        <row r="480">
          <cell r="F480" t="str">
            <v>Computer Programs</v>
          </cell>
        </row>
        <row r="481">
          <cell r="A481">
            <v>260</v>
          </cell>
          <cell r="C481">
            <v>2</v>
          </cell>
          <cell r="F481" t="str">
            <v xml:space="preserve"> Are all modules of the ISIS program used?  (SOPI 400.8)</v>
          </cell>
          <cell r="G481" t="str">
            <v>N/A</v>
          </cell>
          <cell r="I481">
            <v>0</v>
          </cell>
        </row>
        <row r="482">
          <cell r="A482">
            <v>261</v>
          </cell>
          <cell r="C482">
            <v>2</v>
          </cell>
          <cell r="F482" t="str">
            <v>Verify that ISIS data transfers with ServiceMaster are performed at least weekly. (SOPI 400.8)</v>
          </cell>
          <cell r="G482" t="str">
            <v>N/A</v>
          </cell>
          <cell r="I482">
            <v>0</v>
          </cell>
        </row>
        <row r="483">
          <cell r="F483" t="str">
            <v>GENERAL</v>
          </cell>
        </row>
        <row r="484">
          <cell r="F484" t="str">
            <v>CLINICAL EQUIPMENT (CONTINUED)</v>
          </cell>
        </row>
        <row r="485">
          <cell r="A485">
            <v>262</v>
          </cell>
          <cell r="C485">
            <v>2</v>
          </cell>
          <cell r="F485" t="str">
            <v>Verify that a system/class/object has been assigned to each piece of equipment in the ISIS system.  If "not listed" object codes are present, check documentation to verify that specific codes have been requested through the 'Network to Knowledge'. (SOPI 4</v>
          </cell>
          <cell r="G485" t="str">
            <v>N/A</v>
          </cell>
          <cell r="I485">
            <v>0</v>
          </cell>
        </row>
        <row r="486">
          <cell r="A486">
            <v>263</v>
          </cell>
          <cell r="C486">
            <v>2</v>
          </cell>
          <cell r="F486" t="str">
            <v>Are installation dates and purchase prices being entered for all equipment added to the inventory since startup?  (SOPI 400.7)</v>
          </cell>
          <cell r="G486" t="str">
            <v>N/A</v>
          </cell>
          <cell r="I486">
            <v>0</v>
          </cell>
        </row>
        <row r="487">
          <cell r="A487">
            <v>264</v>
          </cell>
          <cell r="C487">
            <v>2</v>
          </cell>
          <cell r="F487" t="str">
            <v>Review the "Facility Definition screen on ISIS, and verify that all information is current. (SOPI 400.8)</v>
          </cell>
          <cell r="G487" t="str">
            <v>N/A</v>
          </cell>
          <cell r="I487">
            <v>0</v>
          </cell>
        </row>
        <row r="488">
          <cell r="F488" t="str">
            <v>Management Control</v>
          </cell>
        </row>
        <row r="489">
          <cell r="A489">
            <v>265</v>
          </cell>
          <cell r="C489">
            <v>2</v>
          </cell>
          <cell r="F489" t="str">
            <v>Does the CEM manager understand the ServiceMaster/Facility Agreement, including all exhibits and amendments. (SOPI 100.6)</v>
          </cell>
          <cell r="G489" t="str">
            <v>N/A</v>
          </cell>
          <cell r="I489">
            <v>0</v>
          </cell>
        </row>
        <row r="490">
          <cell r="A490">
            <v>266</v>
          </cell>
          <cell r="C490">
            <v>2</v>
          </cell>
          <cell r="F490" t="str">
            <v>Verify that the CEM manager understands how to add and delete equipment from the inventory.  Compare the last amendment with the agreement.  Check the current inventory, how does it compare to the inventory from one year ago and/or the last amendment?  (S</v>
          </cell>
          <cell r="G490" t="str">
            <v>N/A</v>
          </cell>
          <cell r="I490">
            <v>0</v>
          </cell>
        </row>
        <row r="491">
          <cell r="A491">
            <v>267</v>
          </cell>
          <cell r="C491">
            <v>2</v>
          </cell>
          <cell r="F491" t="str">
            <v>Are monthly CEM department meetings held and documented?  (SOPI 200.5)</v>
          </cell>
          <cell r="G491" t="str">
            <v>N/A</v>
          </cell>
          <cell r="I491">
            <v>0</v>
          </cell>
        </row>
        <row r="492">
          <cell r="A492">
            <v>268</v>
          </cell>
          <cell r="C492">
            <v>2</v>
          </cell>
          <cell r="F492" t="str">
            <v>Are appropriate tools and test equipment available?  Does the CEM department have sufficient space available to perform the work assigned to it?  Are handwashing facilities provided along with adequate ventilation and a proper area for disinfecting and cl</v>
          </cell>
          <cell r="G492" t="str">
            <v>N/A</v>
          </cell>
          <cell r="I492">
            <v>0</v>
          </cell>
        </row>
        <row r="493">
          <cell r="F493" t="str">
            <v>Professional Image</v>
          </cell>
        </row>
        <row r="494">
          <cell r="A494">
            <v>269</v>
          </cell>
          <cell r="C494">
            <v>2</v>
          </cell>
          <cell r="F494" t="str">
            <v>Do all CEM employees present a professional image?  Are they well groomed, wear name tags (according to facility policy) and communicate awith the customer in a professional manner?  (SOPI 100.8)</v>
          </cell>
          <cell r="G494" t="str">
            <v>N/A</v>
          </cell>
          <cell r="I494">
            <v>0</v>
          </cell>
        </row>
        <row r="495">
          <cell r="A495">
            <v>270</v>
          </cell>
          <cell r="C495">
            <v>2</v>
          </cell>
          <cell r="F495" t="str">
            <v>Does the CEM department office/shop area display a professional image?  Are work bench areas organized, with tools and test equipment stored properly?  (SOPI 100.8)</v>
          </cell>
          <cell r="G495" t="str">
            <v>N/A</v>
          </cell>
          <cell r="I495">
            <v>0</v>
          </cell>
        </row>
        <row r="496">
          <cell r="A496">
            <v>271</v>
          </cell>
          <cell r="C496">
            <v>2</v>
          </cell>
          <cell r="F496" t="str">
            <v>Do CEM employees present a positive attitude toward ServiceMaster, their facility and the CEM program?  Do they continually seek opportunities to improve the CEM program and the department's image?  (SOPI 100.8)</v>
          </cell>
          <cell r="G496" t="str">
            <v>N/A</v>
          </cell>
          <cell r="I496">
            <v>0</v>
          </cell>
        </row>
        <row r="497">
          <cell r="A497">
            <v>272</v>
          </cell>
          <cell r="C497">
            <v>2</v>
          </cell>
          <cell r="F497" t="str">
            <v>Do CEM employees maintain active participation in local or national organizations such as AAMI, ASHE, Local Biomedical Societies, etc. (SOPI 100.8, SOPI 200.6)</v>
          </cell>
          <cell r="G497" t="str">
            <v>N/A</v>
          </cell>
          <cell r="I497">
            <v>0</v>
          </cell>
        </row>
        <row r="498">
          <cell r="A498">
            <v>273</v>
          </cell>
          <cell r="C498">
            <v>2</v>
          </cell>
          <cell r="F498" t="str">
            <v>Do CEM employees know and follow the rules and regulations established regarding safety, excessive noise, and entering patient rooms, surgery, and special care units?  (SOPI 100.13)</v>
          </cell>
          <cell r="G498" t="str">
            <v>N/A</v>
          </cell>
          <cell r="I498">
            <v>0</v>
          </cell>
        </row>
        <row r="499">
          <cell r="F499" t="str">
            <v>Financial</v>
          </cell>
        </row>
        <row r="500">
          <cell r="A500">
            <v>274</v>
          </cell>
          <cell r="C500">
            <v>2</v>
          </cell>
          <cell r="F500" t="str">
            <v>Are monthly "WebFast" reports reviewed for accuracy?  Does the CEM manager review budget/financial discrepancies with the DO?  (SOPI 500.14)</v>
          </cell>
          <cell r="G500" t="str">
            <v>N/A</v>
          </cell>
          <cell r="I500">
            <v>0</v>
          </cell>
        </row>
        <row r="501">
          <cell r="A501">
            <v>275</v>
          </cell>
          <cell r="C501">
            <v>2</v>
          </cell>
          <cell r="F501" t="str">
            <v>Does a purchase order processing policy exist?  Does it include purchase order number, date of order, vendor name, person placing order and accepting order, expected delivery date, follow-up on open purchase orders, date of completion, date invoice is rec</v>
          </cell>
          <cell r="G501" t="str">
            <v>N/A</v>
          </cell>
          <cell r="I501">
            <v>0</v>
          </cell>
        </row>
        <row r="502">
          <cell r="A502">
            <v>276</v>
          </cell>
          <cell r="C502">
            <v>2</v>
          </cell>
          <cell r="F502" t="str">
            <v>Does the CEM manager understand his responsibilities for state sales tax?  (SOPI 500.1, SOPI 500.2, SOPI 500.10, SOPI 500.11)</v>
          </cell>
          <cell r="G502" t="str">
            <v>N/A</v>
          </cell>
          <cell r="I502">
            <v>0</v>
          </cell>
        </row>
        <row r="503">
          <cell r="A503">
            <v>277</v>
          </cell>
          <cell r="C503">
            <v>2</v>
          </cell>
          <cell r="F503" t="str">
            <v>Are follow-ups being accomplished for open purchase orders and invoices not received and for non-payment of ServiceMaster invoices?  (SOPI 500.5, SOPI 500.12)</v>
          </cell>
          <cell r="G503" t="str">
            <v>N/A</v>
          </cell>
          <cell r="I503">
            <v>0</v>
          </cell>
        </row>
        <row r="504">
          <cell r="A504">
            <v>278</v>
          </cell>
          <cell r="C504">
            <v>2</v>
          </cell>
          <cell r="F504" t="str">
            <v>Are ServiceMaster invoices properly coded, submitted on time and mailed to the proper office for payment, and processed through the ISIS program?  (SOPI 500.12)</v>
          </cell>
          <cell r="G504" t="str">
            <v>N/A</v>
          </cell>
          <cell r="I504">
            <v>0</v>
          </cell>
        </row>
        <row r="505">
          <cell r="A505">
            <v>279</v>
          </cell>
          <cell r="C505">
            <v>2</v>
          </cell>
          <cell r="F505" t="str">
            <v>Are vendor contracts being tracked for renewal and cost effectiveness through the use of the Contract Module of ISIS?  (SOPI 500.12)</v>
          </cell>
          <cell r="G505" t="str">
            <v>N/A</v>
          </cell>
          <cell r="I505">
            <v>0</v>
          </cell>
        </row>
        <row r="506">
          <cell r="F506" t="str">
            <v>GENERAL</v>
          </cell>
        </row>
        <row r="507">
          <cell r="F507" t="str">
            <v>CLINICAL EQUIPMENT (CONTINUED)</v>
          </cell>
        </row>
        <row r="508">
          <cell r="F508" t="str">
            <v>Financial (Continued)</v>
          </cell>
        </row>
        <row r="509">
          <cell r="A509">
            <v>280</v>
          </cell>
          <cell r="C509">
            <v>2</v>
          </cell>
          <cell r="F509" t="str">
            <v xml:space="preserve">Does the CEM manager make use of the Technical Resoource Center (TRC), ServiceMaster discounts (1-800-NEW-TUBE) etc?  (SOPI 400.8, SOPI 500.5, SOPI 500.7) </v>
          </cell>
          <cell r="G509" t="str">
            <v>N/A</v>
          </cell>
          <cell r="I509">
            <v>0</v>
          </cell>
        </row>
        <row r="510">
          <cell r="A510">
            <v>281</v>
          </cell>
          <cell r="C510">
            <v>2</v>
          </cell>
          <cell r="F510" t="str">
            <v>Did the CEM manager prepare and submit the ServiceMaster annual budget in a timely manner?  SOPI 400.8)</v>
          </cell>
          <cell r="G510" t="str">
            <v>N/A</v>
          </cell>
          <cell r="I510">
            <v>0</v>
          </cell>
        </row>
        <row r="511">
          <cell r="A511">
            <v>282</v>
          </cell>
          <cell r="C511">
            <v>2</v>
          </cell>
          <cell r="F511" t="str">
            <v>Is there an inventory control procedure in place?  (SOPI 500.4)</v>
          </cell>
          <cell r="G511" t="str">
            <v>N/A</v>
          </cell>
          <cell r="I511">
            <v>0</v>
          </cell>
        </row>
        <row r="512">
          <cell r="A512">
            <v>283</v>
          </cell>
          <cell r="C512">
            <v>2</v>
          </cell>
          <cell r="F512" t="str">
            <v>Do all contracts go through the contract review process, which includes obtaining a Self Insurance Pool quotation? (SOPI 500.15)</v>
          </cell>
          <cell r="G512" t="str">
            <v>N/A</v>
          </cell>
          <cell r="I512">
            <v>0</v>
          </cell>
        </row>
        <row r="513">
          <cell r="C513">
            <v>2</v>
          </cell>
          <cell r="F513" t="str">
            <v>Marketing/Administrative</v>
          </cell>
        </row>
        <row r="514">
          <cell r="A514">
            <v>284</v>
          </cell>
          <cell r="C514">
            <v>2</v>
          </cell>
          <cell r="F514" t="str">
            <v>Does documentation exist indicating the results of a user evaluation survey within the past twelve months?  Have positive steps been taken to correct discrepancies and/or perceived shortcomings? (SOPI 300.4)</v>
          </cell>
          <cell r="G514" t="str">
            <v>N/A</v>
          </cell>
          <cell r="I514">
            <v>0</v>
          </cell>
        </row>
        <row r="515">
          <cell r="A515">
            <v>285</v>
          </cell>
          <cell r="C515">
            <v>2</v>
          </cell>
          <cell r="F515" t="str">
            <v>Are the results of the user evaluation survey presented to administration?  Verify documentation. (SOPI 300.4)</v>
          </cell>
          <cell r="G515" t="str">
            <v>N/A</v>
          </cell>
          <cell r="I515">
            <v>0</v>
          </cell>
        </row>
        <row r="516">
          <cell r="A516">
            <v>286</v>
          </cell>
          <cell r="C516">
            <v>2</v>
          </cell>
          <cell r="F516" t="str">
            <v>Are ServiceMaster cost savings to the facility documented?  Are they part of the APR and Monthly Summary (MJR)? (SOPI 100.5, SOPI 100.11)</v>
          </cell>
          <cell r="G516" t="str">
            <v>N/A</v>
          </cell>
          <cell r="I516">
            <v>0</v>
          </cell>
        </row>
        <row r="517">
          <cell r="A517">
            <v>287</v>
          </cell>
          <cell r="C517">
            <v>2</v>
          </cell>
          <cell r="F517" t="str">
            <v>Has the Director of Operations, TSR or CEM manager presented, in the past 12 months, any new programs, ideas, service or cost savings projects to administration? (SOPI 100.6)</v>
          </cell>
          <cell r="G517" t="str">
            <v>N/A</v>
          </cell>
          <cell r="I517">
            <v>0</v>
          </cell>
        </row>
        <row r="518">
          <cell r="A518">
            <v>288</v>
          </cell>
          <cell r="C518">
            <v>2</v>
          </cell>
          <cell r="F518" t="str">
            <v>The CEM manager is familiar with the three highest priority expectations that Administration has deemed.  Documentation exists that the CEM manager is taking steps to accomplish these priorities.  Is the list reviewed and updated with Administration annua</v>
          </cell>
          <cell r="G518" t="str">
            <v>N/A</v>
          </cell>
          <cell r="I518">
            <v>0</v>
          </cell>
        </row>
        <row r="519">
          <cell r="A519">
            <v>289</v>
          </cell>
          <cell r="C519">
            <v>2</v>
          </cell>
          <cell r="F519" t="str">
            <v>Does administration feel satisfied with CEM program value? (SOPI 100.5, SOPI 100.8, SOPI 100.9)</v>
          </cell>
          <cell r="G519" t="str">
            <v>N/A</v>
          </cell>
          <cell r="I519">
            <v>0</v>
          </cell>
        </row>
        <row r="520">
          <cell r="A520">
            <v>290</v>
          </cell>
          <cell r="C520">
            <v>2</v>
          </cell>
          <cell r="F520" t="str">
            <v>Does administration feel satisfied with CEM cost savings? (SOPI 100.5, SOPI 100.8, SOPI 100.9)</v>
          </cell>
          <cell r="G520" t="str">
            <v>N/A</v>
          </cell>
          <cell r="I520">
            <v>0</v>
          </cell>
        </row>
        <row r="521">
          <cell r="A521">
            <v>291</v>
          </cell>
          <cell r="C521">
            <v>2</v>
          </cell>
          <cell r="F521" t="str">
            <v>Does administration feel satisfied with CEM department relationships with facility cost centers? (SOPI 100.5, SOPI 100.8, SOPI 100.9)</v>
          </cell>
          <cell r="G521" t="str">
            <v>N/A</v>
          </cell>
          <cell r="I521">
            <v>0</v>
          </cell>
        </row>
        <row r="522">
          <cell r="A522">
            <v>292</v>
          </cell>
          <cell r="C522">
            <v>2</v>
          </cell>
          <cell r="F522" t="str">
            <v>Does Administration feel satisfied with the organization and professionalism of the CEM department? (SOPI 100.5, SOPI 100.8, SOPI 100.9)</v>
          </cell>
          <cell r="G522" t="str">
            <v>N/A</v>
          </cell>
          <cell r="I522">
            <v>0</v>
          </cell>
        </row>
        <row r="523">
          <cell r="F523" t="str">
            <v>CEM Facility Tour</v>
          </cell>
        </row>
        <row r="524">
          <cell r="A524">
            <v>293</v>
          </cell>
          <cell r="C524">
            <v>2</v>
          </cell>
          <cell r="F524" t="str">
            <v>Appraiser and CEM manager will tour facility.  At random, appraiser will interview facility personnel in different cost centers as to their perception of the following:</v>
          </cell>
          <cell r="G524" t="str">
            <v>N/A</v>
          </cell>
          <cell r="I524">
            <v>0</v>
          </cell>
        </row>
        <row r="525">
          <cell r="A525">
            <v>293</v>
          </cell>
          <cell r="B525" t="str">
            <v>a.</v>
          </cell>
          <cell r="C525">
            <v>2</v>
          </cell>
          <cell r="F525" t="str">
            <v>Does each cost center have a copy of their inventory and PM schedule? (SOPI 400.7, SOPI 400.10)</v>
          </cell>
          <cell r="G525" t="str">
            <v>N/A</v>
          </cell>
          <cell r="I525">
            <v>0</v>
          </cell>
        </row>
        <row r="526">
          <cell r="A526">
            <v>293</v>
          </cell>
          <cell r="B526" t="str">
            <v>b.</v>
          </cell>
          <cell r="C526">
            <v>2</v>
          </cell>
          <cell r="F526" t="str">
            <v>Do personnel know how to obtain equipment repair services, including after hours? (SOPI 300.14, SOPI 300.10, EC 1.8, EC 2.7)</v>
          </cell>
          <cell r="G526" t="str">
            <v>N/A</v>
          </cell>
          <cell r="I526">
            <v>0</v>
          </cell>
        </row>
        <row r="527">
          <cell r="A527">
            <v>293</v>
          </cell>
          <cell r="B527" t="str">
            <v>c.</v>
          </cell>
          <cell r="C527">
            <v>2</v>
          </cell>
          <cell r="F527" t="str">
            <v>Are personnel familiar with the CEM department, manager and technicians? (SOPI 300.7, SOPI 400.3)</v>
          </cell>
          <cell r="G527" t="str">
            <v>N/A</v>
          </cell>
          <cell r="I527">
            <v>0</v>
          </cell>
        </row>
        <row r="528">
          <cell r="A528">
            <v>293</v>
          </cell>
          <cell r="B528" t="str">
            <v>d.</v>
          </cell>
          <cell r="C528">
            <v>2</v>
          </cell>
          <cell r="F528" t="str">
            <v>Are the users of clinical equipment familiar with hospital policies on the use of extension cords and adapters? (SOPI 300.12)</v>
          </cell>
          <cell r="G528" t="str">
            <v>N/A</v>
          </cell>
          <cell r="I528">
            <v>0</v>
          </cell>
        </row>
        <row r="529">
          <cell r="A529">
            <v>293</v>
          </cell>
          <cell r="B529" t="str">
            <v>e.</v>
          </cell>
          <cell r="C529">
            <v>2</v>
          </cell>
          <cell r="F529" t="str">
            <v>Are cost center personnel aware of the incoming equipment inspection policy?  Do they contact the CEM department before using equipment that may have been delivered directly to their department? (SOPI 300.15, EC 1.8)</v>
          </cell>
          <cell r="G529" t="str">
            <v>N/A</v>
          </cell>
          <cell r="I529">
            <v>0</v>
          </cell>
        </row>
        <row r="530">
          <cell r="A530">
            <v>293</v>
          </cell>
          <cell r="B530" t="str">
            <v>f.</v>
          </cell>
          <cell r="C530">
            <v>2</v>
          </cell>
          <cell r="F530" t="str">
            <v>Do personnel know how to obtain training on new equipment? (SOPI 200.6, SOPI 300.5, EC 1.8, EC 2.7)</v>
          </cell>
          <cell r="G530" t="str">
            <v>N/A</v>
          </cell>
          <cell r="I530">
            <v>0</v>
          </cell>
        </row>
        <row r="531">
          <cell r="A531">
            <v>293</v>
          </cell>
          <cell r="B531" t="str">
            <v>g.</v>
          </cell>
          <cell r="C531">
            <v>2</v>
          </cell>
          <cell r="F531" t="str">
            <v>Do CEM department personnel make rounds on a routine basis? (SOPI 300.7)</v>
          </cell>
          <cell r="G531" t="str">
            <v>N/A</v>
          </cell>
          <cell r="I531">
            <v>0</v>
          </cell>
        </row>
        <row r="533">
          <cell r="F533" t="str">
            <v xml:space="preserve">                                               Total General - Clinical Equipment</v>
          </cell>
          <cell r="G533">
            <v>0</v>
          </cell>
          <cell r="I533">
            <v>0</v>
          </cell>
        </row>
        <row r="534">
          <cell r="F534" t="str">
            <v xml:space="preserve">                                                             Percentage Implemented</v>
          </cell>
          <cell r="G534" t="str">
            <v>N/A</v>
          </cell>
        </row>
        <row r="536">
          <cell r="F536" t="str">
            <v>GENERAL</v>
          </cell>
        </row>
        <row r="537">
          <cell r="F537" t="str">
            <v>INTEGRATED SERVICE</v>
          </cell>
        </row>
        <row r="538">
          <cell r="A538">
            <v>294</v>
          </cell>
          <cell r="C538">
            <v>2</v>
          </cell>
          <cell r="F538" t="str">
            <v>An Organization Development Plan is in place and being monitored and adjusted as the Integrated Service Process is implemented.</v>
          </cell>
          <cell r="G538" t="str">
            <v>N/A</v>
          </cell>
          <cell r="I538">
            <v>0</v>
          </cell>
        </row>
        <row r="539">
          <cell r="A539">
            <v>295</v>
          </cell>
          <cell r="C539">
            <v>2</v>
          </cell>
          <cell r="F539" t="str">
            <v>There are tangible examples of multi-skilling present (PSA, TSA).</v>
          </cell>
          <cell r="G539" t="str">
            <v>N/A</v>
          </cell>
          <cell r="I539">
            <v>0</v>
          </cell>
        </row>
        <row r="540">
          <cell r="A540">
            <v>296</v>
          </cell>
          <cell r="C540">
            <v>2</v>
          </cell>
          <cell r="F540" t="str">
            <v>A Business Plan is being followed for Technical Service, Materials/Logistics and Hospitality Services.</v>
          </cell>
          <cell r="G540" t="str">
            <v>N/A</v>
          </cell>
          <cell r="I540">
            <v>0</v>
          </cell>
        </row>
        <row r="541">
          <cell r="A541">
            <v>297</v>
          </cell>
          <cell r="C541">
            <v>2</v>
          </cell>
          <cell r="F541" t="str">
            <v>The Integrated Service Center is in place and functioning as the hub of I.S. activity.</v>
          </cell>
          <cell r="G541" t="str">
            <v>N/A</v>
          </cell>
          <cell r="I541">
            <v>0</v>
          </cell>
        </row>
        <row r="542">
          <cell r="A542">
            <v>298</v>
          </cell>
          <cell r="C542">
            <v>2</v>
          </cell>
          <cell r="F542" t="str">
            <v>Applicable Line of Service Absolutes are in place.</v>
          </cell>
          <cell r="G542" t="str">
            <v>N/A</v>
          </cell>
          <cell r="I542">
            <v>0</v>
          </cell>
        </row>
        <row r="543">
          <cell r="A543">
            <v>299</v>
          </cell>
          <cell r="C543">
            <v>2</v>
          </cell>
          <cell r="F543" t="str">
            <v>The I.S. organization as defined by the Business Plan has been implemented.</v>
          </cell>
          <cell r="G543" t="str">
            <v>N/A</v>
          </cell>
          <cell r="I543">
            <v>0</v>
          </cell>
        </row>
        <row r="544">
          <cell r="A544">
            <v>300</v>
          </cell>
          <cell r="C544">
            <v>2</v>
          </cell>
          <cell r="F544" t="str">
            <v>An Executive Information System such as ISIS is being utilized .</v>
          </cell>
          <cell r="G544" t="str">
            <v>N/A</v>
          </cell>
          <cell r="I544">
            <v>0</v>
          </cell>
        </row>
        <row r="545">
          <cell r="A545">
            <v>301</v>
          </cell>
          <cell r="C545">
            <v>2</v>
          </cell>
          <cell r="F545" t="str">
            <v>An Integrated Service mission has been developed and is being communicated throughout the organization.</v>
          </cell>
          <cell r="G545" t="str">
            <v>N/A</v>
          </cell>
          <cell r="I545">
            <v>0</v>
          </cell>
        </row>
        <row r="546">
          <cell r="A546">
            <v>302</v>
          </cell>
          <cell r="C546">
            <v>2</v>
          </cell>
          <cell r="F546" t="str">
            <v>Value is being measured in accordance with the I.S. value equation.  Value = (Quality *Service Volume)/Cost</v>
          </cell>
          <cell r="G546" t="str">
            <v>N/A</v>
          </cell>
          <cell r="I546">
            <v>0</v>
          </cell>
        </row>
        <row r="547">
          <cell r="A547">
            <v>303</v>
          </cell>
          <cell r="C547">
            <v>2</v>
          </cell>
          <cell r="F547" t="str">
            <v>Hospital/Health System and ServiceMaster financial budgets and commitments are being met.</v>
          </cell>
          <cell r="G547" t="str">
            <v>N/A</v>
          </cell>
          <cell r="I547">
            <v>0</v>
          </cell>
        </row>
        <row r="548">
          <cell r="A548">
            <v>304</v>
          </cell>
          <cell r="C548">
            <v>2</v>
          </cell>
          <cell r="F548" t="str">
            <v>There is tangible evidence of the I.S. team commitment to the promotion of Healthier Communities.</v>
          </cell>
          <cell r="G548" t="str">
            <v>N/A</v>
          </cell>
          <cell r="I548">
            <v>0</v>
          </cell>
        </row>
        <row r="550">
          <cell r="F550" t="str">
            <v xml:space="preserve">                                                Total General - Integrated Service</v>
          </cell>
          <cell r="G550">
            <v>0</v>
          </cell>
          <cell r="I550">
            <v>0</v>
          </cell>
        </row>
        <row r="551">
          <cell r="F551" t="str">
            <v xml:space="preserve">                                                             Percentage Implemented</v>
          </cell>
          <cell r="G551" t="str">
            <v>N/A</v>
          </cell>
        </row>
        <row r="554">
          <cell r="F554" t="str">
            <v xml:space="preserve"> Total General</v>
          </cell>
          <cell r="G554">
            <v>172</v>
          </cell>
          <cell r="I554">
            <v>172</v>
          </cell>
        </row>
        <row r="556">
          <cell r="F556" t="str">
            <v>Total Percentage Implemented Management</v>
          </cell>
          <cell r="G556">
            <v>1</v>
          </cell>
        </row>
        <row r="557">
          <cell r="C557">
            <v>2</v>
          </cell>
        </row>
      </sheetData>
      <sheetData sheetId="4" refreshError="1">
        <row r="1">
          <cell r="F1" t="str">
            <v>ServiceMaster Management Services</v>
          </cell>
          <cell r="J1" t="str">
            <v/>
          </cell>
        </row>
        <row r="2">
          <cell r="A2" t="str">
            <v>Facility:</v>
          </cell>
          <cell r="B2" t="str">
            <v/>
          </cell>
          <cell r="C2" t="str">
            <v/>
          </cell>
          <cell r="F2" t="str">
            <v>ServiceMaster Management Services</v>
          </cell>
          <cell r="G2" t="str">
            <v>Fac #:</v>
          </cell>
          <cell r="H2" t="str">
            <v/>
          </cell>
        </row>
        <row r="3">
          <cell r="A3" t="str">
            <v>Manager:</v>
          </cell>
          <cell r="C3" t="str">
            <v/>
          </cell>
          <cell r="F3">
            <v>2001</v>
          </cell>
        </row>
        <row r="4">
          <cell r="A4" t="str">
            <v>Date:</v>
          </cell>
          <cell r="C4" t="str">
            <v/>
          </cell>
          <cell r="F4" t="str">
            <v>Quality Performance Quotient</v>
          </cell>
          <cell r="G4" t="str">
            <v>DATE:</v>
          </cell>
          <cell r="H4" t="str">
            <v>DATE:</v>
          </cell>
          <cell r="I4" t="str">
            <v/>
          </cell>
          <cell r="J4" t="str">
            <v/>
          </cell>
        </row>
        <row r="5">
          <cell r="A5" t="str">
            <v>Evaluator:</v>
          </cell>
          <cell r="C5" t="str">
            <v/>
          </cell>
          <cell r="F5" t="str">
            <v>PEOPLE</v>
          </cell>
          <cell r="G5" t="str">
            <v>Date:</v>
          </cell>
          <cell r="H5" t="str">
            <v/>
          </cell>
          <cell r="I5" t="str">
            <v/>
          </cell>
          <cell r="J5" t="str">
            <v>Possible</v>
          </cell>
        </row>
        <row r="6">
          <cell r="A6" t="str">
            <v>Title:</v>
          </cell>
          <cell r="C6" t="str">
            <v/>
          </cell>
          <cell r="F6">
            <v>2001</v>
          </cell>
          <cell r="H6" t="str">
            <v>Score</v>
          </cell>
          <cell r="I6" t="str">
            <v>Possible</v>
          </cell>
          <cell r="J6" t="str">
            <v>Score</v>
          </cell>
        </row>
        <row r="7">
          <cell r="A7">
            <v>1</v>
          </cell>
          <cell r="D7">
            <v>1</v>
          </cell>
          <cell r="F7" t="str">
            <v>TRAINING</v>
          </cell>
          <cell r="G7" t="str">
            <v>Score</v>
          </cell>
          <cell r="H7" t="str">
            <v>Score</v>
          </cell>
          <cell r="I7" t="str">
            <v>Possible</v>
          </cell>
          <cell r="J7" t="str">
            <v>Score</v>
          </cell>
        </row>
        <row r="8">
          <cell r="A8" t="str">
            <v>1.</v>
          </cell>
          <cell r="D8">
            <v>1</v>
          </cell>
          <cell r="F8" t="str">
            <v>ALL</v>
          </cell>
          <cell r="G8" t="str">
            <v>Score</v>
          </cell>
          <cell r="H8">
            <v>1</v>
          </cell>
          <cell r="I8" t="str">
            <v>Score</v>
          </cell>
          <cell r="J8">
            <v>1</v>
          </cell>
        </row>
        <row r="9">
          <cell r="A9" t="str">
            <v>2.</v>
          </cell>
          <cell r="C9">
            <v>1</v>
          </cell>
          <cell r="D9">
            <v>1</v>
          </cell>
          <cell r="F9" t="str">
            <v>Are timekeeping records maintained for each employee showing both daily and weekly hours.</v>
          </cell>
          <cell r="G9">
            <v>1</v>
          </cell>
          <cell r="H9">
            <v>1</v>
          </cell>
          <cell r="I9">
            <v>1</v>
          </cell>
          <cell r="J9">
            <v>1</v>
          </cell>
        </row>
        <row r="10">
          <cell r="A10">
            <v>1</v>
          </cell>
          <cell r="C10">
            <v>1</v>
          </cell>
          <cell r="D10">
            <v>1</v>
          </cell>
          <cell r="F10" t="str">
            <v xml:space="preserve">Do all new employees receive an initial orientation (Must be Documented) to their job and the department before work begins?   (Orientation Checklist)  </v>
          </cell>
          <cell r="G10">
            <v>1</v>
          </cell>
          <cell r="H10">
            <v>1</v>
          </cell>
          <cell r="I10">
            <v>1</v>
          </cell>
          <cell r="J10">
            <v>1</v>
          </cell>
        </row>
        <row r="11">
          <cell r="A11">
            <v>2</v>
          </cell>
          <cell r="C11">
            <v>1</v>
          </cell>
          <cell r="D11">
            <v>1</v>
          </cell>
          <cell r="F11" t="str">
            <v>Do new employees receive an initial safety orientation prior to start of work? (EC 1.3)</v>
          </cell>
          <cell r="G11">
            <v>1</v>
          </cell>
          <cell r="H11">
            <v>1</v>
          </cell>
          <cell r="I11">
            <v>1</v>
          </cell>
          <cell r="J11">
            <v>1</v>
          </cell>
        </row>
        <row r="12">
          <cell r="A12">
            <v>3</v>
          </cell>
          <cell r="C12">
            <v>1</v>
          </cell>
          <cell r="D12">
            <v>1</v>
          </cell>
          <cell r="F12" t="str">
            <v>Is there a follow-up safety orientation within the first 90 days of employment?(EC 1.3)</v>
          </cell>
          <cell r="G12">
            <v>1</v>
          </cell>
          <cell r="H12">
            <v>1</v>
          </cell>
          <cell r="I12">
            <v>1</v>
          </cell>
          <cell r="J12">
            <v>1</v>
          </cell>
        </row>
        <row r="13">
          <cell r="A13">
            <v>4</v>
          </cell>
          <cell r="B13" t="str">
            <v>a.</v>
          </cell>
          <cell r="C13">
            <v>1</v>
          </cell>
          <cell r="D13">
            <v>1</v>
          </cell>
          <cell r="F13" t="str">
            <v>Is annual Safety Tool Kit Training scheduled?  (SMSTK-Hazcom/Hazmat/LOTO/PPE/Bloodborne/Asbestos/Respiratory Protection/Confined Space/Fall Protection/Electrical Safety) (Using provided materials).  Is there documentation of this training?</v>
          </cell>
          <cell r="G13">
            <v>1</v>
          </cell>
          <cell r="H13">
            <v>1</v>
          </cell>
          <cell r="I13">
            <v>1</v>
          </cell>
          <cell r="J13">
            <v>1</v>
          </cell>
        </row>
        <row r="14">
          <cell r="A14">
            <v>4</v>
          </cell>
          <cell r="B14" t="str">
            <v>b.</v>
          </cell>
          <cell r="C14">
            <v>1</v>
          </cell>
          <cell r="D14">
            <v>1</v>
          </cell>
          <cell r="F14" t="str">
            <v xml:space="preserve">Are all safety training sessions for service workers conducted by certified instructors?   </v>
          </cell>
          <cell r="G14">
            <v>1</v>
          </cell>
          <cell r="H14">
            <v>1</v>
          </cell>
          <cell r="I14">
            <v>1</v>
          </cell>
          <cell r="J14">
            <v>1</v>
          </cell>
        </row>
        <row r="15">
          <cell r="A15">
            <v>4</v>
          </cell>
          <cell r="B15" t="str">
            <v>c.</v>
          </cell>
          <cell r="C15">
            <v>1</v>
          </cell>
          <cell r="D15">
            <v>1</v>
          </cell>
          <cell r="F15" t="str">
            <v>Have copies of SMSTK training sign-in sheets been sent to One ServiceMaster Way to the attention of the Safety Department?</v>
          </cell>
          <cell r="G15">
            <v>1</v>
          </cell>
          <cell r="H15">
            <v>1</v>
          </cell>
          <cell r="I15">
            <v>1</v>
          </cell>
          <cell r="J15">
            <v>1</v>
          </cell>
        </row>
        <row r="16">
          <cell r="A16">
            <v>5</v>
          </cell>
          <cell r="C16">
            <v>1</v>
          </cell>
          <cell r="D16">
            <v>1</v>
          </cell>
          <cell r="F16" t="str">
            <v xml:space="preserve">Have all department employees been instructed regarding their duties involving fire, disaster, bomb threat, and evacuation?  (SOPI: 300.9) </v>
          </cell>
          <cell r="G16">
            <v>1</v>
          </cell>
          <cell r="H16">
            <v>7</v>
          </cell>
          <cell r="I16">
            <v>1</v>
          </cell>
          <cell r="J16">
            <v>7</v>
          </cell>
        </row>
        <row r="17">
          <cell r="A17">
            <v>6</v>
          </cell>
          <cell r="C17">
            <v>1</v>
          </cell>
          <cell r="D17">
            <v>1</v>
          </cell>
          <cell r="F17" t="str">
            <v>Are employee training programs and Team Meetings scheduled in advance on the appropriate form or equivalent facility form?</v>
          </cell>
          <cell r="G17">
            <v>1</v>
          </cell>
          <cell r="H17">
            <v>1</v>
          </cell>
          <cell r="I17">
            <v>1</v>
          </cell>
          <cell r="J17">
            <v>1</v>
          </cell>
        </row>
        <row r="18">
          <cell r="A18">
            <v>7</v>
          </cell>
          <cell r="C18">
            <v>1</v>
          </cell>
          <cell r="D18">
            <v>1</v>
          </cell>
          <cell r="F18" t="str">
            <v>Do all department employees receive an appraisal/review at least once a year, and are objectives being set? Verify that a follow-up is accomplished with each employee regarding goals and objectives prior to the next appraisal. (Facility/ServiceMaster/Mang</v>
          </cell>
          <cell r="G18">
            <v>1</v>
          </cell>
          <cell r="H18">
            <v>1</v>
          </cell>
          <cell r="I18">
            <v>1</v>
          </cell>
          <cell r="J18">
            <v>1</v>
          </cell>
        </row>
        <row r="19">
          <cell r="A19">
            <v>8</v>
          </cell>
          <cell r="C19">
            <v>1</v>
          </cell>
          <cell r="D19">
            <v>1</v>
          </cell>
          <cell r="F19" t="str">
            <v>Is individual training documented on the Training History portion of the Employee module and are group meetings documented in the Meetings portion of the Employee module?</v>
          </cell>
          <cell r="G19">
            <v>1</v>
          </cell>
          <cell r="H19">
            <v>1</v>
          </cell>
          <cell r="I19">
            <v>1</v>
          </cell>
          <cell r="J19">
            <v>1</v>
          </cell>
        </row>
        <row r="20">
          <cell r="A20">
            <v>9</v>
          </cell>
          <cell r="C20">
            <v>1</v>
          </cell>
          <cell r="D20">
            <v>1</v>
          </cell>
          <cell r="F20" t="str">
            <v>Is regular re-training provided for all employees within the last 6 months, and is the training documented in their personnel records?</v>
          </cell>
          <cell r="G20">
            <v>1</v>
          </cell>
          <cell r="H20">
            <v>1</v>
          </cell>
          <cell r="I20">
            <v>1</v>
          </cell>
          <cell r="J20">
            <v>1</v>
          </cell>
        </row>
        <row r="21">
          <cell r="A21">
            <v>10</v>
          </cell>
          <cell r="C21">
            <v>1</v>
          </cell>
          <cell r="D21">
            <v>1</v>
          </cell>
          <cell r="F21" t="str">
            <v>"Feeding the Roots" program completed with written competencies.</v>
          </cell>
          <cell r="G21">
            <v>1</v>
          </cell>
          <cell r="H21">
            <v>1</v>
          </cell>
          <cell r="I21">
            <v>1</v>
          </cell>
          <cell r="J21">
            <v>1</v>
          </cell>
        </row>
        <row r="22">
          <cell r="A22">
            <v>11</v>
          </cell>
          <cell r="C22">
            <v>1</v>
          </cell>
          <cell r="D22">
            <v>2</v>
          </cell>
          <cell r="F22" t="str">
            <v>Is the Career Development Program implemented for the staff?</v>
          </cell>
          <cell r="G22">
            <v>1</v>
          </cell>
          <cell r="H22" t="str">
            <v>N/A</v>
          </cell>
          <cell r="I22">
            <v>1</v>
          </cell>
          <cell r="J22">
            <v>0</v>
          </cell>
        </row>
        <row r="23">
          <cell r="A23">
            <v>15</v>
          </cell>
          <cell r="C23">
            <v>1</v>
          </cell>
          <cell r="D23">
            <v>1</v>
          </cell>
          <cell r="F23" t="str">
            <v>Is the Manager familiar with and operates in compliance with the ServiceMaster Envronmental Stewardship Principles?</v>
          </cell>
          <cell r="G23">
            <v>1</v>
          </cell>
          <cell r="H23">
            <v>1</v>
          </cell>
          <cell r="I23">
            <v>1</v>
          </cell>
          <cell r="J23">
            <v>1</v>
          </cell>
        </row>
        <row r="24">
          <cell r="A24">
            <v>16</v>
          </cell>
          <cell r="C24">
            <v>1</v>
          </cell>
          <cell r="D24">
            <v>1</v>
          </cell>
          <cell r="F24" t="str">
            <v xml:space="preserve">                                                                 Total Training</v>
          </cell>
          <cell r="G24">
            <v>13</v>
          </cell>
          <cell r="H24">
            <v>0</v>
          </cell>
          <cell r="I24">
            <v>13</v>
          </cell>
          <cell r="J24">
            <v>0</v>
          </cell>
        </row>
        <row r="25">
          <cell r="A25">
            <v>15</v>
          </cell>
          <cell r="D25">
            <v>1</v>
          </cell>
          <cell r="F25" t="str">
            <v xml:space="preserve">                                                                  Percentage Implemented</v>
          </cell>
          <cell r="G25">
            <v>1</v>
          </cell>
          <cell r="H25" t="str">
            <v>N/A</v>
          </cell>
          <cell r="J25">
            <v>1</v>
          </cell>
        </row>
      </sheetData>
      <sheetData sheetId="5" refreshError="1">
        <row r="1">
          <cell r="F1" t="str">
            <v>ServiceMaster Management Services</v>
          </cell>
          <cell r="J1" t="str">
            <v/>
          </cell>
          <cell r="K1" t="str">
            <v/>
          </cell>
        </row>
        <row r="2">
          <cell r="A2" t="str">
            <v>Facility:</v>
          </cell>
          <cell r="B2" t="str">
            <v/>
          </cell>
          <cell r="C2" t="str">
            <v/>
          </cell>
          <cell r="F2" t="str">
            <v>ServiceMaster Management Services</v>
          </cell>
          <cell r="G2" t="str">
            <v>Fac #:</v>
          </cell>
          <cell r="H2" t="str">
            <v/>
          </cell>
        </row>
        <row r="3">
          <cell r="A3" t="str">
            <v>Manager:</v>
          </cell>
          <cell r="C3" t="str">
            <v/>
          </cell>
          <cell r="F3">
            <v>2001</v>
          </cell>
        </row>
        <row r="4">
          <cell r="A4" t="str">
            <v>Date:</v>
          </cell>
          <cell r="C4" t="str">
            <v/>
          </cell>
          <cell r="F4" t="str">
            <v>Quality Performance Quotient</v>
          </cell>
          <cell r="G4" t="str">
            <v>DATE:</v>
          </cell>
          <cell r="H4" t="str">
            <v>DATE:</v>
          </cell>
          <cell r="I4" t="str">
            <v/>
          </cell>
          <cell r="J4" t="str">
            <v/>
          </cell>
        </row>
        <row r="5">
          <cell r="A5" t="str">
            <v>Evaluator:</v>
          </cell>
          <cell r="C5" t="str">
            <v/>
          </cell>
          <cell r="F5" t="str">
            <v>PEOPLE</v>
          </cell>
          <cell r="G5" t="str">
            <v>Date:</v>
          </cell>
          <cell r="H5" t="str">
            <v>Score</v>
          </cell>
          <cell r="I5" t="str">
            <v/>
          </cell>
          <cell r="J5" t="str">
            <v>Possible</v>
          </cell>
        </row>
        <row r="6">
          <cell r="A6" t="str">
            <v>Title:</v>
          </cell>
          <cell r="C6" t="str">
            <v/>
          </cell>
          <cell r="F6" t="str">
            <v>GENERAL (ALL EMPLOYEES - SM OR FACILITY)</v>
          </cell>
          <cell r="H6" t="str">
            <v>Score</v>
          </cell>
          <cell r="I6" t="str">
            <v/>
          </cell>
          <cell r="J6" t="str">
            <v>Score</v>
          </cell>
        </row>
        <row r="7">
          <cell r="A7">
            <v>1</v>
          </cell>
          <cell r="D7">
            <v>1</v>
          </cell>
          <cell r="F7" t="str">
            <v>TRAINING</v>
          </cell>
          <cell r="G7" t="str">
            <v>Score</v>
          </cell>
          <cell r="H7" t="str">
            <v>Score</v>
          </cell>
          <cell r="I7" t="str">
            <v>Possible</v>
          </cell>
          <cell r="J7" t="str">
            <v>Score</v>
          </cell>
          <cell r="K7" t="str">
            <v>All</v>
          </cell>
        </row>
        <row r="8">
          <cell r="A8" t="str">
            <v>1.</v>
          </cell>
          <cell r="D8">
            <v>1</v>
          </cell>
          <cell r="F8" t="str">
            <v xml:space="preserve">Are accurate facility job descriptions reviewed, and approved by Administration for all current positions?  </v>
          </cell>
          <cell r="G8" t="str">
            <v>Score</v>
          </cell>
          <cell r="H8">
            <v>1</v>
          </cell>
          <cell r="I8" t="str">
            <v>Score</v>
          </cell>
          <cell r="J8">
            <v>1</v>
          </cell>
          <cell r="K8" t="str">
            <v>All</v>
          </cell>
        </row>
        <row r="9">
          <cell r="A9" t="str">
            <v>2.</v>
          </cell>
          <cell r="C9">
            <v>1</v>
          </cell>
          <cell r="D9">
            <v>1</v>
          </cell>
          <cell r="F9" t="str">
            <v>Are timekeeping records maintained for each employee showing both daily and weekly hours.</v>
          </cell>
          <cell r="G9">
            <v>1</v>
          </cell>
          <cell r="H9">
            <v>1</v>
          </cell>
          <cell r="I9">
            <v>1</v>
          </cell>
          <cell r="J9">
            <v>1</v>
          </cell>
          <cell r="K9" t="str">
            <v>All</v>
          </cell>
        </row>
        <row r="10">
          <cell r="A10">
            <v>3</v>
          </cell>
          <cell r="C10">
            <v>1</v>
          </cell>
          <cell r="D10">
            <v>1</v>
          </cell>
          <cell r="F10" t="str">
            <v>Is the Employee Data File current?  Verify against the position summary?</v>
          </cell>
          <cell r="G10">
            <v>1</v>
          </cell>
          <cell r="H10">
            <v>1</v>
          </cell>
          <cell r="I10">
            <v>1</v>
          </cell>
          <cell r="J10">
            <v>1</v>
          </cell>
          <cell r="K10" t="str">
            <v>All</v>
          </cell>
        </row>
        <row r="11">
          <cell r="A11" t="str">
            <v>4.</v>
          </cell>
          <cell r="C11">
            <v>1</v>
          </cell>
          <cell r="D11">
            <v>1</v>
          </cell>
          <cell r="F11" t="str">
            <v>Is staff wearing name tags and clean uniforms as required by contract or facility policy?</v>
          </cell>
          <cell r="G11">
            <v>1</v>
          </cell>
          <cell r="H11">
            <v>1</v>
          </cell>
          <cell r="I11">
            <v>1</v>
          </cell>
          <cell r="J11">
            <v>1</v>
          </cell>
          <cell r="K11" t="str">
            <v>All</v>
          </cell>
        </row>
        <row r="12">
          <cell r="A12" t="str">
            <v>5.</v>
          </cell>
          <cell r="C12">
            <v>1</v>
          </cell>
          <cell r="D12">
            <v>1</v>
          </cell>
          <cell r="F12" t="str">
            <v>Has a Pride Day, Open House, or Recognition Day been held during the past year and been coordinated with Administration?</v>
          </cell>
          <cell r="G12">
            <v>1</v>
          </cell>
          <cell r="H12">
            <v>1</v>
          </cell>
          <cell r="I12">
            <v>1</v>
          </cell>
          <cell r="J12">
            <v>1</v>
          </cell>
          <cell r="K12" t="str">
            <v>All</v>
          </cell>
        </row>
        <row r="13">
          <cell r="A13" t="str">
            <v>6.</v>
          </cell>
          <cell r="B13" t="str">
            <v>a.</v>
          </cell>
          <cell r="C13">
            <v>1</v>
          </cell>
          <cell r="D13">
            <v>1</v>
          </cell>
          <cell r="F13" t="str">
            <v xml:space="preserve">Has an Employee Recognition Program been held during the past year and been coordinated with Administration?  </v>
          </cell>
          <cell r="G13">
            <v>1</v>
          </cell>
          <cell r="H13">
            <v>1</v>
          </cell>
          <cell r="I13">
            <v>1</v>
          </cell>
          <cell r="J13">
            <v>1</v>
          </cell>
          <cell r="K13" t="str">
            <v>All</v>
          </cell>
        </row>
        <row r="14">
          <cell r="A14" t="str">
            <v>7.</v>
          </cell>
          <cell r="B14" t="str">
            <v>b.</v>
          </cell>
          <cell r="C14">
            <v>1</v>
          </cell>
          <cell r="D14">
            <v>1</v>
          </cell>
          <cell r="F14" t="str">
            <v>Do all department employees receive an appraisal/review at least once a year, and are objectives being set? Verify that a follow-up is accomplished with each employee regarding goals and objectives prior to the next appraisal. (Facility/ServiceMaster/Mang</v>
          </cell>
          <cell r="G14">
            <v>1</v>
          </cell>
          <cell r="H14">
            <v>1</v>
          </cell>
          <cell r="I14">
            <v>1</v>
          </cell>
          <cell r="J14">
            <v>1</v>
          </cell>
          <cell r="K14" t="str">
            <v>All</v>
          </cell>
        </row>
        <row r="15">
          <cell r="A15">
            <v>6</v>
          </cell>
          <cell r="B15" t="str">
            <v>c.</v>
          </cell>
          <cell r="C15">
            <v>1</v>
          </cell>
          <cell r="D15">
            <v>1</v>
          </cell>
          <cell r="F15" t="str">
            <v>Are five years' worth of 200 logs kept on file at the facility?</v>
          </cell>
          <cell r="G15">
            <v>1</v>
          </cell>
          <cell r="H15">
            <v>1</v>
          </cell>
          <cell r="I15">
            <v>1</v>
          </cell>
          <cell r="J15">
            <v>1</v>
          </cell>
          <cell r="K15" t="str">
            <v>All</v>
          </cell>
        </row>
        <row r="16">
          <cell r="A16">
            <v>5</v>
          </cell>
          <cell r="C16">
            <v>1</v>
          </cell>
          <cell r="D16">
            <v>1</v>
          </cell>
          <cell r="F16" t="str">
            <v xml:space="preserve">                                                                 Total People - General</v>
          </cell>
          <cell r="G16">
            <v>1</v>
          </cell>
          <cell r="H16">
            <v>7</v>
          </cell>
          <cell r="I16">
            <v>1</v>
          </cell>
          <cell r="J16">
            <v>7</v>
          </cell>
          <cell r="K16" t="str">
            <v>POM</v>
          </cell>
        </row>
        <row r="17">
          <cell r="A17">
            <v>7</v>
          </cell>
          <cell r="C17">
            <v>1</v>
          </cell>
          <cell r="D17">
            <v>1</v>
          </cell>
          <cell r="F17" t="str">
            <v xml:space="preserve">                                                                  Percentage Implemented</v>
          </cell>
          <cell r="G17">
            <v>1</v>
          </cell>
          <cell r="H17">
            <v>1</v>
          </cell>
          <cell r="I17">
            <v>1</v>
          </cell>
          <cell r="J17">
            <v>1</v>
          </cell>
          <cell r="K17" t="str">
            <v>All</v>
          </cell>
        </row>
        <row r="18">
          <cell r="A18">
            <v>8</v>
          </cell>
          <cell r="C18">
            <v>1</v>
          </cell>
          <cell r="D18">
            <v>1</v>
          </cell>
          <cell r="F18" t="str">
            <v>Is protective equipment for eyes, ears, and extremities furnished for appropriate personnel, and used where there is aprobability of injury? (eg. Chemical treatment stations, mechanical rooms, etc.) (OSHA 1910.133)</v>
          </cell>
          <cell r="G18">
            <v>1</v>
          </cell>
          <cell r="H18">
            <v>1</v>
          </cell>
          <cell r="I18">
            <v>1</v>
          </cell>
          <cell r="J18">
            <v>1</v>
          </cell>
          <cell r="K18" t="str">
            <v>All</v>
          </cell>
        </row>
        <row r="19">
          <cell r="A19">
            <v>9</v>
          </cell>
          <cell r="C19">
            <v>1</v>
          </cell>
          <cell r="D19">
            <v>1</v>
          </cell>
          <cell r="F19" t="str">
            <v>PEOPLE</v>
          </cell>
          <cell r="G19">
            <v>1</v>
          </cell>
          <cell r="H19">
            <v>1</v>
          </cell>
          <cell r="I19">
            <v>1</v>
          </cell>
          <cell r="J19">
            <v>1</v>
          </cell>
          <cell r="K19" t="str">
            <v>All</v>
          </cell>
        </row>
        <row r="20">
          <cell r="A20">
            <v>10</v>
          </cell>
          <cell r="C20">
            <v>1</v>
          </cell>
          <cell r="D20">
            <v>1</v>
          </cell>
          <cell r="F20" t="str">
            <v>CLINICAL EQUIPMENT</v>
          </cell>
          <cell r="G20">
            <v>1</v>
          </cell>
          <cell r="H20">
            <v>1</v>
          </cell>
          <cell r="I20">
            <v>1</v>
          </cell>
          <cell r="J20">
            <v>1</v>
          </cell>
          <cell r="K20" t="str">
            <v>All</v>
          </cell>
        </row>
        <row r="21">
          <cell r="A21">
            <v>11</v>
          </cell>
          <cell r="C21">
            <v>1</v>
          </cell>
          <cell r="D21">
            <v>1</v>
          </cell>
          <cell r="F21" t="str">
            <v>Is all usable space in exit enclosures, including under stairs and ramp open, clean, and not used for any pupose? (NFPA 101:5-1.3.2.3)</v>
          </cell>
          <cell r="G21">
            <v>1</v>
          </cell>
          <cell r="H21">
            <v>1</v>
          </cell>
          <cell r="I21">
            <v>1</v>
          </cell>
          <cell r="J21">
            <v>1</v>
          </cell>
          <cell r="K21" t="str">
            <v>All</v>
          </cell>
        </row>
        <row r="22">
          <cell r="A22" t="str">
            <v>8.</v>
          </cell>
          <cell r="C22">
            <v>1</v>
          </cell>
          <cell r="D22">
            <v>2</v>
          </cell>
          <cell r="F22" t="str">
            <v>Are there job descriptions and standards of performance for the manager and all personnel.  Verify that personnel have reviewed their job description and standards of performance by the dated signature on both documents.  Assure that both documents are re</v>
          </cell>
          <cell r="G22">
            <v>1</v>
          </cell>
          <cell r="H22" t="str">
            <v>N/A</v>
          </cell>
          <cell r="I22">
            <v>1</v>
          </cell>
          <cell r="J22">
            <v>0</v>
          </cell>
          <cell r="K22" t="str">
            <v>All</v>
          </cell>
        </row>
        <row r="23">
          <cell r="A23">
            <v>13</v>
          </cell>
          <cell r="C23">
            <v>1</v>
          </cell>
          <cell r="D23">
            <v>1</v>
          </cell>
          <cell r="F23" t="str">
            <v>Are all fire drills conducted at required intervals and recorded on a Fire Drill Report or an appropriate form? (NFPA 101:10-ED &amp; 101:12-HC and JCAHO EC 2.10)</v>
          </cell>
          <cell r="G23">
            <v>1</v>
          </cell>
          <cell r="H23">
            <v>1</v>
          </cell>
          <cell r="I23">
            <v>1</v>
          </cell>
          <cell r="J23">
            <v>1</v>
          </cell>
          <cell r="K23" t="str">
            <v>All</v>
          </cell>
        </row>
        <row r="24">
          <cell r="A24">
            <v>14</v>
          </cell>
          <cell r="C24">
            <v>1</v>
          </cell>
          <cell r="D24">
            <v>1</v>
          </cell>
          <cell r="F24" t="str">
            <v xml:space="preserve">                                                   Total People - Clinical Equipment</v>
          </cell>
          <cell r="G24">
            <v>13</v>
          </cell>
          <cell r="H24">
            <v>0</v>
          </cell>
          <cell r="I24">
            <v>13</v>
          </cell>
          <cell r="J24">
            <v>0</v>
          </cell>
          <cell r="K24" t="str">
            <v>All</v>
          </cell>
        </row>
        <row r="25">
          <cell r="A25">
            <v>15</v>
          </cell>
          <cell r="D25">
            <v>1</v>
          </cell>
          <cell r="F25" t="str">
            <v xml:space="preserve">                                                                  Percentage Implemented</v>
          </cell>
          <cell r="G25">
            <v>1</v>
          </cell>
          <cell r="H25" t="str">
            <v>N/A</v>
          </cell>
          <cell r="J25">
            <v>1</v>
          </cell>
          <cell r="K25" t="str">
            <v>All</v>
          </cell>
        </row>
        <row r="26">
          <cell r="A26">
            <v>16</v>
          </cell>
          <cell r="D26" t="str">
            <v/>
          </cell>
          <cell r="F26" t="str">
            <v>Hazardous Material Handling (SMSTK, OSHA 1910 Subpart H, EC 1.2.3)</v>
          </cell>
          <cell r="H26">
            <v>1</v>
          </cell>
          <cell r="J26">
            <v>1</v>
          </cell>
          <cell r="K26" t="str">
            <v>POM</v>
          </cell>
        </row>
        <row r="27">
          <cell r="A27">
            <v>16</v>
          </cell>
          <cell r="B27" t="str">
            <v>a.</v>
          </cell>
          <cell r="D27">
            <v>1</v>
          </cell>
          <cell r="F27" t="str">
            <v>PEOPLE</v>
          </cell>
          <cell r="H27">
            <v>1</v>
          </cell>
          <cell r="J27">
            <v>1</v>
          </cell>
          <cell r="K27" t="str">
            <v>All</v>
          </cell>
        </row>
        <row r="28">
          <cell r="A28">
            <v>16</v>
          </cell>
          <cell r="B28" t="str">
            <v>b.</v>
          </cell>
          <cell r="D28">
            <v>1</v>
          </cell>
          <cell r="F28" t="str">
            <v>CENTRAL TRANSPORTATION</v>
          </cell>
          <cell r="H28">
            <v>1</v>
          </cell>
          <cell r="J28" t="str">
            <v>Possible</v>
          </cell>
          <cell r="K28" t="str">
            <v>All</v>
          </cell>
        </row>
        <row r="29">
          <cell r="A29">
            <v>16</v>
          </cell>
          <cell r="B29" t="str">
            <v>c.</v>
          </cell>
          <cell r="D29">
            <v>1</v>
          </cell>
          <cell r="F29" t="str">
            <v>Is the Chemical Inventory complete, if applicable?  (SMSTK-203, EC 1.5)</v>
          </cell>
          <cell r="H29" t="str">
            <v>Score</v>
          </cell>
          <cell r="J29" t="str">
            <v>Score</v>
          </cell>
          <cell r="K29" t="str">
            <v>All</v>
          </cell>
        </row>
        <row r="30">
          <cell r="A30">
            <v>16</v>
          </cell>
          <cell r="B30" t="str">
            <v>d.</v>
          </cell>
          <cell r="D30">
            <v>1</v>
          </cell>
          <cell r="F30" t="str">
            <v>Is the EPA Hazardous Waste Inventory complete?  (SMSTK-204, EC 1.5)</v>
          </cell>
          <cell r="H30">
            <v>1</v>
          </cell>
          <cell r="J30">
            <v>1</v>
          </cell>
          <cell r="K30" t="str">
            <v>All</v>
          </cell>
        </row>
        <row r="31">
          <cell r="A31" t="str">
            <v>9.</v>
          </cell>
          <cell r="D31">
            <v>2</v>
          </cell>
          <cell r="F31" t="str">
            <v>Does the appearance of the staff conform to hospital policies relative to dress code, grooming, and conduct?</v>
          </cell>
          <cell r="H31" t="str">
            <v>N/A</v>
          </cell>
          <cell r="J31">
            <v>0</v>
          </cell>
          <cell r="K31" t="str">
            <v>POM</v>
          </cell>
        </row>
        <row r="32">
          <cell r="A32" t="str">
            <v>10.</v>
          </cell>
          <cell r="D32">
            <v>2</v>
          </cell>
          <cell r="F32" t="str">
            <v>Does each employee have a personnel file which contains their records of orientation, training, special certification and the annual appraisal and review?</v>
          </cell>
          <cell r="H32" t="str">
            <v>N/A</v>
          </cell>
          <cell r="J32">
            <v>0</v>
          </cell>
          <cell r="K32" t="str">
            <v>POM</v>
          </cell>
        </row>
        <row r="33">
          <cell r="A33" t="str">
            <v>11.</v>
          </cell>
          <cell r="D33">
            <v>2</v>
          </cell>
          <cell r="F33" t="str">
            <v>Does the Escort Performance Summary indicate that most all Transporters are performing to standard?  Is there a review process in place to let Transporters know how they are performing relative to standard?</v>
          </cell>
          <cell r="H33" t="str">
            <v>N/A</v>
          </cell>
          <cell r="J33">
            <v>0</v>
          </cell>
          <cell r="K33" t="str">
            <v>POM</v>
          </cell>
        </row>
        <row r="34">
          <cell r="F34" t="str">
            <v>ALL (CONTINUED)</v>
          </cell>
        </row>
        <row r="35">
          <cell r="A35">
            <v>17</v>
          </cell>
          <cell r="F35" t="str">
            <v>Hazard Communication  (SMSTK, OSHA 1910.1200)</v>
          </cell>
          <cell r="H35">
            <v>19</v>
          </cell>
          <cell r="J35">
            <v>19</v>
          </cell>
        </row>
        <row r="36">
          <cell r="A36">
            <v>17</v>
          </cell>
          <cell r="B36" t="str">
            <v>a.</v>
          </cell>
          <cell r="D36">
            <v>1</v>
          </cell>
          <cell r="F36" t="str">
            <v>Total - Central Transportation</v>
          </cell>
          <cell r="H36">
            <v>0</v>
          </cell>
          <cell r="J36">
            <v>0</v>
          </cell>
          <cell r="K36" t="str">
            <v>All</v>
          </cell>
        </row>
        <row r="37">
          <cell r="A37">
            <v>17</v>
          </cell>
          <cell r="B37" t="str">
            <v>b.</v>
          </cell>
          <cell r="D37">
            <v>1</v>
          </cell>
          <cell r="F37" t="str">
            <v xml:space="preserve">                                                                  Percentage Implemented</v>
          </cell>
          <cell r="H37" t="str">
            <v>N/A</v>
          </cell>
          <cell r="J37">
            <v>1</v>
          </cell>
          <cell r="K37" t="str">
            <v>All</v>
          </cell>
        </row>
        <row r="38">
          <cell r="A38">
            <v>18</v>
          </cell>
          <cell r="D38">
            <v>1</v>
          </cell>
          <cell r="F38" t="str">
            <v>THIS SECTION IS NORMALY MARKED N/A - IF YOU HAVE SERVICEMASTER HOURLY EMPLOYEES USE THIS SECTION AND SCORE ACCORDINGLY!</v>
          </cell>
          <cell r="H38">
            <v>1</v>
          </cell>
          <cell r="J38">
            <v>1</v>
          </cell>
          <cell r="K38" t="str">
            <v>All</v>
          </cell>
        </row>
        <row r="39">
          <cell r="D39" t="str">
            <v/>
          </cell>
          <cell r="F39" t="str">
            <v>Please complete the following questions if your answer above was yes.  If you clicked NO, this section will automatically be N/A</v>
          </cell>
          <cell r="J39" t="str">
            <v>Score</v>
          </cell>
        </row>
        <row r="40">
          <cell r="F40" t="str">
            <v>CONTINUED</v>
          </cell>
        </row>
        <row r="41">
          <cell r="A41">
            <v>19</v>
          </cell>
          <cell r="D41" t="str">
            <v/>
          </cell>
          <cell r="F41" t="str">
            <v>GENERAL QUESTIONS</v>
          </cell>
        </row>
        <row r="42">
          <cell r="A42">
            <v>19</v>
          </cell>
          <cell r="B42" t="str">
            <v>a.</v>
          </cell>
          <cell r="D42">
            <v>1</v>
          </cell>
          <cell r="F42" t="str">
            <v>Is the Lock Out/Tag Out Compliance Checklist complete?  (SMSTK-401)</v>
          </cell>
          <cell r="H42">
            <v>1</v>
          </cell>
          <cell r="J42">
            <v>1</v>
          </cell>
          <cell r="K42" t="str">
            <v>All</v>
          </cell>
        </row>
        <row r="43">
          <cell r="A43" t="str">
            <v>12.</v>
          </cell>
          <cell r="B43" t="str">
            <v>b.</v>
          </cell>
          <cell r="D43">
            <v>1</v>
          </cell>
          <cell r="F43" t="str">
            <v>Are personnel files on the premises for current employees kept in a secured place?</v>
          </cell>
          <cell r="H43">
            <v>1</v>
          </cell>
          <cell r="J43">
            <v>1</v>
          </cell>
          <cell r="K43" t="str">
            <v>All</v>
          </cell>
        </row>
        <row r="44">
          <cell r="A44" t="str">
            <v>13.</v>
          </cell>
          <cell r="B44" t="str">
            <v>b.</v>
          </cell>
          <cell r="D44">
            <v>1</v>
          </cell>
          <cell r="F44" t="str">
            <v xml:space="preserve">Is the Manager familiar with the Americans with Disabilities Act (ADA) of 1990.  Has the manager conducted a survey of the facility to identify barriers and established a list of potential modifications for barrier removal, including changes to policies, </v>
          </cell>
          <cell r="H44">
            <v>1</v>
          </cell>
          <cell r="J44">
            <v>1</v>
          </cell>
          <cell r="K44" t="str">
            <v>Cust</v>
          </cell>
        </row>
        <row r="45">
          <cell r="A45" t="str">
            <v>14.</v>
          </cell>
          <cell r="B45" t="str">
            <v>a.</v>
          </cell>
          <cell r="D45" t="str">
            <v/>
          </cell>
          <cell r="F45" t="str">
            <v>Does each employee have the following on file:</v>
          </cell>
          <cell r="H45">
            <v>1</v>
          </cell>
          <cell r="J45">
            <v>1</v>
          </cell>
          <cell r="K45" t="str">
            <v>All</v>
          </cell>
        </row>
        <row r="46">
          <cell r="A46" t="str">
            <v>14.</v>
          </cell>
          <cell r="B46" t="str">
            <v>a.</v>
          </cell>
          <cell r="D46">
            <v>1</v>
          </cell>
          <cell r="F46" t="str">
            <v>Application</v>
          </cell>
          <cell r="H46">
            <v>1</v>
          </cell>
          <cell r="J46">
            <v>1</v>
          </cell>
          <cell r="K46" t="str">
            <v>All</v>
          </cell>
        </row>
        <row r="47">
          <cell r="A47" t="str">
            <v>14.</v>
          </cell>
          <cell r="B47" t="str">
            <v>b.</v>
          </cell>
          <cell r="D47">
            <v>1</v>
          </cell>
          <cell r="F47" t="str">
            <v>PIF</v>
          </cell>
          <cell r="H47">
            <v>1</v>
          </cell>
          <cell r="J47">
            <v>1</v>
          </cell>
        </row>
        <row r="48">
          <cell r="A48" t="str">
            <v>14.</v>
          </cell>
          <cell r="B48" t="str">
            <v>c.</v>
          </cell>
          <cell r="D48">
            <v>1</v>
          </cell>
          <cell r="F48" t="str">
            <v>Federal Tax Form</v>
          </cell>
          <cell r="H48">
            <v>1</v>
          </cell>
          <cell r="J48">
            <v>1</v>
          </cell>
          <cell r="K48" t="str">
            <v>All</v>
          </cell>
        </row>
        <row r="49">
          <cell r="A49" t="str">
            <v>14.</v>
          </cell>
          <cell r="B49" t="str">
            <v>d.</v>
          </cell>
          <cell r="D49">
            <v>1</v>
          </cell>
          <cell r="F49" t="str">
            <v>State Tax Form (if applicable)</v>
          </cell>
          <cell r="H49">
            <v>1</v>
          </cell>
          <cell r="J49">
            <v>1</v>
          </cell>
          <cell r="K49" t="str">
            <v>All</v>
          </cell>
        </row>
        <row r="50">
          <cell r="A50" t="str">
            <v>14.</v>
          </cell>
          <cell r="B50" t="str">
            <v>e.</v>
          </cell>
          <cell r="D50">
            <v>1</v>
          </cell>
          <cell r="F50" t="str">
            <v>Drug Consent Form</v>
          </cell>
          <cell r="H50">
            <v>1</v>
          </cell>
          <cell r="J50">
            <v>1</v>
          </cell>
          <cell r="K50" t="str">
            <v>All</v>
          </cell>
        </row>
        <row r="51">
          <cell r="A51" t="str">
            <v>14.</v>
          </cell>
          <cell r="B51" t="str">
            <v>f.</v>
          </cell>
          <cell r="D51">
            <v>1</v>
          </cell>
          <cell r="F51" t="str">
            <v>Drug Policy Sign - Off</v>
          </cell>
          <cell r="H51">
            <v>1</v>
          </cell>
          <cell r="J51">
            <v>1</v>
          </cell>
          <cell r="K51" t="str">
            <v>Cust</v>
          </cell>
        </row>
        <row r="52">
          <cell r="A52" t="str">
            <v>14.</v>
          </cell>
          <cell r="B52" t="str">
            <v>g.</v>
          </cell>
          <cell r="D52">
            <v>1</v>
          </cell>
          <cell r="F52" t="str">
            <v>Hand Book Acknowledgment Form</v>
          </cell>
          <cell r="H52">
            <v>1</v>
          </cell>
          <cell r="J52">
            <v>1</v>
          </cell>
          <cell r="K52" t="str">
            <v>All</v>
          </cell>
        </row>
        <row r="53">
          <cell r="A53" t="str">
            <v>14.</v>
          </cell>
          <cell r="B53" t="str">
            <v>h.</v>
          </cell>
          <cell r="D53">
            <v>1</v>
          </cell>
          <cell r="F53" t="str">
            <v>Authorization Card - Union (if applicable)</v>
          </cell>
          <cell r="H53">
            <v>1</v>
          </cell>
          <cell r="J53">
            <v>1</v>
          </cell>
        </row>
        <row r="54">
          <cell r="A54" t="str">
            <v>14.</v>
          </cell>
          <cell r="B54" t="str">
            <v>I.</v>
          </cell>
          <cell r="D54">
            <v>1</v>
          </cell>
          <cell r="F54" t="str">
            <v>I-9 Form (updated for alien registration card)</v>
          </cell>
          <cell r="H54">
            <v>1</v>
          </cell>
          <cell r="J54">
            <v>1</v>
          </cell>
          <cell r="K54" t="str">
            <v>All</v>
          </cell>
        </row>
        <row r="55">
          <cell r="A55" t="str">
            <v>14.</v>
          </cell>
          <cell r="B55" t="str">
            <v>j.</v>
          </cell>
          <cell r="D55">
            <v>1</v>
          </cell>
          <cell r="F55" t="str">
            <v>Photocopies made of two documents used for identification, and retained with the I-9 Form?</v>
          </cell>
          <cell r="H55">
            <v>1</v>
          </cell>
          <cell r="J55">
            <v>1</v>
          </cell>
          <cell r="K55" t="str">
            <v>All</v>
          </cell>
        </row>
        <row r="56">
          <cell r="A56" t="str">
            <v>14.</v>
          </cell>
          <cell r="B56" t="str">
            <v>k.</v>
          </cell>
          <cell r="D56">
            <v>1</v>
          </cell>
          <cell r="F56" t="str">
            <v>Are the Progressive Discipline Forms applied appropriately?</v>
          </cell>
          <cell r="H56">
            <v>1</v>
          </cell>
          <cell r="J56">
            <v>1</v>
          </cell>
          <cell r="K56" t="str">
            <v>All</v>
          </cell>
        </row>
        <row r="57">
          <cell r="A57" t="str">
            <v>14.</v>
          </cell>
          <cell r="B57" t="str">
            <v>l.</v>
          </cell>
          <cell r="D57">
            <v>1</v>
          </cell>
          <cell r="F57" t="str">
            <v>Background checks done on all employees (if applicable)?</v>
          </cell>
          <cell r="H57">
            <v>1</v>
          </cell>
          <cell r="J57">
            <v>1</v>
          </cell>
          <cell r="K57" t="str">
            <v>All</v>
          </cell>
        </row>
        <row r="58">
          <cell r="A58" t="str">
            <v>14.</v>
          </cell>
          <cell r="B58" t="str">
            <v>m.</v>
          </cell>
          <cell r="D58">
            <v>1</v>
          </cell>
          <cell r="F58" t="str">
            <v>Hepatitis B vaccination Acceptance/Declination Form</v>
          </cell>
          <cell r="H58">
            <v>1</v>
          </cell>
          <cell r="J58">
            <v>1</v>
          </cell>
          <cell r="K58" t="str">
            <v>Cust</v>
          </cell>
        </row>
        <row r="59">
          <cell r="A59" t="str">
            <v>15.</v>
          </cell>
          <cell r="B59" t="str">
            <v>a.</v>
          </cell>
          <cell r="D59">
            <v>1</v>
          </cell>
          <cell r="F59" t="str">
            <v>Are the appropriate posters displayed:</v>
          </cell>
          <cell r="H59">
            <v>1</v>
          </cell>
          <cell r="J59">
            <v>1</v>
          </cell>
          <cell r="K59" t="str">
            <v>All</v>
          </cell>
        </row>
        <row r="60">
          <cell r="A60" t="str">
            <v>15.</v>
          </cell>
          <cell r="B60" t="str">
            <v>a.</v>
          </cell>
          <cell r="D60">
            <v>1</v>
          </cell>
          <cell r="F60" t="str">
            <v>5-1 Poster/OSHA</v>
          </cell>
          <cell r="H60">
            <v>1</v>
          </cell>
          <cell r="J60">
            <v>1</v>
          </cell>
          <cell r="K60" t="str">
            <v>All</v>
          </cell>
        </row>
        <row r="61">
          <cell r="A61" t="str">
            <v>15.</v>
          </cell>
          <cell r="B61" t="str">
            <v>b.</v>
          </cell>
          <cell r="D61">
            <v>1</v>
          </cell>
          <cell r="F61" t="str">
            <v>EEO policy letter</v>
          </cell>
          <cell r="H61">
            <v>1</v>
          </cell>
          <cell r="J61">
            <v>1</v>
          </cell>
          <cell r="K61" t="str">
            <v>All</v>
          </cell>
        </row>
        <row r="62">
          <cell r="A62" t="str">
            <v>15.</v>
          </cell>
          <cell r="B62" t="str">
            <v>c.</v>
          </cell>
          <cell r="D62">
            <v>1</v>
          </cell>
          <cell r="F62" t="str">
            <v>Workers Compensation</v>
          </cell>
          <cell r="H62">
            <v>1</v>
          </cell>
          <cell r="J62">
            <v>1</v>
          </cell>
          <cell r="K62" t="str">
            <v>All</v>
          </cell>
        </row>
        <row r="63">
          <cell r="A63" t="str">
            <v>15.</v>
          </cell>
          <cell r="B63" t="str">
            <v>d.</v>
          </cell>
          <cell r="D63">
            <v>1</v>
          </cell>
          <cell r="F63" t="str">
            <v>Appropriate State Posters (if applicable)</v>
          </cell>
          <cell r="H63">
            <v>1</v>
          </cell>
          <cell r="J63">
            <v>1</v>
          </cell>
          <cell r="K63" t="str">
            <v>All</v>
          </cell>
        </row>
        <row r="64">
          <cell r="A64" t="str">
            <v>16.</v>
          </cell>
          <cell r="D64">
            <v>1</v>
          </cell>
          <cell r="F64" t="str">
            <v>Is there a hard copy or diskette of the Personnel Policy Manual at facility?</v>
          </cell>
          <cell r="H64">
            <v>1</v>
          </cell>
          <cell r="J64">
            <v>1</v>
          </cell>
          <cell r="K64" t="str">
            <v>Cust</v>
          </cell>
        </row>
        <row r="65">
          <cell r="A65" t="str">
            <v>17.</v>
          </cell>
          <cell r="D65">
            <v>1</v>
          </cell>
          <cell r="F65" t="str">
            <v>If an employee is operating a ServiceMaster vehicle, does he or she have a valid drivers license?  (Must have verification log)</v>
          </cell>
          <cell r="H65">
            <v>1</v>
          </cell>
          <cell r="J65">
            <v>1</v>
          </cell>
          <cell r="K65" t="str">
            <v>All</v>
          </cell>
        </row>
        <row r="66">
          <cell r="A66" t="str">
            <v>18.</v>
          </cell>
          <cell r="D66">
            <v>1</v>
          </cell>
          <cell r="F66" t="str">
            <v>Is the Facility Driver’s Log up-to-date and sent to Risk Management annually? (See log)</v>
          </cell>
          <cell r="H66">
            <v>1</v>
          </cell>
          <cell r="J66">
            <v>1</v>
          </cell>
          <cell r="K66" t="str">
            <v>Cust</v>
          </cell>
        </row>
        <row r="67">
          <cell r="A67" t="str">
            <v>19.</v>
          </cell>
          <cell r="D67">
            <v>1</v>
          </cell>
          <cell r="F67" t="str">
            <v>Were all new hires given Chain of Custody Form? (see log)</v>
          </cell>
          <cell r="H67">
            <v>1</v>
          </cell>
          <cell r="J67">
            <v>1</v>
          </cell>
          <cell r="K67" t="str">
            <v>Cust</v>
          </cell>
        </row>
        <row r="68">
          <cell r="A68" t="str">
            <v>20.</v>
          </cell>
          <cell r="D68">
            <v>1</v>
          </cell>
          <cell r="F68" t="str">
            <v>Is there 100% call-in for WOTC participants at time of hire?</v>
          </cell>
          <cell r="H68">
            <v>1</v>
          </cell>
          <cell r="J68">
            <v>1</v>
          </cell>
          <cell r="K68" t="str">
            <v>Cust</v>
          </cell>
        </row>
        <row r="69">
          <cell r="A69" t="str">
            <v>21.</v>
          </cell>
          <cell r="D69">
            <v>1</v>
          </cell>
          <cell r="F69" t="str">
            <v>Are all Worker's Compensation records and other medical records kept in a separate locked file?</v>
          </cell>
          <cell r="H69">
            <v>1</v>
          </cell>
          <cell r="J69">
            <v>1</v>
          </cell>
          <cell r="K69" t="str">
            <v>Cust</v>
          </cell>
        </row>
        <row r="70">
          <cell r="A70" t="str">
            <v>22.</v>
          </cell>
          <cell r="D70">
            <v>1</v>
          </cell>
          <cell r="F70" t="str">
            <v>Are all Workers' Compensation Claims reported on a timely basis?</v>
          </cell>
          <cell r="H70">
            <v>1</v>
          </cell>
          <cell r="J70">
            <v>1</v>
          </cell>
          <cell r="K70" t="str">
            <v>Cust</v>
          </cell>
        </row>
        <row r="71">
          <cell r="A71" t="str">
            <v>23.</v>
          </cell>
          <cell r="D71">
            <v>1</v>
          </cell>
          <cell r="F71" t="str">
            <v>Are job descriptions for all positions up-to-date and in accordance with ADA requirements?  Are there transitional duty job descriptions written?</v>
          </cell>
          <cell r="H71">
            <v>1</v>
          </cell>
          <cell r="I71" t="str">
            <v/>
          </cell>
          <cell r="J71">
            <v>1</v>
          </cell>
          <cell r="K71" t="str">
            <v>Cust</v>
          </cell>
        </row>
        <row r="72">
          <cell r="A72" t="str">
            <v>24.</v>
          </cell>
          <cell r="D72">
            <v>1</v>
          </cell>
          <cell r="F72" t="str">
            <v>Is there a process in place to discuss the employee’s performance?</v>
          </cell>
          <cell r="H72">
            <v>1</v>
          </cell>
          <cell r="J72">
            <v>1</v>
          </cell>
          <cell r="K72" t="str">
            <v>POM</v>
          </cell>
        </row>
        <row r="73">
          <cell r="A73" t="str">
            <v>25.</v>
          </cell>
          <cell r="D73">
            <v>1</v>
          </cell>
          <cell r="F73" t="str">
            <v>Is there a record of initial training for each employee?</v>
          </cell>
          <cell r="H73">
            <v>1</v>
          </cell>
          <cell r="J73">
            <v>1</v>
          </cell>
          <cell r="K73" t="str">
            <v>POM</v>
          </cell>
        </row>
        <row r="74">
          <cell r="A74" t="str">
            <v>26.</v>
          </cell>
          <cell r="D74">
            <v>1</v>
          </cell>
          <cell r="F74" t="str">
            <v>Has the Manager completed the SSSI-SM Self-Study Guide?</v>
          </cell>
          <cell r="H74">
            <v>1</v>
          </cell>
          <cell r="J74">
            <v>1</v>
          </cell>
        </row>
        <row r="75">
          <cell r="A75" t="str">
            <v>27.</v>
          </cell>
          <cell r="D75">
            <v>1</v>
          </cell>
          <cell r="F75" t="str">
            <v>Is the pre-screen tool currently being used?</v>
          </cell>
          <cell r="H75">
            <v>1</v>
          </cell>
          <cell r="J75">
            <v>1</v>
          </cell>
        </row>
        <row r="76">
          <cell r="A76" t="str">
            <v>28.</v>
          </cell>
          <cell r="B76" t="str">
            <v>a.</v>
          </cell>
          <cell r="D76">
            <v>1</v>
          </cell>
          <cell r="F76" t="str">
            <v>Are the SSSI-SM booklets appropriately stored?</v>
          </cell>
          <cell r="H76">
            <v>1</v>
          </cell>
          <cell r="J76">
            <v>1</v>
          </cell>
          <cell r="K76" t="str">
            <v>POM</v>
          </cell>
        </row>
        <row r="77">
          <cell r="A77">
            <v>28</v>
          </cell>
          <cell r="B77" t="str">
            <v>b.</v>
          </cell>
          <cell r="D77" t="str">
            <v/>
          </cell>
          <cell r="F77" t="str">
            <v>PEOPLE SERVICES</v>
          </cell>
          <cell r="H77">
            <v>1</v>
          </cell>
          <cell r="J77">
            <v>1</v>
          </cell>
          <cell r="K77" t="str">
            <v>POM</v>
          </cell>
        </row>
        <row r="78">
          <cell r="A78">
            <v>29</v>
          </cell>
          <cell r="D78">
            <v>1</v>
          </cell>
          <cell r="F78" t="str">
            <v>GENERAL (CONTINUED)</v>
          </cell>
          <cell r="H78">
            <v>1</v>
          </cell>
          <cell r="J78">
            <v>1</v>
          </cell>
          <cell r="K78" t="str">
            <v>POM</v>
          </cell>
        </row>
        <row r="79">
          <cell r="A79" t="str">
            <v>29.</v>
          </cell>
          <cell r="D79">
            <v>1</v>
          </cell>
          <cell r="F79" t="str">
            <v>Are all grievances maintained and handled according to the Policy &amp; Procedure Guidelines and/or Union Contract?</v>
          </cell>
          <cell r="H79">
            <v>1</v>
          </cell>
          <cell r="J79">
            <v>1</v>
          </cell>
          <cell r="K79" t="str">
            <v>POM</v>
          </cell>
        </row>
        <row r="80">
          <cell r="A80" t="str">
            <v>30.</v>
          </cell>
          <cell r="B80" t="str">
            <v>a.</v>
          </cell>
          <cell r="D80">
            <v>1</v>
          </cell>
          <cell r="F80" t="str">
            <v>Is the OSHA 200 log properly displayed in February?</v>
          </cell>
          <cell r="H80">
            <v>1</v>
          </cell>
          <cell r="J80">
            <v>1</v>
          </cell>
          <cell r="K80" t="str">
            <v>POM</v>
          </cell>
        </row>
        <row r="81">
          <cell r="A81" t="str">
            <v>30.</v>
          </cell>
          <cell r="B81" t="str">
            <v>b.</v>
          </cell>
          <cell r="D81">
            <v>1</v>
          </cell>
          <cell r="F81" t="str">
            <v>Was the prior year OSHA log sent to One ServiceMaster Way, Legal Dept.?</v>
          </cell>
          <cell r="H81">
            <v>1</v>
          </cell>
          <cell r="J81">
            <v>1</v>
          </cell>
          <cell r="K81" t="str">
            <v>POM</v>
          </cell>
        </row>
        <row r="82">
          <cell r="A82" t="str">
            <v>30.</v>
          </cell>
          <cell r="B82" t="str">
            <v>c.</v>
          </cell>
          <cell r="D82">
            <v>1</v>
          </cell>
          <cell r="F82" t="str">
            <v>Are five years worth of 200 logs kept on file at the facility?</v>
          </cell>
          <cell r="H82">
            <v>1</v>
          </cell>
          <cell r="J82">
            <v>1</v>
          </cell>
          <cell r="K82" t="str">
            <v>POM</v>
          </cell>
        </row>
        <row r="83">
          <cell r="A83">
            <v>34</v>
          </cell>
          <cell r="D83">
            <v>2</v>
          </cell>
          <cell r="F83" t="str">
            <v>PEOPLE SERVICES</v>
          </cell>
          <cell r="H83" t="str">
            <v>N/A</v>
          </cell>
          <cell r="J83" t="str">
            <v>Possible</v>
          </cell>
          <cell r="K83" t="str">
            <v>EdCust</v>
          </cell>
        </row>
        <row r="84">
          <cell r="A84">
            <v>35</v>
          </cell>
          <cell r="D84">
            <v>1</v>
          </cell>
          <cell r="F84" t="str">
            <v>EMPLOYEE INTERVIEW</v>
          </cell>
          <cell r="H84" t="str">
            <v>Score</v>
          </cell>
          <cell r="J84" t="str">
            <v>Score</v>
          </cell>
          <cell r="K84" t="str">
            <v>POM</v>
          </cell>
        </row>
        <row r="85">
          <cell r="A85">
            <v>36</v>
          </cell>
          <cell r="D85">
            <v>1</v>
          </cell>
          <cell r="F85" t="str">
            <v>Please select a sampling of employees and ask the following EMPLOYEERELATIONS questions:</v>
          </cell>
          <cell r="H85">
            <v>1</v>
          </cell>
          <cell r="J85">
            <v>1</v>
          </cell>
          <cell r="K85" t="str">
            <v>POM</v>
          </cell>
        </row>
        <row r="86">
          <cell r="A86" t="str">
            <v>31.</v>
          </cell>
          <cell r="D86">
            <v>1</v>
          </cell>
          <cell r="F86" t="str">
            <v>Are employees aware of the problem solving procedures?</v>
          </cell>
          <cell r="H86">
            <v>1</v>
          </cell>
          <cell r="J86">
            <v>1</v>
          </cell>
        </row>
        <row r="87">
          <cell r="A87" t="str">
            <v>32.</v>
          </cell>
          <cell r="D87">
            <v>1</v>
          </cell>
          <cell r="F87" t="str">
            <v>Do employees feel they are treated fairly and equitably?</v>
          </cell>
          <cell r="H87">
            <v>1</v>
          </cell>
          <cell r="J87">
            <v>1</v>
          </cell>
          <cell r="K87" t="str">
            <v>POM</v>
          </cell>
        </row>
        <row r="88">
          <cell r="A88" t="str">
            <v>33.</v>
          </cell>
          <cell r="D88">
            <v>1</v>
          </cell>
          <cell r="F88" t="str">
            <v>Is there an open communication between employees and management?</v>
          </cell>
          <cell r="H88">
            <v>1</v>
          </cell>
          <cell r="J88">
            <v>1</v>
          </cell>
          <cell r="K88" t="str">
            <v>POM</v>
          </cell>
        </row>
        <row r="89">
          <cell r="A89" t="str">
            <v>34.</v>
          </cell>
          <cell r="D89">
            <v>1</v>
          </cell>
          <cell r="F89" t="str">
            <v>Are the employees aware of the benefits at the facility?</v>
          </cell>
          <cell r="H89">
            <v>1</v>
          </cell>
          <cell r="J89">
            <v>1</v>
          </cell>
          <cell r="K89" t="str">
            <v>POM</v>
          </cell>
        </row>
        <row r="90">
          <cell r="A90" t="str">
            <v>35.</v>
          </cell>
          <cell r="D90">
            <v>1</v>
          </cell>
          <cell r="F90" t="str">
            <v>Is Manager or any employee aware of any union activity at facility?</v>
          </cell>
          <cell r="H90">
            <v>1</v>
          </cell>
          <cell r="J90">
            <v>1</v>
          </cell>
          <cell r="K90" t="str">
            <v>POM</v>
          </cell>
        </row>
        <row r="91">
          <cell r="A91" t="str">
            <v>36.</v>
          </cell>
          <cell r="D91">
            <v>1</v>
          </cell>
          <cell r="F91" t="str">
            <v>Is there a positive satisfaction level between Manager and employees?</v>
          </cell>
          <cell r="H91">
            <v>1</v>
          </cell>
          <cell r="J91">
            <v>1</v>
          </cell>
          <cell r="K91" t="str">
            <v>POM</v>
          </cell>
        </row>
        <row r="92">
          <cell r="A92">
            <v>42</v>
          </cell>
          <cell r="D92">
            <v>1</v>
          </cell>
          <cell r="F92" t="str">
            <v>Are quarterly main drain flow, annual pump tests &amp; alarm tests and inspections of sprinkler system control valves and supervisory switches documented? (SOPI: 600; NFPA 13A:7-1;C)</v>
          </cell>
          <cell r="H92">
            <v>1</v>
          </cell>
          <cell r="J92">
            <v>1</v>
          </cell>
          <cell r="K92" t="str">
            <v>POM</v>
          </cell>
        </row>
        <row r="93">
          <cell r="A93">
            <v>43</v>
          </cell>
          <cell r="D93">
            <v>1</v>
          </cell>
          <cell r="F93" t="str">
            <v>PEOPLE SERVICES</v>
          </cell>
          <cell r="H93">
            <v>1</v>
          </cell>
          <cell r="J93" t="str">
            <v>Possible</v>
          </cell>
          <cell r="K93" t="str">
            <v>POM</v>
          </cell>
        </row>
        <row r="94">
          <cell r="A94">
            <v>44</v>
          </cell>
          <cell r="D94">
            <v>1</v>
          </cell>
          <cell r="F94" t="str">
            <v xml:space="preserve">RECORDKEEPING/PAYROLL </v>
          </cell>
          <cell r="H94" t="str">
            <v>Score</v>
          </cell>
          <cell r="J94" t="str">
            <v>Score</v>
          </cell>
          <cell r="K94" t="str">
            <v>POM</v>
          </cell>
        </row>
        <row r="95">
          <cell r="A95">
            <v>45</v>
          </cell>
          <cell r="B95" t="str">
            <v>a.</v>
          </cell>
          <cell r="D95">
            <v>1</v>
          </cell>
          <cell r="F95" t="str">
            <v>Are Emergency Preparedness Procedures written for action to be taken during failure of essential equipment and major utility services, and are they available to staff?  (SOPI: 300.9, JCAHO EC 1.6)</v>
          </cell>
          <cell r="H95">
            <v>1</v>
          </cell>
          <cell r="J95">
            <v>1</v>
          </cell>
          <cell r="K95" t="str">
            <v>POM</v>
          </cell>
        </row>
        <row r="96">
          <cell r="A96" t="str">
            <v>37.</v>
          </cell>
          <cell r="B96" t="str">
            <v>b.</v>
          </cell>
          <cell r="D96">
            <v>1</v>
          </cell>
          <cell r="F96" t="str">
            <v>Are Applicant Tracking Forms being used?</v>
          </cell>
          <cell r="H96">
            <v>1</v>
          </cell>
          <cell r="J96">
            <v>1</v>
          </cell>
          <cell r="K96" t="str">
            <v>POM</v>
          </cell>
        </row>
        <row r="97">
          <cell r="A97" t="str">
            <v>38.</v>
          </cell>
          <cell r="D97">
            <v>1</v>
          </cell>
          <cell r="F97" t="str">
            <v>Is there a recordkeeping system for tracking hours worked?</v>
          </cell>
          <cell r="H97">
            <v>1</v>
          </cell>
          <cell r="J97">
            <v>1</v>
          </cell>
          <cell r="K97" t="str">
            <v>POM</v>
          </cell>
        </row>
        <row r="98">
          <cell r="A98" t="str">
            <v>39.</v>
          </cell>
          <cell r="D98">
            <v>1</v>
          </cell>
          <cell r="F98" t="str">
            <v>When there are changes to the payroll record and/or schedules, are those changes initialed by the Manager and the employee?</v>
          </cell>
          <cell r="H98">
            <v>1</v>
          </cell>
          <cell r="J98">
            <v>1</v>
          </cell>
          <cell r="K98" t="str">
            <v>EdCust</v>
          </cell>
        </row>
        <row r="99">
          <cell r="A99" t="str">
            <v>40.</v>
          </cell>
          <cell r="D99">
            <v>1</v>
          </cell>
          <cell r="F99" t="str">
            <v>Are schedules posted timely and appropriately?</v>
          </cell>
          <cell r="H99">
            <v>1</v>
          </cell>
          <cell r="J99">
            <v>1</v>
          </cell>
          <cell r="K99" t="str">
            <v>EdCust</v>
          </cell>
        </row>
        <row r="100">
          <cell r="A100" t="str">
            <v>41.</v>
          </cell>
          <cell r="D100">
            <v>1</v>
          </cell>
          <cell r="F100" t="str">
            <v>Are time sheets/schedules and payroll records kept together by pay period?</v>
          </cell>
          <cell r="H100">
            <v>1</v>
          </cell>
          <cell r="J100">
            <v>1</v>
          </cell>
          <cell r="K100" t="str">
            <v>POM</v>
          </cell>
        </row>
        <row r="101">
          <cell r="A101" t="str">
            <v>42.</v>
          </cell>
          <cell r="D101">
            <v>1</v>
          </cell>
          <cell r="F101" t="str">
            <v>Are breaks given in accordance with state and federal laws?</v>
          </cell>
          <cell r="H101">
            <v>1</v>
          </cell>
          <cell r="J101">
            <v>1</v>
          </cell>
          <cell r="K101" t="str">
            <v>POM</v>
          </cell>
        </row>
        <row r="102">
          <cell r="A102" t="str">
            <v>43.</v>
          </cell>
          <cell r="D102">
            <v>1</v>
          </cell>
          <cell r="F102" t="str">
            <v>Is overtime pay pre-approved by Manager?</v>
          </cell>
          <cell r="H102">
            <v>1</v>
          </cell>
          <cell r="J102">
            <v>1</v>
          </cell>
          <cell r="K102" t="str">
            <v>POM</v>
          </cell>
        </row>
        <row r="103">
          <cell r="A103" t="str">
            <v>44.</v>
          </cell>
          <cell r="D103">
            <v>1</v>
          </cell>
          <cell r="F103" t="str">
            <v>Are records kept for overtime pay ? (Over 40 hours in a week?) (over 8 hours per day in CA &amp; NV)</v>
          </cell>
          <cell r="H103">
            <v>1</v>
          </cell>
          <cell r="J103">
            <v>1</v>
          </cell>
          <cell r="K103" t="str">
            <v>POM</v>
          </cell>
        </row>
        <row r="104">
          <cell r="A104" t="str">
            <v>45.</v>
          </cell>
          <cell r="D104">
            <v>1</v>
          </cell>
          <cell r="F104" t="str">
            <v>Are all payroll obligations met in accordance with Contractual Agreement? (If applicable)</v>
          </cell>
          <cell r="H104">
            <v>1</v>
          </cell>
          <cell r="J104">
            <v>1</v>
          </cell>
          <cell r="K104" t="str">
            <v>POM</v>
          </cell>
        </row>
        <row r="105">
          <cell r="A105" t="str">
            <v>46.</v>
          </cell>
          <cell r="D105">
            <v>1</v>
          </cell>
          <cell r="F105" t="str">
            <v>Are all applications kept on file for two years?</v>
          </cell>
          <cell r="H105">
            <v>1</v>
          </cell>
          <cell r="J105">
            <v>1</v>
          </cell>
          <cell r="K105" t="str">
            <v>POM</v>
          </cell>
        </row>
        <row r="106">
          <cell r="A106" t="str">
            <v>47.</v>
          </cell>
          <cell r="D106">
            <v>1</v>
          </cell>
          <cell r="F106" t="str">
            <v>Is payroll notified when an employee is out on worker's compensation as well as when they return to work?</v>
          </cell>
          <cell r="H106">
            <v>1</v>
          </cell>
          <cell r="J106">
            <v>1</v>
          </cell>
          <cell r="K106" t="str">
            <v>POM</v>
          </cell>
        </row>
        <row r="107">
          <cell r="A107">
            <v>54</v>
          </cell>
          <cell r="D107">
            <v>1</v>
          </cell>
          <cell r="F107" t="str">
            <v>PEOPLE SERVICES</v>
          </cell>
          <cell r="H107">
            <v>1</v>
          </cell>
          <cell r="J107" t="str">
            <v>Possible</v>
          </cell>
          <cell r="K107" t="str">
            <v>POM</v>
          </cell>
        </row>
        <row r="108">
          <cell r="A108">
            <v>55</v>
          </cell>
          <cell r="D108">
            <v>1</v>
          </cell>
          <cell r="F108" t="str">
            <v>SEPARATIONS</v>
          </cell>
          <cell r="H108" t="str">
            <v>Score</v>
          </cell>
          <cell r="J108" t="str">
            <v>Score</v>
          </cell>
          <cell r="K108" t="str">
            <v>POM</v>
          </cell>
        </row>
        <row r="109">
          <cell r="A109">
            <v>56</v>
          </cell>
          <cell r="D109">
            <v>1</v>
          </cell>
          <cell r="F109" t="str">
            <v>Is there a Fire Hazard Log? (OSHA 29 CFR 1910.38(b)(2))</v>
          </cell>
          <cell r="H109">
            <v>1</v>
          </cell>
          <cell r="J109">
            <v>1</v>
          </cell>
          <cell r="K109" t="str">
            <v>POM</v>
          </cell>
        </row>
        <row r="110">
          <cell r="A110" t="str">
            <v>48.</v>
          </cell>
          <cell r="D110">
            <v>1</v>
          </cell>
          <cell r="F110" t="str">
            <v>Are People Information Forms (PIF) completed at time of separation and forwarded to the People Information Department?</v>
          </cell>
          <cell r="H110">
            <v>1</v>
          </cell>
          <cell r="J110">
            <v>1</v>
          </cell>
          <cell r="K110" t="str">
            <v>POM</v>
          </cell>
        </row>
        <row r="111">
          <cell r="A111" t="str">
            <v>49.</v>
          </cell>
          <cell r="D111">
            <v>1</v>
          </cell>
          <cell r="F111" t="str">
            <v>Are final paychecks distributed according to Company Policy and/or Union Contract?</v>
          </cell>
          <cell r="H111">
            <v>1</v>
          </cell>
          <cell r="J111">
            <v>1</v>
          </cell>
          <cell r="K111" t="str">
            <v>POM</v>
          </cell>
        </row>
        <row r="112">
          <cell r="A112" t="str">
            <v>50.</v>
          </cell>
          <cell r="D112">
            <v>1</v>
          </cell>
          <cell r="F112" t="str">
            <v>Is all company-owned property returned at time of separation?</v>
          </cell>
          <cell r="H112">
            <v>1</v>
          </cell>
          <cell r="J112">
            <v>1</v>
          </cell>
          <cell r="K112" t="str">
            <v>POM</v>
          </cell>
        </row>
        <row r="113">
          <cell r="A113" t="str">
            <v>51.</v>
          </cell>
          <cell r="D113">
            <v>1</v>
          </cell>
          <cell r="F113" t="str">
            <v xml:space="preserve">Are all employees who resign asked to provide a resignation letter, and is that letter kept on file by the Facility Manager? </v>
          </cell>
          <cell r="H113">
            <v>1</v>
          </cell>
          <cell r="J113">
            <v>1</v>
          </cell>
          <cell r="K113" t="str">
            <v>POM</v>
          </cell>
        </row>
        <row r="114">
          <cell r="A114">
            <v>61</v>
          </cell>
          <cell r="D114">
            <v>1</v>
          </cell>
          <cell r="F114" t="str">
            <v>PEOPLE SERVICES</v>
          </cell>
          <cell r="H114">
            <v>1</v>
          </cell>
          <cell r="J114" t="str">
            <v>Possible</v>
          </cell>
          <cell r="K114" t="str">
            <v>POM</v>
          </cell>
        </row>
        <row r="115">
          <cell r="A115">
            <v>62</v>
          </cell>
          <cell r="D115">
            <v>1</v>
          </cell>
          <cell r="F115" t="str">
            <v>LABOR RELATIONS</v>
          </cell>
          <cell r="H115" t="str">
            <v>Score</v>
          </cell>
          <cell r="J115" t="str">
            <v>Score</v>
          </cell>
          <cell r="K115" t="str">
            <v>POM</v>
          </cell>
        </row>
        <row r="116">
          <cell r="A116" t="str">
            <v>52.</v>
          </cell>
          <cell r="D116">
            <v>1</v>
          </cell>
          <cell r="F116" t="str">
            <v xml:space="preserve">Are terminated employee files kept for seven years?  OSHA requires that the medical records and exposure records of employees to be kept for 30 years after termination,in some cases 40 years.  </v>
          </cell>
          <cell r="H116">
            <v>1</v>
          </cell>
          <cell r="J116">
            <v>1</v>
          </cell>
          <cell r="K116" t="str">
            <v>POM</v>
          </cell>
        </row>
        <row r="117">
          <cell r="A117">
            <v>64</v>
          </cell>
          <cell r="D117">
            <v>1</v>
          </cell>
          <cell r="F117" t="str">
            <v>If  you have Union Representation, please answer the following questions:</v>
          </cell>
          <cell r="H117">
            <v>1</v>
          </cell>
          <cell r="J117">
            <v>1</v>
          </cell>
          <cell r="K117" t="str">
            <v>POM</v>
          </cell>
        </row>
        <row r="118">
          <cell r="A118">
            <v>65</v>
          </cell>
          <cell r="D118">
            <v>1</v>
          </cell>
          <cell r="F118" t="str">
            <v>Are components of standpipe and hose systems visually inspected quarterly? (NFPA 25:3.2)</v>
          </cell>
          <cell r="H118">
            <v>1</v>
          </cell>
          <cell r="J118">
            <v>1</v>
          </cell>
          <cell r="K118" t="str">
            <v>POM</v>
          </cell>
        </row>
        <row r="119">
          <cell r="A119" t="str">
            <v>53.</v>
          </cell>
          <cell r="D119">
            <v>1</v>
          </cell>
          <cell r="F119" t="str">
            <v>Does Manager have a copy of contract, and are we in compliance with the contract?</v>
          </cell>
          <cell r="H119">
            <v>1</v>
          </cell>
          <cell r="J119">
            <v>1</v>
          </cell>
          <cell r="K119" t="str">
            <v>POM</v>
          </cell>
        </row>
        <row r="120">
          <cell r="A120" t="str">
            <v>54.</v>
          </cell>
          <cell r="D120">
            <v>1</v>
          </cell>
          <cell r="F120" t="str">
            <v>Are union dues being deducted? (if applicable)</v>
          </cell>
          <cell r="H120">
            <v>1</v>
          </cell>
          <cell r="J120">
            <v>1</v>
          </cell>
          <cell r="K120" t="str">
            <v>POM</v>
          </cell>
        </row>
        <row r="121">
          <cell r="A121" t="str">
            <v>55.</v>
          </cell>
          <cell r="D121">
            <v>1</v>
          </cell>
          <cell r="F121" t="str">
            <v>Are all grievances maintained and handled according to the union contract?</v>
          </cell>
          <cell r="H121">
            <v>1</v>
          </cell>
          <cell r="J121">
            <v>1</v>
          </cell>
          <cell r="K121" t="str">
            <v>POM</v>
          </cell>
        </row>
        <row r="122">
          <cell r="A122">
            <v>69</v>
          </cell>
          <cell r="D122">
            <v>1</v>
          </cell>
          <cell r="F122" t="str">
            <v>Are sprinkler control valve stems properly lubricated and tested (cycled) annually? (NFPA 25: 9-3.5)</v>
          </cell>
          <cell r="H122">
            <v>1</v>
          </cell>
          <cell r="J122">
            <v>1</v>
          </cell>
          <cell r="K122" t="str">
            <v>POM</v>
          </cell>
        </row>
        <row r="123">
          <cell r="A123">
            <v>70</v>
          </cell>
          <cell r="D123" t="str">
            <v/>
          </cell>
          <cell r="F123" t="str">
            <v xml:space="preserve">                                                                 Total People Services</v>
          </cell>
          <cell r="H123">
            <v>60</v>
          </cell>
          <cell r="J123">
            <v>60</v>
          </cell>
          <cell r="K123" t="str">
            <v>POM</v>
          </cell>
        </row>
        <row r="124">
          <cell r="A124">
            <v>71</v>
          </cell>
          <cell r="D124">
            <v>1</v>
          </cell>
          <cell r="F124" t="str">
            <v xml:space="preserve">                                                                  Percentage Implemented</v>
          </cell>
          <cell r="H124">
            <v>1</v>
          </cell>
          <cell r="J124">
            <v>1</v>
          </cell>
          <cell r="K124" t="str">
            <v>POM</v>
          </cell>
        </row>
        <row r="125">
          <cell r="A125">
            <v>72</v>
          </cell>
          <cell r="D125">
            <v>1</v>
          </cell>
          <cell r="F125" t="str">
            <v>Are at least six spare sprinkler heads and a sprinkler wrench maintained for each installed sprinkler system? (NFPA 13: 2-2.7)</v>
          </cell>
          <cell r="H125">
            <v>1</v>
          </cell>
          <cell r="J125">
            <v>1</v>
          </cell>
          <cell r="K125" t="str">
            <v>POM</v>
          </cell>
        </row>
        <row r="126">
          <cell r="A126">
            <v>73</v>
          </cell>
          <cell r="D126">
            <v>1</v>
          </cell>
          <cell r="F126" t="str">
            <v>Are all fire pumps tested annually under flow? (NFPA 25: 3-3.1 and JCAHO EC 2.12d2)</v>
          </cell>
          <cell r="H126">
            <v>1</v>
          </cell>
          <cell r="J126">
            <v>1</v>
          </cell>
          <cell r="K126" t="str">
            <v>POM</v>
          </cell>
        </row>
      </sheetData>
      <sheetData sheetId="6" refreshError="1">
        <row r="1">
          <cell r="F1" t="str">
            <v>ServiceMaster Management Services</v>
          </cell>
          <cell r="J1" t="str">
            <v/>
          </cell>
          <cell r="K1" t="str">
            <v/>
          </cell>
        </row>
        <row r="2">
          <cell r="A2" t="str">
            <v>Facility:</v>
          </cell>
          <cell r="B2" t="str">
            <v/>
          </cell>
          <cell r="C2" t="str">
            <v/>
          </cell>
          <cell r="F2" t="str">
            <v>Quality Performance Quotient</v>
          </cell>
          <cell r="G2" t="str">
            <v>Fac #:</v>
          </cell>
          <cell r="H2" t="str">
            <v/>
          </cell>
        </row>
        <row r="3">
          <cell r="A3" t="str">
            <v>Manager:</v>
          </cell>
          <cell r="C3" t="str">
            <v/>
          </cell>
          <cell r="F3">
            <v>2001</v>
          </cell>
        </row>
        <row r="4">
          <cell r="A4" t="str">
            <v>Date:</v>
          </cell>
          <cell r="C4" t="str">
            <v/>
          </cell>
          <cell r="F4" t="str">
            <v>Quality Performance Quotient</v>
          </cell>
          <cell r="G4" t="str">
            <v>DATE:</v>
          </cell>
          <cell r="H4" t="str">
            <v>DATE:</v>
          </cell>
          <cell r="I4" t="str">
            <v/>
          </cell>
          <cell r="J4" t="str">
            <v/>
          </cell>
        </row>
        <row r="5">
          <cell r="A5" t="str">
            <v>Evaluator:</v>
          </cell>
          <cell r="C5" t="str">
            <v/>
          </cell>
          <cell r="F5" t="str">
            <v>RISK</v>
          </cell>
          <cell r="G5" t="str">
            <v>Date:</v>
          </cell>
          <cell r="H5" t="str">
            <v>Score</v>
          </cell>
          <cell r="I5" t="str">
            <v/>
          </cell>
          <cell r="J5" t="str">
            <v>Possible</v>
          </cell>
        </row>
        <row r="6">
          <cell r="A6" t="str">
            <v>Title:</v>
          </cell>
          <cell r="C6" t="str">
            <v/>
          </cell>
          <cell r="F6" t="str">
            <v>ALL</v>
          </cell>
          <cell r="H6" t="str">
            <v>Score</v>
          </cell>
          <cell r="I6" t="str">
            <v/>
          </cell>
          <cell r="J6" t="str">
            <v>Score</v>
          </cell>
        </row>
        <row r="7">
          <cell r="A7">
            <v>1</v>
          </cell>
          <cell r="D7">
            <v>1</v>
          </cell>
          <cell r="F7" t="str">
            <v>Are team meetings held regularly and reported/documented at each Joint Review Meeting? (SOPI: 200.5)</v>
          </cell>
          <cell r="G7" t="str">
            <v>Score</v>
          </cell>
          <cell r="H7">
            <v>1</v>
          </cell>
          <cell r="I7" t="str">
            <v>Possible</v>
          </cell>
          <cell r="J7">
            <v>1</v>
          </cell>
          <cell r="K7" t="str">
            <v>All</v>
          </cell>
        </row>
        <row r="8">
          <cell r="A8">
            <v>1</v>
          </cell>
          <cell r="D8">
            <v>1</v>
          </cell>
          <cell r="F8" t="str">
            <v>Are all potential general liability claims reported to  SM Legal, One ServiceMaster Way IMMEDIATELY</v>
          </cell>
          <cell r="G8" t="str">
            <v>Score</v>
          </cell>
          <cell r="H8">
            <v>1</v>
          </cell>
          <cell r="I8" t="str">
            <v>Score</v>
          </cell>
          <cell r="J8">
            <v>1</v>
          </cell>
          <cell r="K8" t="str">
            <v>All</v>
          </cell>
        </row>
        <row r="9">
          <cell r="A9">
            <v>2</v>
          </cell>
          <cell r="C9">
            <v>1</v>
          </cell>
          <cell r="D9">
            <v>1</v>
          </cell>
          <cell r="F9" t="str">
            <v xml:space="preserve">Are all means of egress (exit paths), including corridors, stairways and landings, properly equipped with exit signs?  Are these signs continuously illuminated? (NFPA 101: 5-8.1.2, 5-10.3.1, SOC) </v>
          </cell>
          <cell r="G9">
            <v>1</v>
          </cell>
          <cell r="H9">
            <v>1</v>
          </cell>
          <cell r="I9">
            <v>1</v>
          </cell>
          <cell r="J9">
            <v>1</v>
          </cell>
          <cell r="K9" t="str">
            <v>All</v>
          </cell>
        </row>
        <row r="10">
          <cell r="A10">
            <v>3</v>
          </cell>
          <cell r="C10">
            <v>1</v>
          </cell>
          <cell r="D10">
            <v>1</v>
          </cell>
          <cell r="F10" t="str">
            <v>Are there properly equipped eye wash stations and emergency showers in place where there is a danger of chemical splashes?  (OSHA:  1910.151)</v>
          </cell>
          <cell r="G10">
            <v>1</v>
          </cell>
          <cell r="H10">
            <v>1</v>
          </cell>
          <cell r="I10">
            <v>1</v>
          </cell>
          <cell r="J10">
            <v>1</v>
          </cell>
          <cell r="K10" t="str">
            <v>All</v>
          </cell>
        </row>
        <row r="11">
          <cell r="A11">
            <v>4</v>
          </cell>
          <cell r="C11">
            <v>1</v>
          </cell>
          <cell r="D11">
            <v>1</v>
          </cell>
          <cell r="F11" t="str">
            <v>Are copies of recent inspections performed by regulatory agencies (i.e., fire dept., OSHA, local Fire Marshal etc.) on file?</v>
          </cell>
          <cell r="G11">
            <v>1</v>
          </cell>
          <cell r="H11">
            <v>1</v>
          </cell>
          <cell r="I11">
            <v>1</v>
          </cell>
          <cell r="J11">
            <v>1</v>
          </cell>
          <cell r="K11" t="str">
            <v>All</v>
          </cell>
        </row>
        <row r="12">
          <cell r="A12">
            <v>5</v>
          </cell>
          <cell r="C12">
            <v>1</v>
          </cell>
          <cell r="D12">
            <v>1</v>
          </cell>
          <cell r="F12" t="str">
            <v>Has a time schedule been developed to correct discrepancies from a recent inspection in a timely manner, and has the appropriate agency been notified in writing of any discrepancies?</v>
          </cell>
          <cell r="G12">
            <v>1</v>
          </cell>
          <cell r="H12">
            <v>1</v>
          </cell>
          <cell r="I12">
            <v>1</v>
          </cell>
          <cell r="J12">
            <v>1</v>
          </cell>
          <cell r="K12" t="str">
            <v>All</v>
          </cell>
        </row>
        <row r="13">
          <cell r="A13">
            <v>6</v>
          </cell>
          <cell r="B13" t="str">
            <v>a.</v>
          </cell>
          <cell r="C13">
            <v>1</v>
          </cell>
          <cell r="D13">
            <v>1</v>
          </cell>
          <cell r="F13" t="str">
            <v xml:space="preserve">Is the OSHA 200 log properly displayed in February? </v>
          </cell>
          <cell r="G13">
            <v>1</v>
          </cell>
          <cell r="H13">
            <v>1</v>
          </cell>
          <cell r="I13">
            <v>1</v>
          </cell>
          <cell r="J13">
            <v>1</v>
          </cell>
          <cell r="K13" t="str">
            <v>All</v>
          </cell>
        </row>
        <row r="14">
          <cell r="A14">
            <v>6</v>
          </cell>
          <cell r="B14" t="str">
            <v>b.</v>
          </cell>
          <cell r="C14">
            <v>1</v>
          </cell>
          <cell r="D14">
            <v>1</v>
          </cell>
          <cell r="F14" t="str">
            <v>Was prior year log sent to One ServiceMaster Way?</v>
          </cell>
          <cell r="G14">
            <v>1</v>
          </cell>
          <cell r="H14">
            <v>1</v>
          </cell>
          <cell r="I14">
            <v>1</v>
          </cell>
          <cell r="J14">
            <v>1</v>
          </cell>
          <cell r="K14" t="str">
            <v>All</v>
          </cell>
        </row>
        <row r="15">
          <cell r="A15">
            <v>6</v>
          </cell>
          <cell r="B15" t="str">
            <v>c.</v>
          </cell>
          <cell r="C15">
            <v>1</v>
          </cell>
          <cell r="D15">
            <v>1</v>
          </cell>
          <cell r="F15" t="str">
            <v>Are five years' worth of 200 logs kept on file at the facility?</v>
          </cell>
          <cell r="G15">
            <v>1</v>
          </cell>
          <cell r="H15">
            <v>1</v>
          </cell>
          <cell r="I15">
            <v>1</v>
          </cell>
          <cell r="J15">
            <v>1</v>
          </cell>
          <cell r="K15" t="str">
            <v>All</v>
          </cell>
        </row>
        <row r="16">
          <cell r="A16">
            <v>5</v>
          </cell>
          <cell r="C16">
            <v>1</v>
          </cell>
          <cell r="D16">
            <v>1</v>
          </cell>
          <cell r="F16" t="str">
            <v>Life Safety</v>
          </cell>
          <cell r="G16">
            <v>1</v>
          </cell>
          <cell r="H16">
            <v>1</v>
          </cell>
          <cell r="I16">
            <v>1</v>
          </cell>
          <cell r="J16">
            <v>1</v>
          </cell>
          <cell r="K16" t="str">
            <v>POM</v>
          </cell>
        </row>
        <row r="17">
          <cell r="A17">
            <v>7</v>
          </cell>
          <cell r="C17">
            <v>1</v>
          </cell>
          <cell r="D17">
            <v>1</v>
          </cell>
          <cell r="F17" t="str">
            <v xml:space="preserve">Are all flammable chemicals stored in a fire-resistant location? (NFPA 101.29, SOC)  </v>
          </cell>
          <cell r="G17">
            <v>1</v>
          </cell>
          <cell r="H17">
            <v>1</v>
          </cell>
          <cell r="I17">
            <v>1</v>
          </cell>
          <cell r="J17">
            <v>1</v>
          </cell>
          <cell r="K17" t="str">
            <v>All</v>
          </cell>
        </row>
        <row r="18">
          <cell r="A18">
            <v>8</v>
          </cell>
          <cell r="C18">
            <v>1</v>
          </cell>
          <cell r="D18">
            <v>1</v>
          </cell>
          <cell r="F18" t="str">
            <v>Is protective equipment for eyes, ears, and extremities furnished for appropriate personnel, and used where there is aprobability of injury? (eg. Chemical treatment stations, mechanical rooms, etc.) (OSHA 1910.133)</v>
          </cell>
          <cell r="G18">
            <v>1</v>
          </cell>
          <cell r="H18">
            <v>1</v>
          </cell>
          <cell r="I18">
            <v>1</v>
          </cell>
          <cell r="J18">
            <v>1</v>
          </cell>
          <cell r="K18" t="str">
            <v>All</v>
          </cell>
        </row>
        <row r="19">
          <cell r="A19">
            <v>9</v>
          </cell>
          <cell r="C19">
            <v>1</v>
          </cell>
          <cell r="D19">
            <v>1</v>
          </cell>
          <cell r="F19" t="str">
            <v>Have hazard warning signs (low clearance, etc.) been posed where necessary. (OSHA 1910.144-145.)</v>
          </cell>
          <cell r="G19">
            <v>1</v>
          </cell>
          <cell r="H19">
            <v>1</v>
          </cell>
          <cell r="I19">
            <v>1</v>
          </cell>
          <cell r="J19">
            <v>1</v>
          </cell>
          <cell r="K19" t="str">
            <v>All</v>
          </cell>
        </row>
        <row r="20">
          <cell r="A20">
            <v>10</v>
          </cell>
          <cell r="C20">
            <v>1</v>
          </cell>
          <cell r="D20">
            <v>1</v>
          </cell>
          <cell r="F20" t="str">
            <v>Does the manager know which Life Safety Codes apply to the various parts of the facility?</v>
          </cell>
          <cell r="G20">
            <v>1</v>
          </cell>
          <cell r="H20">
            <v>1</v>
          </cell>
          <cell r="I20">
            <v>1</v>
          </cell>
          <cell r="J20">
            <v>1</v>
          </cell>
          <cell r="K20" t="str">
            <v>All</v>
          </cell>
        </row>
        <row r="21">
          <cell r="A21">
            <v>11</v>
          </cell>
          <cell r="C21">
            <v>1</v>
          </cell>
          <cell r="D21">
            <v>1</v>
          </cell>
          <cell r="F21" t="str">
            <v>Is all usable space in exit enclosures, including under stairs and ramp open, clean, and not used for any pupose? (NFPA 101:5-1.3.2.3)</v>
          </cell>
          <cell r="G21">
            <v>1</v>
          </cell>
          <cell r="H21">
            <v>1</v>
          </cell>
          <cell r="I21">
            <v>1</v>
          </cell>
          <cell r="J21">
            <v>1</v>
          </cell>
          <cell r="K21" t="str">
            <v>All</v>
          </cell>
        </row>
        <row r="22">
          <cell r="A22">
            <v>12</v>
          </cell>
          <cell r="C22">
            <v>1</v>
          </cell>
          <cell r="D22">
            <v>1</v>
          </cell>
          <cell r="F22" t="str">
            <v>Is all fire protection equipment readily available and unobstructed? (NFPA 10: 1-6 app. E)</v>
          </cell>
          <cell r="G22">
            <v>1</v>
          </cell>
          <cell r="H22">
            <v>1</v>
          </cell>
          <cell r="I22">
            <v>1</v>
          </cell>
          <cell r="J22">
            <v>1</v>
          </cell>
          <cell r="K22" t="str">
            <v>All</v>
          </cell>
        </row>
        <row r="23">
          <cell r="A23">
            <v>13</v>
          </cell>
          <cell r="C23">
            <v>1</v>
          </cell>
          <cell r="D23">
            <v>1</v>
          </cell>
          <cell r="F23" t="str">
            <v>Are all fire drills conducted at required intervals and recorded on a Fire Drill Report or an appropriate form? (NFPA 101:10-ED &amp; 101:12-HC and JCAHO EC 2.10)</v>
          </cell>
          <cell r="G23">
            <v>1</v>
          </cell>
          <cell r="H23">
            <v>1</v>
          </cell>
          <cell r="I23">
            <v>1</v>
          </cell>
          <cell r="J23">
            <v>1</v>
          </cell>
          <cell r="K23" t="str">
            <v>All</v>
          </cell>
        </row>
        <row r="24">
          <cell r="A24">
            <v>14</v>
          </cell>
          <cell r="C24">
            <v>1</v>
          </cell>
          <cell r="D24">
            <v>1</v>
          </cell>
          <cell r="F24" t="str">
            <v>Are all chemicals stored in appropriate containers, in accordance with specific guidelines where such guidelines exist?  Are cleaning materials stored in rooms or spaces or cabinets that meet NFPA codes for storage of hazardous, flammable, or combustible.</v>
          </cell>
          <cell r="G24">
            <v>13</v>
          </cell>
          <cell r="H24">
            <v>1</v>
          </cell>
          <cell r="I24">
            <v>13</v>
          </cell>
          <cell r="J24">
            <v>1</v>
          </cell>
          <cell r="K24" t="str">
            <v>All</v>
          </cell>
        </row>
        <row r="25">
          <cell r="A25">
            <v>15</v>
          </cell>
          <cell r="D25">
            <v>1</v>
          </cell>
          <cell r="F25" t="str">
            <v>Does the manager know where the smoke and fire barriers are located?</v>
          </cell>
          <cell r="G25">
            <v>1</v>
          </cell>
          <cell r="H25">
            <v>1</v>
          </cell>
          <cell r="J25">
            <v>1</v>
          </cell>
          <cell r="K25" t="str">
            <v>All</v>
          </cell>
        </row>
        <row r="26">
          <cell r="A26">
            <v>16</v>
          </cell>
          <cell r="D26" t="str">
            <v/>
          </cell>
          <cell r="F26" t="str">
            <v>Hazardous Material Handling (SMSTK, OSHA 1910 Subpart H, EC 1.2.3)</v>
          </cell>
          <cell r="H26">
            <v>1</v>
          </cell>
          <cell r="J26">
            <v>1</v>
          </cell>
          <cell r="K26" t="str">
            <v>POM</v>
          </cell>
        </row>
        <row r="27">
          <cell r="A27">
            <v>16</v>
          </cell>
          <cell r="B27" t="str">
            <v>a.</v>
          </cell>
          <cell r="D27">
            <v>1</v>
          </cell>
          <cell r="F27" t="str">
            <v>Is the Hazardous Materials Checklist complete?  (SMSTK-201, EC 1.5)</v>
          </cell>
          <cell r="H27">
            <v>1</v>
          </cell>
          <cell r="J27">
            <v>1</v>
          </cell>
          <cell r="K27" t="str">
            <v>All</v>
          </cell>
        </row>
        <row r="28">
          <cell r="A28">
            <v>16</v>
          </cell>
          <cell r="B28" t="str">
            <v>b.</v>
          </cell>
          <cell r="D28">
            <v>1</v>
          </cell>
          <cell r="F28" t="str">
            <v>Is the Hazardous Materials Survey complete?  (SMSTK-202, EC 1.5)</v>
          </cell>
          <cell r="H28">
            <v>1</v>
          </cell>
          <cell r="J28">
            <v>1</v>
          </cell>
          <cell r="K28" t="str">
            <v>All</v>
          </cell>
        </row>
        <row r="29">
          <cell r="A29">
            <v>16</v>
          </cell>
          <cell r="B29" t="str">
            <v>c.</v>
          </cell>
          <cell r="D29">
            <v>1</v>
          </cell>
          <cell r="F29" t="str">
            <v>Is the Chemical Inventory complete, if applicable?  (SMSTK-203, EC 1.5)</v>
          </cell>
          <cell r="H29">
            <v>1</v>
          </cell>
          <cell r="J29">
            <v>1</v>
          </cell>
          <cell r="K29" t="str">
            <v>All</v>
          </cell>
        </row>
        <row r="30">
          <cell r="A30">
            <v>16</v>
          </cell>
          <cell r="B30" t="str">
            <v>d.</v>
          </cell>
          <cell r="D30">
            <v>1</v>
          </cell>
          <cell r="F30" t="str">
            <v>Is the EPA Hazardous Waste Inventory complete?  (SMSTK-204, EC 1.5)</v>
          </cell>
          <cell r="H30">
            <v>1</v>
          </cell>
          <cell r="J30">
            <v>1</v>
          </cell>
          <cell r="K30" t="str">
            <v>All</v>
          </cell>
        </row>
        <row r="31">
          <cell r="A31">
            <v>19</v>
          </cell>
          <cell r="D31">
            <v>1</v>
          </cell>
          <cell r="F31" t="str">
            <v>Is a Data Transfer being conducted at least biweekly?</v>
          </cell>
          <cell r="H31">
            <v>1</v>
          </cell>
          <cell r="J31">
            <v>1</v>
          </cell>
          <cell r="K31" t="str">
            <v>POM</v>
          </cell>
        </row>
        <row r="32">
          <cell r="A32">
            <v>20</v>
          </cell>
          <cell r="D32">
            <v>1</v>
          </cell>
          <cell r="F32" t="str">
            <v>Is the PM Text Auditor being used after each Data Transfer?  Verify by checking the PM Auditor to ensure all changes have been posted or, at least checked.</v>
          </cell>
          <cell r="H32">
            <v>1</v>
          </cell>
          <cell r="J32">
            <v>1</v>
          </cell>
          <cell r="K32" t="str">
            <v>POM</v>
          </cell>
        </row>
        <row r="33">
          <cell r="A33">
            <v>21</v>
          </cell>
          <cell r="D33">
            <v>1</v>
          </cell>
          <cell r="F33" t="str">
            <v>RISK</v>
          </cell>
          <cell r="H33">
            <v>1</v>
          </cell>
          <cell r="J33">
            <v>1</v>
          </cell>
          <cell r="K33" t="str">
            <v>POM</v>
          </cell>
        </row>
        <row r="34">
          <cell r="F34" t="str">
            <v>ALL (CONTINUED)</v>
          </cell>
        </row>
        <row r="35">
          <cell r="A35">
            <v>17</v>
          </cell>
          <cell r="F35" t="str">
            <v>Hazard Communication  (SMSTK, OSHA 1910.1200)</v>
          </cell>
          <cell r="H35">
            <v>19</v>
          </cell>
          <cell r="J35">
            <v>19</v>
          </cell>
        </row>
        <row r="36">
          <cell r="A36">
            <v>17</v>
          </cell>
          <cell r="B36" t="str">
            <v>a.</v>
          </cell>
          <cell r="D36">
            <v>1</v>
          </cell>
          <cell r="F36" t="str">
            <v>Is the Hazard Communication Written Program complete?  (SMSTK-301)</v>
          </cell>
          <cell r="H36">
            <v>1</v>
          </cell>
          <cell r="J36">
            <v>1</v>
          </cell>
          <cell r="K36" t="str">
            <v>All</v>
          </cell>
        </row>
        <row r="37">
          <cell r="A37">
            <v>17</v>
          </cell>
          <cell r="B37" t="str">
            <v>b.</v>
          </cell>
          <cell r="D37">
            <v>1</v>
          </cell>
          <cell r="F37" t="str">
            <v>Is the Hazardous Communication Document complete for subcontractors who work around ServiceMaster or facility chemicals?   (SMSTK-302)  Are all MSDS current?</v>
          </cell>
          <cell r="H37">
            <v>1</v>
          </cell>
          <cell r="J37">
            <v>1</v>
          </cell>
          <cell r="K37" t="str">
            <v>All</v>
          </cell>
        </row>
        <row r="38">
          <cell r="A38">
            <v>18</v>
          </cell>
          <cell r="D38">
            <v>1</v>
          </cell>
          <cell r="F38" t="str">
            <v>Is the Hazardous Chemical List complete for non-ServiceMaster chemicals stored at the facility?  (SMSTK-304)</v>
          </cell>
          <cell r="H38">
            <v>1</v>
          </cell>
          <cell r="J38">
            <v>1</v>
          </cell>
          <cell r="K38" t="str">
            <v>All</v>
          </cell>
        </row>
        <row r="39">
          <cell r="D39" t="str">
            <v/>
          </cell>
          <cell r="F39" t="str">
            <v>RISK-ALL</v>
          </cell>
          <cell r="J39" t="str">
            <v>Score</v>
          </cell>
        </row>
        <row r="40">
          <cell r="F40" t="str">
            <v>CONTINUED</v>
          </cell>
        </row>
        <row r="41">
          <cell r="A41">
            <v>19</v>
          </cell>
          <cell r="D41" t="str">
            <v/>
          </cell>
          <cell r="F41" t="str">
            <v>Lock Out / Tag Out   (SMSTK, OSHA 1910.147,  SOPI 300.20)</v>
          </cell>
        </row>
        <row r="42">
          <cell r="A42">
            <v>19</v>
          </cell>
          <cell r="B42" t="str">
            <v>a.</v>
          </cell>
          <cell r="D42">
            <v>1</v>
          </cell>
          <cell r="F42" t="str">
            <v>Is the Lock Out/Tag Out Compliance Checklist complete?  (SMSTK-401)</v>
          </cell>
          <cell r="H42">
            <v>1</v>
          </cell>
          <cell r="J42">
            <v>1</v>
          </cell>
          <cell r="K42" t="str">
            <v>All</v>
          </cell>
        </row>
        <row r="43">
          <cell r="A43">
            <v>19</v>
          </cell>
          <cell r="B43" t="str">
            <v>b.</v>
          </cell>
          <cell r="D43">
            <v>1</v>
          </cell>
          <cell r="F43" t="str">
            <v>Is the Powered Equipment Inventory complete?  (SMSTK-403)  Is there documented shutdown and startup procedures?</v>
          </cell>
          <cell r="H43">
            <v>1</v>
          </cell>
          <cell r="J43">
            <v>1</v>
          </cell>
          <cell r="K43" t="str">
            <v>All</v>
          </cell>
        </row>
        <row r="44">
          <cell r="A44">
            <v>20</v>
          </cell>
          <cell r="B44" t="str">
            <v>b.</v>
          </cell>
          <cell r="D44" t="str">
            <v/>
          </cell>
          <cell r="F44" t="str">
            <v>Personal Protective Equipment (SMSTK, OSHA 1910.132)</v>
          </cell>
          <cell r="H44">
            <v>1</v>
          </cell>
          <cell r="J44">
            <v>1</v>
          </cell>
          <cell r="K44" t="str">
            <v>Cust</v>
          </cell>
        </row>
        <row r="45">
          <cell r="A45">
            <v>20</v>
          </cell>
          <cell r="B45" t="str">
            <v>a.</v>
          </cell>
          <cell r="D45">
            <v>1</v>
          </cell>
          <cell r="F45" t="str">
            <v>Are work areas'  inventories listed and matched with Hazard Assessment form?  (SMSTK-501)</v>
          </cell>
          <cell r="H45">
            <v>1</v>
          </cell>
          <cell r="J45">
            <v>1</v>
          </cell>
          <cell r="K45" t="str">
            <v>All</v>
          </cell>
        </row>
        <row r="46">
          <cell r="A46">
            <v>20</v>
          </cell>
          <cell r="B46" t="str">
            <v>b.</v>
          </cell>
          <cell r="D46">
            <v>1</v>
          </cell>
          <cell r="F46" t="str">
            <v>Is PPE Hazard Assessment complete and reviewed annually?</v>
          </cell>
          <cell r="H46">
            <v>1</v>
          </cell>
          <cell r="J46">
            <v>1</v>
          </cell>
          <cell r="K46" t="str">
            <v>All</v>
          </cell>
        </row>
        <row r="47">
          <cell r="A47">
            <v>21</v>
          </cell>
          <cell r="B47" t="str">
            <v>b.</v>
          </cell>
          <cell r="D47">
            <v>1</v>
          </cell>
          <cell r="F47" t="str">
            <v>Bloodborne Pathogens (SMSTK, OSHA 1910.1030, SOPI 600.14)</v>
          </cell>
          <cell r="H47">
            <v>1</v>
          </cell>
          <cell r="J47">
            <v>1</v>
          </cell>
        </row>
        <row r="48">
          <cell r="A48">
            <v>21</v>
          </cell>
          <cell r="B48" t="str">
            <v>a</v>
          </cell>
          <cell r="D48">
            <v>1</v>
          </cell>
          <cell r="F48" t="str">
            <v>Is the Exposure Control Plan complete?  (SMSTK-601)  Is there a procedure in place to disinfect contaminated equipment?</v>
          </cell>
          <cell r="H48">
            <v>1</v>
          </cell>
          <cell r="J48">
            <v>1</v>
          </cell>
          <cell r="K48" t="str">
            <v>All</v>
          </cell>
        </row>
        <row r="49">
          <cell r="A49">
            <v>21</v>
          </cell>
          <cell r="B49" t="str">
            <v>b.</v>
          </cell>
          <cell r="D49">
            <v>1</v>
          </cell>
          <cell r="F49" t="str">
            <v>Is the Job Classification of ALL Employees Having Exposure to Bloodborne Pathogens completed by job title?  (SMSTK-602)</v>
          </cell>
          <cell r="H49">
            <v>1</v>
          </cell>
          <cell r="J49">
            <v>1</v>
          </cell>
          <cell r="K49" t="str">
            <v>All</v>
          </cell>
        </row>
        <row r="50">
          <cell r="A50">
            <v>21</v>
          </cell>
          <cell r="B50" t="str">
            <v>c.</v>
          </cell>
          <cell r="D50">
            <v>1</v>
          </cell>
          <cell r="F50" t="str">
            <v>Is the Job Classification for SOME Employees Having Exposure to Bloodborne Pathogens completed by job title?  (SMSTK-603)</v>
          </cell>
          <cell r="H50">
            <v>1</v>
          </cell>
          <cell r="J50">
            <v>1</v>
          </cell>
          <cell r="K50" t="str">
            <v>All</v>
          </cell>
        </row>
        <row r="51">
          <cell r="A51">
            <v>26</v>
          </cell>
          <cell r="B51" t="str">
            <v>f.</v>
          </cell>
          <cell r="D51" t="str">
            <v/>
          </cell>
          <cell r="F51" t="str">
            <v>Check to see if Manager has reported any exposure incidents. If so:</v>
          </cell>
          <cell r="H51">
            <v>1</v>
          </cell>
          <cell r="J51">
            <v>1</v>
          </cell>
          <cell r="K51" t="str">
            <v>Cust</v>
          </cell>
        </row>
        <row r="52">
          <cell r="A52">
            <v>21</v>
          </cell>
          <cell r="B52" t="str">
            <v>d.</v>
          </cell>
          <cell r="D52">
            <v>1</v>
          </cell>
          <cell r="F52" t="str">
            <v>Has each exposure incident been called into OSW Claims or SM Legal?</v>
          </cell>
          <cell r="H52">
            <v>1</v>
          </cell>
          <cell r="J52">
            <v>1</v>
          </cell>
          <cell r="K52" t="str">
            <v>All</v>
          </cell>
        </row>
        <row r="53">
          <cell r="A53">
            <v>22</v>
          </cell>
          <cell r="B53" t="str">
            <v>h.</v>
          </cell>
          <cell r="D53">
            <v>1</v>
          </cell>
          <cell r="F53" t="str">
            <v>Asbestos Awareness  (SMSTK, OSHA, AHERA)</v>
          </cell>
          <cell r="H53">
            <v>1</v>
          </cell>
          <cell r="J53">
            <v>1</v>
          </cell>
        </row>
        <row r="54">
          <cell r="A54">
            <v>22</v>
          </cell>
          <cell r="B54" t="str">
            <v>a.</v>
          </cell>
          <cell r="D54">
            <v>1</v>
          </cell>
          <cell r="F54" t="str">
            <v>Has the Asbestos Notification Checklist been filled out. (SMSTK-702)</v>
          </cell>
          <cell r="H54">
            <v>1</v>
          </cell>
          <cell r="J54">
            <v>1</v>
          </cell>
          <cell r="K54" t="str">
            <v>All</v>
          </cell>
        </row>
        <row r="55">
          <cell r="A55">
            <v>22</v>
          </cell>
          <cell r="B55" t="str">
            <v>b.</v>
          </cell>
          <cell r="D55">
            <v>1</v>
          </cell>
          <cell r="F55" t="str">
            <v>Has Asbestos-Containing Material been identified, labeled, and recorded?  (SMSTK-703)</v>
          </cell>
          <cell r="H55">
            <v>1</v>
          </cell>
          <cell r="J55">
            <v>1</v>
          </cell>
          <cell r="K55" t="str">
            <v>All</v>
          </cell>
        </row>
        <row r="56">
          <cell r="A56">
            <v>22</v>
          </cell>
          <cell r="B56" t="str">
            <v>c.</v>
          </cell>
          <cell r="D56">
            <v>1</v>
          </cell>
          <cell r="F56" t="str">
            <v>Is the Asbestos Awareness training logged on the Scheduling and Attendance Form and are copies sent to the appropriate personnel?  (SMSTK-704)</v>
          </cell>
          <cell r="H56">
            <v>1</v>
          </cell>
          <cell r="J56">
            <v>1</v>
          </cell>
          <cell r="K56" t="str">
            <v>All</v>
          </cell>
        </row>
        <row r="57">
          <cell r="A57">
            <v>22</v>
          </cell>
          <cell r="B57" t="str">
            <v>d.</v>
          </cell>
          <cell r="D57">
            <v>1</v>
          </cell>
          <cell r="F57" t="str">
            <v>Is each ServiceMaster supervised employee’s individual Asbestos Awareness training sheet filled out to reflect actual training received and signed?  (SMSTK-705)</v>
          </cell>
          <cell r="H57">
            <v>1</v>
          </cell>
          <cell r="J57">
            <v>1</v>
          </cell>
          <cell r="K57" t="str">
            <v>All</v>
          </cell>
        </row>
        <row r="58">
          <cell r="A58">
            <v>23</v>
          </cell>
          <cell r="B58" t="str">
            <v>m.</v>
          </cell>
          <cell r="D58">
            <v>1</v>
          </cell>
          <cell r="F58" t="str">
            <v>Respiratory Protection (SMSTK, OSHA 1910.134)</v>
          </cell>
          <cell r="H58">
            <v>1</v>
          </cell>
          <cell r="J58">
            <v>1</v>
          </cell>
          <cell r="K58" t="str">
            <v>Cust</v>
          </cell>
        </row>
        <row r="59">
          <cell r="A59">
            <v>23</v>
          </cell>
          <cell r="B59" t="str">
            <v>a.</v>
          </cell>
          <cell r="D59">
            <v>1</v>
          </cell>
          <cell r="F59" t="str">
            <v xml:space="preserve">Is a "Respirator Protection" written program required?  If so, is it complete? (SMSTK-900).  </v>
          </cell>
          <cell r="H59">
            <v>1</v>
          </cell>
          <cell r="J59">
            <v>1</v>
          </cell>
          <cell r="K59" t="str">
            <v>All</v>
          </cell>
        </row>
        <row r="60">
          <cell r="A60">
            <v>23</v>
          </cell>
          <cell r="B60" t="str">
            <v>b.</v>
          </cell>
          <cell r="D60">
            <v>1</v>
          </cell>
          <cell r="F60" t="str">
            <v>Have "Exposure Assessment" forms been completed? (SMSTK-902).</v>
          </cell>
          <cell r="H60">
            <v>1</v>
          </cell>
          <cell r="J60">
            <v>1</v>
          </cell>
          <cell r="K60" t="str">
            <v>All</v>
          </cell>
        </row>
        <row r="61">
          <cell r="A61">
            <v>23</v>
          </cell>
          <cell r="B61" t="str">
            <v>c.</v>
          </cell>
          <cell r="D61">
            <v>1</v>
          </cell>
          <cell r="F61" t="str">
            <v>If respirators are required, has the fit test and evaluation checklist been completed?  (SMSTK-903).</v>
          </cell>
          <cell r="H61">
            <v>1</v>
          </cell>
          <cell r="J61">
            <v>1</v>
          </cell>
          <cell r="K61" t="str">
            <v>All</v>
          </cell>
        </row>
        <row r="62">
          <cell r="A62">
            <v>23</v>
          </cell>
          <cell r="B62" t="str">
            <v>d.</v>
          </cell>
          <cell r="D62">
            <v>1</v>
          </cell>
          <cell r="F62" t="str">
            <v>If  respirators are required, is there documentation of medical evaluations for the users of respirators? (SMSTK-905)  If respirators are being worn voluntarily, has Appendix D been given to those users?  Does the documentation indicate new technology con</v>
          </cell>
          <cell r="H62">
            <v>1</v>
          </cell>
          <cell r="J62">
            <v>1</v>
          </cell>
          <cell r="K62" t="str">
            <v>All</v>
          </cell>
        </row>
        <row r="63">
          <cell r="A63">
            <v>24</v>
          </cell>
          <cell r="B63" t="str">
            <v>d.</v>
          </cell>
          <cell r="D63">
            <v>1</v>
          </cell>
          <cell r="F63" t="str">
            <v>Is the written TB Plan complete? (SMSTK 1000 &amp; 1004)(All Facilities)</v>
          </cell>
          <cell r="H63">
            <v>1</v>
          </cell>
          <cell r="J63">
            <v>1</v>
          </cell>
          <cell r="K63" t="str">
            <v>All</v>
          </cell>
        </row>
        <row r="64">
          <cell r="A64">
            <v>37</v>
          </cell>
          <cell r="D64" t="str">
            <v/>
          </cell>
          <cell r="F64" t="str">
            <v>Confined Space Entry (SMSTK, OSHA 1910.146)</v>
          </cell>
          <cell r="H64">
            <v>1</v>
          </cell>
          <cell r="J64">
            <v>1</v>
          </cell>
          <cell r="K64" t="str">
            <v>Cust</v>
          </cell>
        </row>
        <row r="65">
          <cell r="A65">
            <v>25</v>
          </cell>
          <cell r="D65">
            <v>1</v>
          </cell>
          <cell r="F65" t="str">
            <v>Is the "Permit-Required Confined Space Program" complete? (SMSTK-800)</v>
          </cell>
          <cell r="H65">
            <v>1</v>
          </cell>
          <cell r="J65">
            <v>1</v>
          </cell>
          <cell r="K65" t="str">
            <v>All</v>
          </cell>
        </row>
        <row r="66">
          <cell r="A66">
            <v>39</v>
          </cell>
          <cell r="D66" t="str">
            <v/>
          </cell>
          <cell r="F66" t="str">
            <v>Are trash containers clean, and if applicable, lined and covered?</v>
          </cell>
          <cell r="H66">
            <v>1</v>
          </cell>
          <cell r="J66">
            <v>1</v>
          </cell>
          <cell r="K66" t="str">
            <v>Cust</v>
          </cell>
        </row>
        <row r="67">
          <cell r="A67">
            <v>40</v>
          </cell>
          <cell r="D67">
            <v>1</v>
          </cell>
          <cell r="F67" t="str">
            <v xml:space="preserve">                                                                    Total Risk - All</v>
          </cell>
          <cell r="H67">
            <v>42</v>
          </cell>
          <cell r="J67">
            <v>42</v>
          </cell>
          <cell r="K67" t="str">
            <v>Cust</v>
          </cell>
        </row>
        <row r="68">
          <cell r="A68">
            <v>41</v>
          </cell>
          <cell r="D68">
            <v>1</v>
          </cell>
          <cell r="F68" t="str">
            <v xml:space="preserve">                                                                    Percentage Implemented</v>
          </cell>
          <cell r="H68">
            <v>1</v>
          </cell>
          <cell r="J68">
            <v>1</v>
          </cell>
          <cell r="K68" t="str">
            <v>Cust</v>
          </cell>
        </row>
        <row r="69">
          <cell r="A69">
            <v>42</v>
          </cell>
          <cell r="D69">
            <v>1</v>
          </cell>
          <cell r="F69" t="str">
            <v>Are carts clean, orderly and adequately stocked?</v>
          </cell>
          <cell r="H69">
            <v>1</v>
          </cell>
          <cell r="J69">
            <v>1</v>
          </cell>
          <cell r="K69" t="str">
            <v>Cust</v>
          </cell>
        </row>
        <row r="70">
          <cell r="A70">
            <v>43</v>
          </cell>
          <cell r="D70">
            <v>1</v>
          </cell>
          <cell r="F70" t="str">
            <v>RISK</v>
          </cell>
          <cell r="H70">
            <v>1</v>
          </cell>
          <cell r="J70" t="str">
            <v>Possible</v>
          </cell>
          <cell r="K70" t="str">
            <v>Cust</v>
          </cell>
        </row>
        <row r="71">
          <cell r="A71">
            <v>44</v>
          </cell>
          <cell r="D71">
            <v>1</v>
          </cell>
          <cell r="F71" t="str">
            <v>POM</v>
          </cell>
          <cell r="H71" t="str">
            <v>Score</v>
          </cell>
          <cell r="I71" t="str">
            <v/>
          </cell>
          <cell r="J71" t="str">
            <v>Score</v>
          </cell>
          <cell r="K71" t="str">
            <v>Cust</v>
          </cell>
        </row>
        <row r="72">
          <cell r="A72">
            <v>26</v>
          </cell>
          <cell r="D72">
            <v>1</v>
          </cell>
          <cell r="F72" t="str">
            <v>Are elevated work/fall protection procedures written, training held annually, and are these procedures being used properly? (SPOI 600.2, 200.6 &amp; 600.2, OSHA 1901 sub par D, F)</v>
          </cell>
          <cell r="H72">
            <v>1</v>
          </cell>
          <cell r="J72">
            <v>1</v>
          </cell>
          <cell r="K72" t="str">
            <v>POM</v>
          </cell>
        </row>
        <row r="73">
          <cell r="A73">
            <v>27</v>
          </cell>
          <cell r="D73">
            <v>1</v>
          </cell>
          <cell r="F73" t="str">
            <v>Are all initiating devices (pull box stations, heat/smoke detectors, etc.) numbered and inventoried? (Check Tags)  (JCAHO SOC,  NFPA 10: 4-1, 4-3.1,  4-4, 4-4.3,  OSHA:  1910.157, E2)</v>
          </cell>
          <cell r="H73">
            <v>1</v>
          </cell>
          <cell r="J73">
            <v>1</v>
          </cell>
          <cell r="K73" t="str">
            <v>POM</v>
          </cell>
        </row>
        <row r="74">
          <cell r="A74" t="str">
            <v>26.</v>
          </cell>
          <cell r="D74">
            <v>1</v>
          </cell>
          <cell r="F74" t="str">
            <v>RISK</v>
          </cell>
          <cell r="H74">
            <v>1</v>
          </cell>
          <cell r="J74">
            <v>1</v>
          </cell>
        </row>
        <row r="75">
          <cell r="A75" t="str">
            <v>27.</v>
          </cell>
          <cell r="D75">
            <v>1</v>
          </cell>
          <cell r="F75" t="str">
            <v>POM (CONTINUED)</v>
          </cell>
          <cell r="H75">
            <v>1</v>
          </cell>
          <cell r="J75">
            <v>1</v>
          </cell>
        </row>
        <row r="76">
          <cell r="A76">
            <v>28</v>
          </cell>
          <cell r="B76" t="str">
            <v>a.</v>
          </cell>
          <cell r="D76">
            <v>1</v>
          </cell>
          <cell r="F76" t="str">
            <v>Are fire alarm pull box stations inspected annually and in working order? (ADM.:  P400.16A, SOPI:  600.1)</v>
          </cell>
          <cell r="H76">
            <v>1</v>
          </cell>
          <cell r="J76">
            <v>1</v>
          </cell>
          <cell r="K76" t="str">
            <v>POM</v>
          </cell>
        </row>
        <row r="77">
          <cell r="A77">
            <v>28</v>
          </cell>
          <cell r="B77" t="str">
            <v>b.</v>
          </cell>
          <cell r="D77">
            <v>1</v>
          </cell>
          <cell r="F77" t="str">
            <v>Are fire alarm pull box stations &amp; automatic heat/smoke detectors inspected annually and in working order? (NFPA 72:3, JCAHO 2.12a3)</v>
          </cell>
          <cell r="H77">
            <v>1</v>
          </cell>
          <cell r="J77">
            <v>1</v>
          </cell>
          <cell r="K77" t="str">
            <v>POM</v>
          </cell>
        </row>
        <row r="78">
          <cell r="A78">
            <v>29</v>
          </cell>
          <cell r="D78">
            <v>1</v>
          </cell>
          <cell r="F78" t="str">
            <v>Are fire alarm pull box stations tested at intervals of no more than 12 months?  Is at least one interface device on each circuit/zone tested monthly?  (NFPA 72: 2-5.2.2;  CPC: 103;  OSHA 1910.165d2, JCAHO EC 2.12a3.)</v>
          </cell>
          <cell r="H78">
            <v>1</v>
          </cell>
          <cell r="J78">
            <v>1</v>
          </cell>
          <cell r="K78" t="str">
            <v>POM</v>
          </cell>
        </row>
        <row r="79">
          <cell r="A79">
            <v>30</v>
          </cell>
          <cell r="D79">
            <v>1</v>
          </cell>
          <cell r="F79" t="str">
            <v>Are all smoke detectors visually inspected at least semi-annually and TESTED annually?  (NFPA 72E:  8-3.2, JCAHO EC 2.12a3)</v>
          </cell>
          <cell r="H79">
            <v>1</v>
          </cell>
          <cell r="J79">
            <v>1</v>
          </cell>
          <cell r="K79" t="str">
            <v>POM</v>
          </cell>
        </row>
        <row r="80">
          <cell r="A80">
            <v>31</v>
          </cell>
          <cell r="B80" t="str">
            <v>a.</v>
          </cell>
          <cell r="D80">
            <v>1</v>
          </cell>
          <cell r="F80" t="str">
            <v xml:space="preserve">Is there documentation of annual test results on air duct smoke detectors?  (NFPA 72E: 8-3.4.3)  </v>
          </cell>
          <cell r="H80">
            <v>1</v>
          </cell>
          <cell r="J80">
            <v>1</v>
          </cell>
          <cell r="K80" t="str">
            <v>POM</v>
          </cell>
        </row>
        <row r="81">
          <cell r="A81">
            <v>32</v>
          </cell>
          <cell r="B81" t="str">
            <v>b.</v>
          </cell>
          <cell r="D81">
            <v>1</v>
          </cell>
          <cell r="F81" t="str">
            <v>Are all smoke dampers inspected bi-annually?  (NFPA 90A: appendix B-2)</v>
          </cell>
          <cell r="H81">
            <v>1</v>
          </cell>
          <cell r="J81">
            <v>1</v>
          </cell>
          <cell r="K81" t="str">
            <v>POM</v>
          </cell>
        </row>
        <row r="82">
          <cell r="A82">
            <v>33</v>
          </cell>
          <cell r="B82" t="str">
            <v>c.</v>
          </cell>
          <cell r="D82">
            <v>1</v>
          </cell>
          <cell r="F82" t="str">
            <v xml:space="preserve">Is at least one restorable heat detector in each circuit/zone tested semi-annually by properly trained personnel or by a fire protection service in accordance with the manufacturer’s instructions?  </v>
          </cell>
          <cell r="H82">
            <v>1</v>
          </cell>
          <cell r="J82">
            <v>1</v>
          </cell>
          <cell r="K82" t="str">
            <v>POM</v>
          </cell>
        </row>
        <row r="83">
          <cell r="A83">
            <v>34</v>
          </cell>
          <cell r="D83">
            <v>2</v>
          </cell>
          <cell r="F83" t="str">
            <v>(For non-restorable heat detectors over 15 years old, follow testing guidelines in NFPA 72E).  (NFPA 72E: 8-3.2, 8-3.3.1)</v>
          </cell>
          <cell r="H83" t="str">
            <v>N/A</v>
          </cell>
          <cell r="J83">
            <v>0</v>
          </cell>
          <cell r="K83" t="str">
            <v>EdCust</v>
          </cell>
        </row>
        <row r="84">
          <cell r="A84">
            <v>35</v>
          </cell>
          <cell r="D84">
            <v>1</v>
          </cell>
          <cell r="F84" t="str">
            <v>Is there annual comprehensive preventive maintenance performed on all components of the fire alarm and fire detection system by a qualified fire system professional?  (NFPA 72E: 8-1, JCAHO EC 2.12)</v>
          </cell>
          <cell r="H84">
            <v>1</v>
          </cell>
          <cell r="J84">
            <v>1</v>
          </cell>
          <cell r="K84" t="str">
            <v>POM</v>
          </cell>
        </row>
        <row r="85">
          <cell r="A85">
            <v>36</v>
          </cell>
          <cell r="D85">
            <v>1</v>
          </cell>
          <cell r="F85" t="str">
            <v xml:space="preserve">Are fire extinguishing systems that protect exhaust hoods, grease removal devices and ducts for commercial cooking ranges and deep fryers inspected by properly trained and qualified individuals at least every six months?  </v>
          </cell>
          <cell r="H85">
            <v>1</v>
          </cell>
          <cell r="J85">
            <v>1</v>
          </cell>
          <cell r="K85" t="str">
            <v>POM</v>
          </cell>
        </row>
        <row r="86">
          <cell r="A86" t="str">
            <v>31.</v>
          </cell>
          <cell r="D86">
            <v>1</v>
          </cell>
          <cell r="F86" t="str">
            <v>(Check tags)  (NFPA 96: 8-2.1)  Verify that the kitchen food (grease removal) system needs to be cleaned with non-solvent based products.  (NFPA 96:8-3.2)</v>
          </cell>
          <cell r="H86">
            <v>1</v>
          </cell>
          <cell r="J86">
            <v>1</v>
          </cell>
        </row>
        <row r="87">
          <cell r="A87">
            <v>37</v>
          </cell>
          <cell r="D87">
            <v>1</v>
          </cell>
          <cell r="F87" t="str">
            <v>Are doors that are neither an exit nor an exit access, but likely to be mistaken for an exit, identified by a sign reading “NO EXIT”?  (NFPA 101:5-10.4.2, JCAHO SOC)</v>
          </cell>
          <cell r="H87">
            <v>1</v>
          </cell>
          <cell r="J87">
            <v>1</v>
          </cell>
          <cell r="K87" t="str">
            <v>POM</v>
          </cell>
        </row>
        <row r="88">
          <cell r="A88">
            <v>38</v>
          </cell>
          <cell r="D88">
            <v>1</v>
          </cell>
          <cell r="F88" t="str">
            <v xml:space="preserve">Are doors in an exit path that are designed to be closed during a fire, equipped with approved devices to close these doors, as required?     (NFPA 101: 5-2.1.8, JCAHO SOC) </v>
          </cell>
          <cell r="H88">
            <v>1</v>
          </cell>
          <cell r="J88">
            <v>1</v>
          </cell>
          <cell r="K88" t="str">
            <v>POM</v>
          </cell>
        </row>
        <row r="89">
          <cell r="A89">
            <v>39</v>
          </cell>
          <cell r="D89">
            <v>1</v>
          </cell>
          <cell r="F89" t="str">
            <v>Are non-potable water outlets &amp; piping clearly labeled to indicate “NOT FOR HUMAN CONSUMPTION”?  (OSHA 1910.141b2)</v>
          </cell>
          <cell r="H89">
            <v>1</v>
          </cell>
          <cell r="J89">
            <v>1</v>
          </cell>
          <cell r="K89" t="str">
            <v>POM</v>
          </cell>
        </row>
        <row r="90">
          <cell r="A90">
            <v>40</v>
          </cell>
          <cell r="D90">
            <v>1</v>
          </cell>
          <cell r="F90" t="str">
            <v>Are enclosures containing exposed live parts operating at greater than 50 volts nominal, kept locked with conspicuous warning signs?  (NFPA 70:  110.27)</v>
          </cell>
          <cell r="H90">
            <v>1</v>
          </cell>
          <cell r="J90">
            <v>1</v>
          </cell>
          <cell r="K90" t="str">
            <v>POM</v>
          </cell>
        </row>
        <row r="91">
          <cell r="A91">
            <v>41</v>
          </cell>
          <cell r="D91">
            <v>1</v>
          </cell>
          <cell r="F91" t="str">
            <v>Where compressed air is used for cleaning, is the pressure regulated to 30 psi or less, and is the air source fitted with a chip guard?  (OSHA:  1910.242, SOPI 600.7)</v>
          </cell>
          <cell r="H91">
            <v>1</v>
          </cell>
          <cell r="J91">
            <v>1</v>
          </cell>
          <cell r="K91" t="str">
            <v>POM</v>
          </cell>
        </row>
        <row r="92">
          <cell r="A92">
            <v>42</v>
          </cell>
          <cell r="D92">
            <v>1</v>
          </cell>
          <cell r="F92" t="str">
            <v>Are quarterly main drain flow, annual pump tests &amp; alarm tests and inspections of sprinkler system control valves and supervisory switches documented? (SOPI: 600; NFPA 13A:7-1;C)</v>
          </cell>
          <cell r="H92">
            <v>1</v>
          </cell>
          <cell r="J92">
            <v>1</v>
          </cell>
          <cell r="K92" t="str">
            <v>POM</v>
          </cell>
        </row>
        <row r="93">
          <cell r="A93">
            <v>43</v>
          </cell>
          <cell r="D93">
            <v>1</v>
          </cell>
          <cell r="F93" t="str">
            <v>Are emergency generators inspected weekly, tested under load for at least 30 minutes under normal operating conditions at no more than 30-day intervals, and are test results properly and completely recorded on the emergency generator log. Exception:  Self</v>
          </cell>
          <cell r="H93">
            <v>1</v>
          </cell>
          <cell r="J93">
            <v>1</v>
          </cell>
          <cell r="K93" t="str">
            <v>POM</v>
          </cell>
        </row>
        <row r="94">
          <cell r="A94">
            <v>44</v>
          </cell>
          <cell r="D94">
            <v>1</v>
          </cell>
          <cell r="F94" t="str">
            <v>Are all emergency lighting systems tested for 1-1/2 hours every year?  Are battery emergency lighting systems tested for 30 seconds every 30 days? (NFPA 101: 5-9.3)</v>
          </cell>
          <cell r="H94">
            <v>1</v>
          </cell>
          <cell r="J94">
            <v>1</v>
          </cell>
          <cell r="K94" t="str">
            <v>POM</v>
          </cell>
        </row>
        <row r="95">
          <cell r="A95">
            <v>45</v>
          </cell>
          <cell r="B95" t="str">
            <v>a.</v>
          </cell>
          <cell r="D95">
            <v>1</v>
          </cell>
          <cell r="F95" t="str">
            <v>Are Emergency Preparedness Procedures written for action to be taken during failure of essential equipment and major utility services, and are they available to staff?  (SOPI: 300.9, JCAHO EC 1.6)</v>
          </cell>
          <cell r="H95">
            <v>1</v>
          </cell>
          <cell r="J95">
            <v>1</v>
          </cell>
          <cell r="K95" t="str">
            <v>POM</v>
          </cell>
        </row>
        <row r="96">
          <cell r="A96">
            <v>45</v>
          </cell>
          <cell r="B96" t="str">
            <v>b.</v>
          </cell>
          <cell r="D96">
            <v>1</v>
          </cell>
          <cell r="F96" t="str">
            <v>Has the Manager obtained emergency phone numbers and contact with utility companies and other essential services?  (i.e. water, fuel, supplies)  (SOPI:  600.12)</v>
          </cell>
          <cell r="H96">
            <v>1</v>
          </cell>
          <cell r="J96">
            <v>1</v>
          </cell>
          <cell r="K96" t="str">
            <v>POM</v>
          </cell>
        </row>
        <row r="97">
          <cell r="A97">
            <v>46</v>
          </cell>
          <cell r="D97">
            <v>1</v>
          </cell>
          <cell r="F97" t="str">
            <v xml:space="preserve">Are the facility's underground storage tanks inventoried, registered, and in compliance with State and Federal regulations? </v>
          </cell>
          <cell r="H97">
            <v>1</v>
          </cell>
          <cell r="J97">
            <v>1</v>
          </cell>
          <cell r="K97" t="str">
            <v>POM</v>
          </cell>
        </row>
        <row r="98">
          <cell r="A98">
            <v>62</v>
          </cell>
          <cell r="D98">
            <v>2</v>
          </cell>
          <cell r="F98" t="str">
            <v>RISK</v>
          </cell>
          <cell r="H98" t="str">
            <v>N/A</v>
          </cell>
          <cell r="J98">
            <v>0</v>
          </cell>
          <cell r="K98" t="str">
            <v>EdCust</v>
          </cell>
        </row>
        <row r="99">
          <cell r="A99">
            <v>63</v>
          </cell>
          <cell r="D99">
            <v>2</v>
          </cell>
          <cell r="F99" t="str">
            <v>POM (CONTINUED)</v>
          </cell>
          <cell r="H99" t="str">
            <v>N/A</v>
          </cell>
          <cell r="J99">
            <v>0</v>
          </cell>
          <cell r="K99" t="str">
            <v>EdCust</v>
          </cell>
        </row>
        <row r="100">
          <cell r="A100">
            <v>47</v>
          </cell>
          <cell r="D100">
            <v>1</v>
          </cell>
          <cell r="F100" t="str">
            <v>Are periodic inspections of elevators properly documented?  Is a copy of the latest inspection posted in the respective elevator? (ASME?ANSI A17.1)</v>
          </cell>
          <cell r="H100">
            <v>1</v>
          </cell>
          <cell r="J100">
            <v>1</v>
          </cell>
          <cell r="K100" t="str">
            <v>POM</v>
          </cell>
        </row>
        <row r="101">
          <cell r="A101">
            <v>48</v>
          </cell>
          <cell r="D101">
            <v>1</v>
          </cell>
          <cell r="F101" t="str">
            <v>Is there documentation verifying that grease removal filters and duct work on kitchen hoods have been inspected and cleaned every 6 months? (NFPA 96:8)</v>
          </cell>
          <cell r="H101">
            <v>1</v>
          </cell>
          <cell r="J101">
            <v>1</v>
          </cell>
          <cell r="K101" t="str">
            <v>POM</v>
          </cell>
        </row>
        <row r="102">
          <cell r="A102">
            <v>49</v>
          </cell>
          <cell r="D102">
            <v>1</v>
          </cell>
          <cell r="F102" t="str">
            <v>Are all pieces of portable equipment/power tools inventoried, indexed on ISIS, and given an annual safety check?  (NFPA 70B: 17, OSHA 1910.243)</v>
          </cell>
          <cell r="H102">
            <v>1</v>
          </cell>
          <cell r="J102">
            <v>1</v>
          </cell>
          <cell r="K102" t="str">
            <v>POM</v>
          </cell>
        </row>
        <row r="103">
          <cell r="A103">
            <v>50</v>
          </cell>
          <cell r="D103">
            <v>1</v>
          </cell>
          <cell r="F103" t="str">
            <v>Are power tools clean, with proper safety guards installed and are they equipped with properly grounded plugs? (OSHA 1910.243 and NFPA 70B:17)</v>
          </cell>
          <cell r="H103">
            <v>1</v>
          </cell>
          <cell r="J103">
            <v>1</v>
          </cell>
          <cell r="K103" t="str">
            <v>POM</v>
          </cell>
        </row>
        <row r="104">
          <cell r="A104">
            <v>51</v>
          </cell>
          <cell r="D104">
            <v>1</v>
          </cell>
          <cell r="F104" t="str">
            <v>Are safety warnings (wear safety glasses, hearing protection, remove jewelry, etc.) posted on or adjacent to fixed power tools and equipment? (OSHA 1910.144-145)</v>
          </cell>
          <cell r="H104">
            <v>1</v>
          </cell>
          <cell r="J104">
            <v>1</v>
          </cell>
          <cell r="K104" t="str">
            <v>POM</v>
          </cell>
        </row>
        <row r="105">
          <cell r="A105">
            <v>52</v>
          </cell>
          <cell r="D105">
            <v>1</v>
          </cell>
          <cell r="F105" t="str">
            <v>Are records for disposal of infectious waste and landfill records maintained in accordance with local codes? (NFPA 82: 2-2, EC 1.5, and EC 2.4b)</v>
          </cell>
          <cell r="H105">
            <v>1</v>
          </cell>
          <cell r="J105">
            <v>1</v>
          </cell>
          <cell r="K105" t="str">
            <v>POM</v>
          </cell>
        </row>
        <row r="106">
          <cell r="A106">
            <v>53</v>
          </cell>
          <cell r="D106">
            <v>1</v>
          </cell>
          <cell r="F106" t="str">
            <v>Is there an up-to-date list of essential services provided by emergency power sources for review? (NFPA 99:3-4.2 and SOPI 600.9)</v>
          </cell>
          <cell r="H106">
            <v>1</v>
          </cell>
          <cell r="J106">
            <v>1</v>
          </cell>
          <cell r="K106" t="str">
            <v>POM</v>
          </cell>
        </row>
        <row r="107">
          <cell r="A107">
            <v>54</v>
          </cell>
          <cell r="D107">
            <v>1</v>
          </cell>
          <cell r="F107" t="str">
            <v>Is there an inventory of all fire protection and extinguishing components and equipment on file and indexed in ISIS?</v>
          </cell>
          <cell r="H107">
            <v>1</v>
          </cell>
          <cell r="J107">
            <v>1</v>
          </cell>
          <cell r="K107" t="str">
            <v>POM</v>
          </cell>
        </row>
        <row r="108">
          <cell r="A108">
            <v>55</v>
          </cell>
          <cell r="D108">
            <v>1</v>
          </cell>
          <cell r="F108" t="str">
            <v>Is there a Fire Hazard Survey? (OSHA 29 CFR 1910.38(b)(2))</v>
          </cell>
          <cell r="H108">
            <v>1</v>
          </cell>
          <cell r="J108">
            <v>1</v>
          </cell>
          <cell r="K108" t="str">
            <v>POM</v>
          </cell>
        </row>
        <row r="109">
          <cell r="A109">
            <v>56</v>
          </cell>
          <cell r="D109">
            <v>1</v>
          </cell>
          <cell r="F109" t="str">
            <v>Is there a Fire Hazard Log? (OSHA 29 CFR 1910.38(b)(2))</v>
          </cell>
          <cell r="H109">
            <v>1</v>
          </cell>
          <cell r="J109">
            <v>1</v>
          </cell>
          <cell r="K109" t="str">
            <v>POM</v>
          </cell>
        </row>
        <row r="110">
          <cell r="A110">
            <v>57</v>
          </cell>
          <cell r="D110">
            <v>1</v>
          </cell>
          <cell r="F110" t="str">
            <v>Have tactile/Braille exit signs been provided at each exit stair door, 60" above floor?  (Does not apply to existing buildings provided the occupancy classification does not change, before 1994) (NFPA 101, 5-10.1.3)</v>
          </cell>
          <cell r="H110">
            <v>1</v>
          </cell>
          <cell r="J110">
            <v>1</v>
          </cell>
          <cell r="K110" t="str">
            <v>POM</v>
          </cell>
        </row>
        <row r="111">
          <cell r="A111">
            <v>58</v>
          </cell>
          <cell r="D111">
            <v>1</v>
          </cell>
          <cell r="F111" t="str">
            <v>Are original records on fire protection systems retained for the life of the system? (NFPA 25:1-8.2)</v>
          </cell>
          <cell r="H111">
            <v>1</v>
          </cell>
          <cell r="J111">
            <v>1</v>
          </cell>
          <cell r="K111" t="str">
            <v>POM</v>
          </cell>
        </row>
        <row r="112">
          <cell r="A112">
            <v>59</v>
          </cell>
          <cell r="D112">
            <v>1</v>
          </cell>
          <cell r="F112" t="str">
            <v>Are fire alarm power connections ona dedicated branch circuit?  Is that circuit protected by an emergency power supply source?  (NFPA 72)  Is access to disconnects restricted to authorized personnel and is the fire alarm circuit clearly marked or labeled?</v>
          </cell>
          <cell r="H112">
            <v>1</v>
          </cell>
          <cell r="J112">
            <v>1</v>
          </cell>
          <cell r="K112" t="str">
            <v>POM</v>
          </cell>
        </row>
        <row r="113">
          <cell r="A113">
            <v>60</v>
          </cell>
          <cell r="D113">
            <v>1</v>
          </cell>
          <cell r="F113" t="str">
            <v>Are all supevisory signal devices (except valve tamper switches) tested quarterly?  Are all water tamper switches and water flow devices tested semi-annually?  (NFPA 72:7-3.2 and JCAHO EC 2.12.a1)</v>
          </cell>
          <cell r="H113">
            <v>1</v>
          </cell>
          <cell r="J113">
            <v>1</v>
          </cell>
          <cell r="K113" t="str">
            <v>POM</v>
          </cell>
        </row>
        <row r="114">
          <cell r="A114">
            <v>61</v>
          </cell>
          <cell r="D114">
            <v>1</v>
          </cell>
          <cell r="F114" t="str">
            <v>Are all duct detectors tested annually? (NFPA 72:7-2.2 and JCAHO EC 2.12a.3)</v>
          </cell>
          <cell r="H114">
            <v>1</v>
          </cell>
          <cell r="J114">
            <v>1</v>
          </cell>
          <cell r="K114" t="str">
            <v>POM</v>
          </cell>
        </row>
        <row r="115">
          <cell r="A115">
            <v>62</v>
          </cell>
          <cell r="D115">
            <v>1</v>
          </cell>
          <cell r="F115" t="str">
            <v>Are all heat detectors tested annually? (NFPA 72:7-2.2 and JCAHO EC 2.12a.3)</v>
          </cell>
          <cell r="H115">
            <v>1</v>
          </cell>
          <cell r="J115">
            <v>1</v>
          </cell>
          <cell r="K115" t="str">
            <v>POM</v>
          </cell>
        </row>
        <row r="116">
          <cell r="A116">
            <v>63</v>
          </cell>
          <cell r="D116">
            <v>1</v>
          </cell>
          <cell r="F116" t="str">
            <v>Are all Occupant Alarm Notification devices including all audible devices, speakers, and visible devices tested annually? (NFPA 72:7-2.2 and JCAHO EC 2.12b)</v>
          </cell>
          <cell r="H116">
            <v>1</v>
          </cell>
          <cell r="J116">
            <v>1</v>
          </cell>
          <cell r="K116" t="str">
            <v>POM</v>
          </cell>
        </row>
        <row r="117">
          <cell r="A117">
            <v>64</v>
          </cell>
          <cell r="D117">
            <v>1</v>
          </cell>
          <cell r="F117" t="str">
            <v>Is off-premise Emergency Forces Notification (to the fire department, etc.) transmission equipment tested quarterly? (NFPA 72 and JCAHO EC 2.12c)</v>
          </cell>
          <cell r="H117">
            <v>1</v>
          </cell>
          <cell r="J117">
            <v>1</v>
          </cell>
          <cell r="K117" t="str">
            <v>POM</v>
          </cell>
        </row>
        <row r="118">
          <cell r="A118">
            <v>65</v>
          </cell>
          <cell r="D118">
            <v>1</v>
          </cell>
          <cell r="F118" t="str">
            <v>Are components of standpipe and hose systems visually inspected quarterly? (NFPA 25:3.2)</v>
          </cell>
          <cell r="H118">
            <v>1</v>
          </cell>
          <cell r="J118">
            <v>1</v>
          </cell>
          <cell r="K118" t="str">
            <v>POM</v>
          </cell>
        </row>
        <row r="119">
          <cell r="A119">
            <v>66</v>
          </cell>
          <cell r="D119">
            <v>1</v>
          </cell>
          <cell r="F119" t="str">
            <v>Are sprinkler control valves numbered (labeled) to indicate fire areas served? (NFPA 13: 2-7.1.1, 25:9-3.2)</v>
          </cell>
          <cell r="H119">
            <v>1</v>
          </cell>
          <cell r="J119">
            <v>1</v>
          </cell>
          <cell r="K119" t="str">
            <v>POM</v>
          </cell>
        </row>
        <row r="120">
          <cell r="A120">
            <v>67</v>
          </cell>
          <cell r="D120">
            <v>1</v>
          </cell>
          <cell r="F120" t="str">
            <v>Are sprinkler control valves secured in the normal or open position and inspected weekly (sealed valves) or monthly (for locked valves and valves with tamper switches)? (NFPA 25:9-3.31, 9-3.32)</v>
          </cell>
          <cell r="H120">
            <v>1</v>
          </cell>
          <cell r="J120">
            <v>1</v>
          </cell>
          <cell r="K120" t="str">
            <v>POM</v>
          </cell>
        </row>
        <row r="121">
          <cell r="A121">
            <v>68</v>
          </cell>
          <cell r="D121">
            <v>1</v>
          </cell>
          <cell r="F121" t="str">
            <v>Are full quarterly inspections and tests on sprinkler control valves complete if required (See Table NFPA 25:9-1)?</v>
          </cell>
          <cell r="H121">
            <v>1</v>
          </cell>
          <cell r="J121">
            <v>1</v>
          </cell>
          <cell r="K121" t="str">
            <v>POM</v>
          </cell>
        </row>
        <row r="122">
          <cell r="A122">
            <v>69</v>
          </cell>
          <cell r="D122">
            <v>1</v>
          </cell>
          <cell r="F122" t="str">
            <v>Are sprinkler control valve stems properly lubricated and tested (cycled) annually? (NFPA 25: 9-3.5)</v>
          </cell>
          <cell r="H122">
            <v>1</v>
          </cell>
          <cell r="J122">
            <v>1</v>
          </cell>
          <cell r="K122" t="str">
            <v>POM</v>
          </cell>
        </row>
        <row r="123">
          <cell r="A123">
            <v>70</v>
          </cell>
          <cell r="D123">
            <v>1</v>
          </cell>
          <cell r="F123" t="str">
            <v>Are automatic sprinkler heads not damaged, corroded, panited or heavily laden with dirt? (NFPA 13: 9-1.1)</v>
          </cell>
          <cell r="H123">
            <v>1</v>
          </cell>
          <cell r="J123">
            <v>1</v>
          </cell>
          <cell r="K123" t="str">
            <v>POM</v>
          </cell>
        </row>
        <row r="124">
          <cell r="A124">
            <v>71</v>
          </cell>
          <cell r="D124">
            <v>1</v>
          </cell>
          <cell r="F124" t="str">
            <v>Are sprinkler heads not obstructed? (Clearance of at least 18 inches from ceiling)</v>
          </cell>
          <cell r="H124">
            <v>1</v>
          </cell>
          <cell r="J124">
            <v>1</v>
          </cell>
          <cell r="K124" t="str">
            <v>POM</v>
          </cell>
        </row>
        <row r="125">
          <cell r="A125">
            <v>72</v>
          </cell>
          <cell r="D125">
            <v>1</v>
          </cell>
          <cell r="F125" t="str">
            <v>Are at least six spare sprinkler heads and a sprinkler wrench maintained for each installed sprinkler system? (NFPA 13: 2-2.7)</v>
          </cell>
          <cell r="H125">
            <v>1</v>
          </cell>
          <cell r="J125">
            <v>1</v>
          </cell>
          <cell r="K125" t="str">
            <v>POM</v>
          </cell>
        </row>
        <row r="126">
          <cell r="A126">
            <v>73</v>
          </cell>
          <cell r="D126">
            <v>1</v>
          </cell>
          <cell r="F126" t="str">
            <v>Are all fire pumps tested annually under flow? (NFPA 25: 3-3.1 and JCAHO EC 2.12d2)</v>
          </cell>
          <cell r="H126">
            <v>1</v>
          </cell>
          <cell r="J126">
            <v>1</v>
          </cell>
          <cell r="K126" t="str">
            <v>POM</v>
          </cell>
        </row>
        <row r="127">
          <cell r="A127">
            <v>74</v>
          </cell>
          <cell r="D127">
            <v>1</v>
          </cell>
          <cell r="F127" t="str">
            <v>Are all water storage tanks (used in fire extinquisher systems) low water temperature alarms (during cold weather only) tested monthly? (NFPA 25: 6-3.3 and JCAHO EC 2.12d4)</v>
          </cell>
          <cell r="H127">
            <v>1</v>
          </cell>
          <cell r="J127">
            <v>1</v>
          </cell>
          <cell r="K127" t="str">
            <v>POM</v>
          </cell>
        </row>
        <row r="128">
          <cell r="A128">
            <v>75</v>
          </cell>
          <cell r="D128">
            <v>1</v>
          </cell>
          <cell r="F128" t="str">
            <v>Are main drain tests conducted quarterly at all system risers? (NFPA 25: Table 9-1 and JCAHO EC 2.12d6)</v>
          </cell>
          <cell r="H128">
            <v>1</v>
          </cell>
          <cell r="J128">
            <v>1</v>
          </cell>
          <cell r="K128" t="str">
            <v>POM</v>
          </cell>
        </row>
        <row r="129">
          <cell r="A129">
            <v>80</v>
          </cell>
          <cell r="D129">
            <v>2</v>
          </cell>
          <cell r="F129" t="str">
            <v>RISK</v>
          </cell>
          <cell r="H129" t="str">
            <v>N/A</v>
          </cell>
          <cell r="J129">
            <v>0</v>
          </cell>
          <cell r="K129" t="str">
            <v>Ground</v>
          </cell>
        </row>
        <row r="130">
          <cell r="A130">
            <v>81</v>
          </cell>
          <cell r="D130">
            <v>2</v>
          </cell>
          <cell r="F130" t="str">
            <v>POM (CONTINUED)</v>
          </cell>
          <cell r="H130" t="str">
            <v>N/A</v>
          </cell>
          <cell r="J130">
            <v>0</v>
          </cell>
          <cell r="K130" t="str">
            <v>Ground</v>
          </cell>
        </row>
        <row r="131">
          <cell r="A131">
            <v>76</v>
          </cell>
          <cell r="D131">
            <v>1</v>
          </cell>
          <cell r="F131" t="str">
            <v>Is an annual maintenance check performed on portable fire extinquishers by properly trained and qualified individuals? (Check tags) (NFPA 10: 4-1.2, 4-1.4, 4-4.3)</v>
          </cell>
          <cell r="H131">
            <v>1</v>
          </cell>
          <cell r="J131">
            <v>1</v>
          </cell>
          <cell r="K131" t="str">
            <v>POM</v>
          </cell>
        </row>
        <row r="132">
          <cell r="A132">
            <v>77</v>
          </cell>
          <cell r="D132">
            <v>1</v>
          </cell>
          <cell r="F132" t="str">
            <v>Are the monthly fire extinquisher inspections documented on a Fire Extinquisher Inspection Log or an equivalent facility form? (NFPA 10:4-4.3.4)</v>
          </cell>
          <cell r="H132">
            <v>1</v>
          </cell>
          <cell r="J132">
            <v>1</v>
          </cell>
          <cell r="K132" t="str">
            <v>POM</v>
          </cell>
        </row>
        <row r="133">
          <cell r="A133">
            <v>78</v>
          </cell>
          <cell r="D133">
            <v>1</v>
          </cell>
          <cell r="F133" t="str">
            <v>Is the maintenance of fire extinquishers documented on a Maintenance Record Log or an equivalent facility form?</v>
          </cell>
          <cell r="H133">
            <v>1</v>
          </cell>
          <cell r="J133">
            <v>1</v>
          </cell>
          <cell r="K133" t="str">
            <v>POM</v>
          </cell>
        </row>
        <row r="134">
          <cell r="A134">
            <v>79</v>
          </cell>
          <cell r="D134">
            <v>1</v>
          </cell>
          <cell r="F134" t="str">
            <v>Does a visual inspection of fire/smoke partitions confirm that there are no penetrations? (NFPA 101: 6-3.6 and JCAHO SOC)</v>
          </cell>
          <cell r="H134">
            <v>1</v>
          </cell>
          <cell r="J134">
            <v>1</v>
          </cell>
          <cell r="K134" t="str">
            <v>POM</v>
          </cell>
        </row>
        <row r="135">
          <cell r="A135">
            <v>80</v>
          </cell>
          <cell r="D135">
            <v>1</v>
          </cell>
          <cell r="F135" t="str">
            <v>Do fire doors meet all applicalbe local and state fire codes? (door construction).  Do they meet positive latching requirements? (NFPA 101:5-2.1.4.4)  Are gaps between such doors no more than 1/8 inch?</v>
          </cell>
          <cell r="H135">
            <v>1</v>
          </cell>
          <cell r="J135">
            <v>1</v>
          </cell>
          <cell r="K135" t="str">
            <v>POM</v>
          </cell>
        </row>
        <row r="136">
          <cell r="A136">
            <v>81</v>
          </cell>
          <cell r="D136">
            <v>1</v>
          </cell>
          <cell r="F136" t="str">
            <v>Are fire containment devices (dampers, magnetic door holders, etc.) listed on the fire equipment inventory?  Are all electromagnetic releasing devices tested annually?</v>
          </cell>
          <cell r="H136">
            <v>1</v>
          </cell>
          <cell r="J136">
            <v>1</v>
          </cell>
          <cell r="K136" t="str">
            <v>POM</v>
          </cell>
        </row>
        <row r="137">
          <cell r="A137">
            <v>87</v>
          </cell>
          <cell r="D137">
            <v>2</v>
          </cell>
          <cell r="F137" t="str">
            <v>Are dead plants removed and space filled in?</v>
          </cell>
          <cell r="H137" t="str">
            <v>N/A</v>
          </cell>
          <cell r="J137">
            <v>0</v>
          </cell>
          <cell r="K137" t="str">
            <v>Ground</v>
          </cell>
        </row>
        <row r="138">
          <cell r="A138">
            <v>88</v>
          </cell>
          <cell r="D138">
            <v>2</v>
          </cell>
          <cell r="F138" t="str">
            <v xml:space="preserve">                                                           Total Risk - POM</v>
          </cell>
          <cell r="H138">
            <v>57</v>
          </cell>
          <cell r="J138">
            <v>57</v>
          </cell>
          <cell r="K138" t="str">
            <v>Ground</v>
          </cell>
        </row>
        <row r="139">
          <cell r="F139" t="str">
            <v xml:space="preserve">                                                            Percentage Implemented</v>
          </cell>
          <cell r="H139">
            <v>1</v>
          </cell>
        </row>
        <row r="140">
          <cell r="A140">
            <v>89</v>
          </cell>
          <cell r="D140">
            <v>2</v>
          </cell>
          <cell r="F140" t="str">
            <v>Are sidewalks and paved surfaces swept/blown clean after mowing?</v>
          </cell>
          <cell r="H140" t="str">
            <v>N/A</v>
          </cell>
          <cell r="J140">
            <v>0</v>
          </cell>
          <cell r="K140" t="str">
            <v>Ground</v>
          </cell>
        </row>
        <row r="141">
          <cell r="A141">
            <v>90</v>
          </cell>
          <cell r="D141">
            <v>2</v>
          </cell>
          <cell r="F141" t="str">
            <v>RISK</v>
          </cell>
          <cell r="H141" t="str">
            <v>N/A</v>
          </cell>
          <cell r="J141" t="str">
            <v>Possible</v>
          </cell>
          <cell r="K141" t="str">
            <v>Ground</v>
          </cell>
        </row>
        <row r="142">
          <cell r="A142">
            <v>91</v>
          </cell>
          <cell r="D142">
            <v>2</v>
          </cell>
          <cell r="F142" t="str">
            <v xml:space="preserve">POM (EDUCATION ONLY) </v>
          </cell>
          <cell r="H142" t="str">
            <v>Score</v>
          </cell>
          <cell r="I142" t="str">
            <v/>
          </cell>
          <cell r="J142" t="str">
            <v>Score</v>
          </cell>
          <cell r="K142" t="str">
            <v>Ground</v>
          </cell>
        </row>
        <row r="143">
          <cell r="A143">
            <v>82</v>
          </cell>
          <cell r="D143">
            <v>2</v>
          </cell>
          <cell r="E143" t="str">
            <v/>
          </cell>
          <cell r="F143" t="str">
            <v>Has the AHERA Checklist been filled out for K-12?  (SMSTK-701)</v>
          </cell>
          <cell r="H143" t="str">
            <v>N/A</v>
          </cell>
          <cell r="J143">
            <v>0</v>
          </cell>
          <cell r="K143" t="str">
            <v>EdPOM</v>
          </cell>
        </row>
        <row r="144">
          <cell r="A144">
            <v>83</v>
          </cell>
          <cell r="D144">
            <v>2</v>
          </cell>
          <cell r="F144" t="str">
            <v>If the ServiceMaster manager is the facilities "Designated Person" under AHERA, has the agreement been modified, and has Corporate legal been notified an approved the agreement change in writing? Verify</v>
          </cell>
          <cell r="H144" t="str">
            <v>N/A</v>
          </cell>
          <cell r="J144">
            <v>0</v>
          </cell>
          <cell r="K144" t="str">
            <v>EdPOM</v>
          </cell>
        </row>
        <row r="145">
          <cell r="A145">
            <v>84</v>
          </cell>
          <cell r="D145">
            <v>2</v>
          </cell>
          <cell r="F145" t="str">
            <v>Do bleachers, grandstands, and telescopic bleachers receive periodic inspection and repair by an outside source?  Annually, an inspection should be performed and results documented by an outside source in accordance with manufacturer and NFPA standards.</v>
          </cell>
          <cell r="H145" t="str">
            <v>N/A</v>
          </cell>
          <cell r="J145">
            <v>0</v>
          </cell>
          <cell r="K145" t="str">
            <v>EdPOM</v>
          </cell>
        </row>
        <row r="146">
          <cell r="A146">
            <v>85</v>
          </cell>
          <cell r="D146">
            <v>2</v>
          </cell>
          <cell r="F146" t="str">
            <v>Has Asbestos-Containing Material been identified, labeled, and recorded?  (SMSTK-703)</v>
          </cell>
          <cell r="H146" t="str">
            <v>N/A</v>
          </cell>
          <cell r="J146">
            <v>0</v>
          </cell>
          <cell r="K146" t="str">
            <v>EdPOM</v>
          </cell>
        </row>
        <row r="147">
          <cell r="A147">
            <v>86</v>
          </cell>
          <cell r="D147">
            <v>2</v>
          </cell>
          <cell r="F147" t="str">
            <v>Is the Asbestos Awareness training logged on the Scheduling and Attendance Form and are copies sent to the appropriate personnel?  (SMSTK-704)</v>
          </cell>
          <cell r="H147" t="str">
            <v>N/A</v>
          </cell>
          <cell r="J147">
            <v>0</v>
          </cell>
          <cell r="K147" t="str">
            <v>EdPOM</v>
          </cell>
        </row>
        <row r="148">
          <cell r="A148">
            <v>87</v>
          </cell>
          <cell r="D148">
            <v>2</v>
          </cell>
          <cell r="F148" t="str">
            <v>Is each ServiceMaster supervised employee’s individual Asbestos Awareness training sheet filled out to reflect actual training received and signed?  (SMSTK-705)</v>
          </cell>
          <cell r="H148" t="str">
            <v>N/A</v>
          </cell>
          <cell r="J148">
            <v>0</v>
          </cell>
          <cell r="K148" t="str">
            <v>EdPOM</v>
          </cell>
        </row>
        <row r="149">
          <cell r="A149">
            <v>98</v>
          </cell>
          <cell r="D149" t="str">
            <v/>
          </cell>
          <cell r="F149" t="str">
            <v xml:space="preserve">A qualified contractor or professional engineer is required at least once every two years to do the inspection, including capacity evaluation (One person per 18 linear inches)  (NFPA 101, 8-1.7/ 9.1.7)  </v>
          </cell>
          <cell r="H149" t="str">
            <v>N/A</v>
          </cell>
          <cell r="J149">
            <v>0</v>
          </cell>
          <cell r="K149" t="str">
            <v>Ground</v>
          </cell>
        </row>
        <row r="150">
          <cell r="F150" t="str">
            <v>(This must be an outside source)  (NFPA 102, SOPI 600.11.)</v>
          </cell>
        </row>
        <row r="151">
          <cell r="A151">
            <v>88</v>
          </cell>
          <cell r="D151">
            <v>2</v>
          </cell>
          <cell r="F151" t="str">
            <v>Have all openings on bleachers and grandstands between the seatboard and footboard and all guardrails, that are located more than 30" (76 cm) above grade, been constructed or modified such that a 4" (10.2 cm) diameter sphere cannot pass?  (NFPA 102, 4-4.4</v>
          </cell>
          <cell r="H151" t="str">
            <v>N/A</v>
          </cell>
          <cell r="J151">
            <v>0</v>
          </cell>
          <cell r="K151" t="str">
            <v>EdPOM</v>
          </cell>
        </row>
        <row r="152">
          <cell r="A152">
            <v>89</v>
          </cell>
          <cell r="D152">
            <v>2</v>
          </cell>
          <cell r="F152" t="str">
            <v>Have Facility Labs been inventoried for hazardous chemicals and materials during the past 12 months?  Have all employees of the building where the labs are located been trained in HAZCOM and been notified of what type of chemicals and materials are presen</v>
          </cell>
          <cell r="H152" t="str">
            <v>N/A</v>
          </cell>
          <cell r="J152">
            <v>0</v>
          </cell>
          <cell r="K152" t="str">
            <v>EdPOM</v>
          </cell>
        </row>
        <row r="153">
          <cell r="A153">
            <v>90</v>
          </cell>
          <cell r="D153">
            <v>2</v>
          </cell>
          <cell r="F153" t="str">
            <v>Are approved, single station smoke alarm installed in DORMITORIES, in accordance with 7-6.2.10 in every living area and sleeping room within a guest suite? (New and existing dormitories - NFPA 16/17-3.4.4.2)</v>
          </cell>
          <cell r="H153" t="str">
            <v>N/A</v>
          </cell>
          <cell r="J153">
            <v>0</v>
          </cell>
          <cell r="K153" t="str">
            <v>EdPOM</v>
          </cell>
        </row>
        <row r="154">
          <cell r="A154">
            <v>91</v>
          </cell>
          <cell r="D154">
            <v>2</v>
          </cell>
          <cell r="F154" t="str">
            <v>Are approved, single station smoke alarm installed in APARTMENTS, in accordance with NFPA 7-6.2.10 outside every sleeping area in the immediate vicinity of the bedrooms and on all levels of the dwelling including basements? (New - NFPA 18-3.4.4.1)</v>
          </cell>
          <cell r="H154" t="str">
            <v>N/A</v>
          </cell>
          <cell r="J154">
            <v>0</v>
          </cell>
          <cell r="K154" t="str">
            <v>EdPOM</v>
          </cell>
        </row>
        <row r="155">
          <cell r="A155">
            <v>92</v>
          </cell>
          <cell r="D155">
            <v>2</v>
          </cell>
          <cell r="F155" t="str">
            <v>Is there an emergency shut off valve for facility labs which use flammable gas?</v>
          </cell>
          <cell r="H155" t="str">
            <v>N/A</v>
          </cell>
          <cell r="J155">
            <v>0</v>
          </cell>
          <cell r="K155" t="str">
            <v>EdPOM</v>
          </cell>
        </row>
        <row r="156">
          <cell r="A156">
            <v>104</v>
          </cell>
          <cell r="D156">
            <v>2</v>
          </cell>
          <cell r="F156" t="str">
            <v>Oil and filters are changed/cleaned regularly.</v>
          </cell>
          <cell r="H156" t="str">
            <v>N/A</v>
          </cell>
          <cell r="J156">
            <v>0</v>
          </cell>
          <cell r="K156" t="str">
            <v>Ground</v>
          </cell>
        </row>
        <row r="157">
          <cell r="D157" t="str">
            <v/>
          </cell>
          <cell r="F157" t="str">
            <v xml:space="preserve">                                                           Total Risk - POM-Education</v>
          </cell>
          <cell r="H157">
            <v>0</v>
          </cell>
          <cell r="J157">
            <v>0</v>
          </cell>
        </row>
        <row r="158">
          <cell r="F158" t="str">
            <v xml:space="preserve">                                                            Percentage Implemented</v>
          </cell>
          <cell r="H158" t="str">
            <v>N/A</v>
          </cell>
        </row>
        <row r="159">
          <cell r="F159" t="str">
            <v>Equipment And Shop Area (Continued)</v>
          </cell>
        </row>
        <row r="160">
          <cell r="A160">
            <v>105</v>
          </cell>
          <cell r="D160">
            <v>2</v>
          </cell>
          <cell r="F160" t="str">
            <v>RISK</v>
          </cell>
          <cell r="H160" t="str">
            <v>N/A</v>
          </cell>
          <cell r="J160" t="str">
            <v>Possible</v>
          </cell>
          <cell r="K160" t="str">
            <v>Ground</v>
          </cell>
        </row>
        <row r="161">
          <cell r="A161">
            <v>106</v>
          </cell>
          <cell r="D161">
            <v>2</v>
          </cell>
          <cell r="F161" t="str">
            <v>PLANT OPERATIONS AND MAINTENANCE  (HEALTHCARE ONLY)</v>
          </cell>
          <cell r="H161" t="str">
            <v>Score</v>
          </cell>
          <cell r="I161" t="str">
            <v/>
          </cell>
          <cell r="J161" t="str">
            <v>Score</v>
          </cell>
          <cell r="K161" t="str">
            <v>Ground</v>
          </cell>
        </row>
        <row r="162">
          <cell r="A162">
            <v>93</v>
          </cell>
          <cell r="D162">
            <v>2</v>
          </cell>
          <cell r="F162" t="str">
            <v>If ServiceMaster is required to manage a "Medical Waste Sterilizer" , has ServiceMaster legal/safey been notified and is the appropriate contract in place.  Are all EPA reaulations being followed and periotic inspections/checks being accomplished?</v>
          </cell>
          <cell r="H162" t="str">
            <v>N/A</v>
          </cell>
          <cell r="J162">
            <v>0</v>
          </cell>
          <cell r="K162" t="str">
            <v>HPOM</v>
          </cell>
        </row>
        <row r="163">
          <cell r="A163">
            <v>94</v>
          </cell>
          <cell r="D163">
            <v>2</v>
          </cell>
          <cell r="F163" t="str">
            <v>Are electrical receptacles and/or their cover plates that are served by emergency power system readily identifiable by a distinctive color or marking that is consistent throughout the facility?  (NFPA 99; 3-4.2.2.4, 3-4.2.3.4, 3-4.2.4.4)</v>
          </cell>
          <cell r="H163" t="str">
            <v>N/A</v>
          </cell>
          <cell r="J163">
            <v>0</v>
          </cell>
          <cell r="K163" t="str">
            <v>HPOM</v>
          </cell>
        </row>
        <row r="164">
          <cell r="A164">
            <v>95</v>
          </cell>
          <cell r="D164">
            <v>2</v>
          </cell>
          <cell r="F164" t="str">
            <v>Are the non-flammable medical gas system shutoff valves identified and labeled for "service provided" and "area served"? (NFPA 99: 4-3.5.4.1)</v>
          </cell>
          <cell r="H164" t="str">
            <v>N/A</v>
          </cell>
          <cell r="J164">
            <v>0</v>
          </cell>
          <cell r="K164" t="str">
            <v>HPOM</v>
          </cell>
        </row>
        <row r="165">
          <cell r="A165">
            <v>96</v>
          </cell>
          <cell r="D165">
            <v>2</v>
          </cell>
          <cell r="F165" t="str">
            <v>Are medical air compressor(s) intake assemblies drawing either filtered or outside air? (NFPA 99: 4-3.1 (b))</v>
          </cell>
          <cell r="H165" t="str">
            <v>N/A</v>
          </cell>
          <cell r="J165">
            <v>0</v>
          </cell>
          <cell r="K165" t="str">
            <v>HPOM</v>
          </cell>
        </row>
        <row r="166">
          <cell r="A166">
            <v>97</v>
          </cell>
          <cell r="D166">
            <v>2</v>
          </cell>
          <cell r="F166" t="str">
            <v xml:space="preserve">Are all receptacles inspected and tested (in general care and wet locations annually; in critical areas every 6 months; and in no-patient areas upon installation and/or repair)?  Are the results communicated to the appropriate department heads and Safety </v>
          </cell>
          <cell r="H166" t="str">
            <v>N/A</v>
          </cell>
          <cell r="J166">
            <v>0</v>
          </cell>
          <cell r="K166" t="str">
            <v>HPOM</v>
          </cell>
        </row>
        <row r="167">
          <cell r="A167">
            <v>98</v>
          </cell>
          <cell r="D167">
            <v>2</v>
          </cell>
          <cell r="F167" t="str">
            <v>Does the manager have a copy of both the external and internal Emergency Management Plans and is the internal disaster plan readily accessible to employees for optimum exposure for POM personnel? (EC 1.6)</v>
          </cell>
          <cell r="H167" t="str">
            <v>N/A</v>
          </cell>
          <cell r="J167">
            <v>0</v>
          </cell>
          <cell r="K167" t="str">
            <v>HPOM</v>
          </cell>
        </row>
        <row r="168">
          <cell r="A168">
            <v>99</v>
          </cell>
          <cell r="D168">
            <v>2</v>
          </cell>
          <cell r="F168" t="str">
            <v>Are Line Isolation Monitors tested monthly and the results communicated to the appropriate department heads and/or Safety Committee? (NFPA 99: 3-3.3.4.2)</v>
          </cell>
          <cell r="H168" t="str">
            <v>N/A</v>
          </cell>
          <cell r="J168">
            <v>0</v>
          </cell>
          <cell r="K168" t="str">
            <v>HPOM</v>
          </cell>
        </row>
        <row r="169">
          <cell r="A169">
            <v>100</v>
          </cell>
          <cell r="D169">
            <v>2</v>
          </cell>
          <cell r="F169" t="str">
            <v>Does the staff understand the meaning of a line isolation monitor failure?  (EC 1.9)</v>
          </cell>
          <cell r="H169" t="str">
            <v>N/A</v>
          </cell>
          <cell r="J169">
            <v>0</v>
          </cell>
          <cell r="K169" t="str">
            <v>HPOM</v>
          </cell>
        </row>
        <row r="170">
          <cell r="A170">
            <v>101</v>
          </cell>
          <cell r="D170">
            <v>2</v>
          </cell>
          <cell r="F170" t="str">
            <v>Is the Facility Engineering Department's Utility Management Plan in compliance with JCAHO Standards? (EC 1.9)</v>
          </cell>
          <cell r="H170" t="str">
            <v>N/A</v>
          </cell>
          <cell r="J170">
            <v>0</v>
          </cell>
          <cell r="K170" t="str">
            <v>HPOM</v>
          </cell>
        </row>
        <row r="171">
          <cell r="A171">
            <v>102</v>
          </cell>
          <cell r="D171">
            <v>2</v>
          </cell>
          <cell r="F171" t="str">
            <v>Have administration and Safety Committee reviewed and approved the Environment of Care Management Plans and is an annual evaluation of effectiveness completed for all Management Plans?</v>
          </cell>
          <cell r="H171" t="str">
            <v>N/A</v>
          </cell>
          <cell r="J171">
            <v>0</v>
          </cell>
          <cell r="K171" t="str">
            <v>HPOM</v>
          </cell>
        </row>
        <row r="172">
          <cell r="A172">
            <v>103</v>
          </cell>
          <cell r="D172">
            <v>2</v>
          </cell>
          <cell r="F172" t="str">
            <v>Are quarterly reports provided to the Safety Committee for review for all EC areas of responsibility?</v>
          </cell>
          <cell r="H172" t="str">
            <v>N/A</v>
          </cell>
          <cell r="J172">
            <v>0</v>
          </cell>
          <cell r="K172" t="str">
            <v>HPOM</v>
          </cell>
        </row>
        <row r="173">
          <cell r="A173">
            <v>104</v>
          </cell>
          <cell r="D173">
            <v>2</v>
          </cell>
          <cell r="F173" t="str">
            <v>Is annual training provided on all Environment of Care Management Plans? (EC 1.9)</v>
          </cell>
          <cell r="H173" t="str">
            <v>N/A</v>
          </cell>
          <cell r="J173">
            <v>0</v>
          </cell>
          <cell r="K173" t="str">
            <v>HPOM</v>
          </cell>
        </row>
        <row r="174">
          <cell r="A174">
            <v>105</v>
          </cell>
          <cell r="D174">
            <v>2</v>
          </cell>
          <cell r="F174" t="str">
            <v>Are portable heating devices prohibited except in non-sleeping staff and employee areas? (NFPA 101: 12-7.7)</v>
          </cell>
          <cell r="H174" t="str">
            <v>N/A</v>
          </cell>
          <cell r="J174">
            <v>0</v>
          </cell>
          <cell r="K174" t="str">
            <v>HPOM</v>
          </cell>
        </row>
        <row r="175">
          <cell r="A175">
            <v>106</v>
          </cell>
          <cell r="D175">
            <v>2</v>
          </cell>
          <cell r="F175" t="str">
            <v>Does the facility have a written policy for ILSM?  Has a Hazard Surveillance Survey been conducted along with a Construction Site Inspection and Contractor Fire Drills and are these documented? (JCAHO EC 2.6)</v>
          </cell>
          <cell r="H175" t="str">
            <v>N/A</v>
          </cell>
          <cell r="J175">
            <v>0</v>
          </cell>
          <cell r="K175" t="str">
            <v>HPOM</v>
          </cell>
        </row>
        <row r="176">
          <cell r="A176">
            <v>107</v>
          </cell>
          <cell r="D176">
            <v>2</v>
          </cell>
          <cell r="F176" t="str">
            <v>Has a Plan for Improvement (PFI) been developed? (JCAHO)</v>
          </cell>
          <cell r="H176" t="str">
            <v>N/A</v>
          </cell>
          <cell r="J176">
            <v>0</v>
          </cell>
          <cell r="K176" t="str">
            <v>HPOM</v>
          </cell>
        </row>
        <row r="177">
          <cell r="A177">
            <v>108</v>
          </cell>
          <cell r="D177">
            <v>2</v>
          </cell>
          <cell r="F177" t="str">
            <v>Is there a Building Maintenance Program that includes:  fire doors, linen/trash chutes, smoke doors, corridor doors, smoke barrier walls, corridor walls, egress (illuminated), exit signs, and fire exit egress free of snow and ice? (JCAHO)</v>
          </cell>
          <cell r="H177" t="str">
            <v>N/A</v>
          </cell>
          <cell r="J177">
            <v>0</v>
          </cell>
          <cell r="K177" t="str">
            <v>HPOM</v>
          </cell>
        </row>
        <row r="178">
          <cell r="A178">
            <v>109</v>
          </cell>
          <cell r="D178">
            <v>2</v>
          </cell>
          <cell r="F178" t="str">
            <v>Is there an initial orientation for all employees on all Environment of Care Management Plans? (JCAHO)</v>
          </cell>
          <cell r="H178" t="str">
            <v>N/A</v>
          </cell>
          <cell r="J178">
            <v>0</v>
          </cell>
          <cell r="K178" t="str">
            <v>HPOM</v>
          </cell>
        </row>
        <row r="179">
          <cell r="A179">
            <v>110</v>
          </cell>
          <cell r="D179">
            <v>2</v>
          </cell>
          <cell r="F179" t="str">
            <v>Is there a Safety Management Plan that meets the criteria of the appropriate Comprehensive Accreditation Manual? (JCAHO EC 1.4)</v>
          </cell>
          <cell r="H179" t="str">
            <v>N/A</v>
          </cell>
          <cell r="J179">
            <v>0</v>
          </cell>
          <cell r="K179" t="str">
            <v>HPOM</v>
          </cell>
        </row>
        <row r="180">
          <cell r="A180">
            <v>111</v>
          </cell>
          <cell r="D180">
            <v>2</v>
          </cell>
          <cell r="F180" t="str">
            <v>Is there a Hazardous Material Management Plan that meets the criteria of the appropriate Comprehensive Accreditation Manual? (STK and JCAHO EC 1.5)</v>
          </cell>
          <cell r="H180" t="str">
            <v>N/A</v>
          </cell>
          <cell r="J180">
            <v>0</v>
          </cell>
          <cell r="K180" t="str">
            <v>HPOM</v>
          </cell>
        </row>
        <row r="181">
          <cell r="A181">
            <v>112</v>
          </cell>
          <cell r="D181">
            <v>2</v>
          </cell>
          <cell r="F181" t="str">
            <v>Are drills conducted regularly to test emergency preparadness? (JCAHO EC 2.9)</v>
          </cell>
          <cell r="H181" t="str">
            <v>N/A</v>
          </cell>
          <cell r="J181">
            <v>0</v>
          </cell>
          <cell r="K181" t="str">
            <v>HPOM</v>
          </cell>
        </row>
        <row r="182">
          <cell r="A182">
            <v>113</v>
          </cell>
          <cell r="D182">
            <v>2</v>
          </cell>
          <cell r="F182" t="str">
            <v>Is there a Life Safety Management Plan that meets the criteria of the appropriate Comprehensive Accreditation Manaul? (JCAHO EC 1.8)</v>
          </cell>
          <cell r="H182" t="str">
            <v>N/A</v>
          </cell>
          <cell r="J182">
            <v>0</v>
          </cell>
          <cell r="K182" t="str">
            <v>HPOM</v>
          </cell>
        </row>
        <row r="183">
          <cell r="A183">
            <v>114</v>
          </cell>
          <cell r="D183">
            <v>2</v>
          </cell>
          <cell r="F183" t="str">
            <v>Is a non-smoking policy communicated and enforced throughout all buildings? (JCAHO EC 5)</v>
          </cell>
          <cell r="H183" t="str">
            <v>N/A</v>
          </cell>
          <cell r="J183">
            <v>0</v>
          </cell>
          <cell r="K183" t="str">
            <v>HPOM</v>
          </cell>
        </row>
        <row r="184">
          <cell r="A184">
            <v>115</v>
          </cell>
          <cell r="D184">
            <v>2</v>
          </cell>
          <cell r="F184" t="str">
            <v>Is there a Medical Equipment Management Plan that meets the criteria of the appropriate Comprehensie Accreditation Manual (JCAHO EC 1.8)</v>
          </cell>
          <cell r="H184" t="str">
            <v>N/A</v>
          </cell>
          <cell r="J184">
            <v>0</v>
          </cell>
          <cell r="K184" t="str">
            <v>HPOM</v>
          </cell>
        </row>
        <row r="185">
          <cell r="A185">
            <v>116</v>
          </cell>
          <cell r="D185">
            <v>2</v>
          </cell>
          <cell r="F185" t="str">
            <v>Is medical equipment maintained, tested, and inspected? (JCAHO EC 2.13)</v>
          </cell>
          <cell r="H185" t="str">
            <v>N/A</v>
          </cell>
          <cell r="J185">
            <v>0</v>
          </cell>
          <cell r="K185" t="str">
            <v>HPOM</v>
          </cell>
        </row>
        <row r="186">
          <cell r="A186">
            <v>117</v>
          </cell>
          <cell r="D186">
            <v>2</v>
          </cell>
          <cell r="F186" t="str">
            <v>Are utility systems maintained, tested, and inspected? (JCAHO EC 2.14)</v>
          </cell>
          <cell r="H186" t="str">
            <v>N/A</v>
          </cell>
          <cell r="J186">
            <v>0</v>
          </cell>
          <cell r="K186" t="str">
            <v>HPOM</v>
          </cell>
        </row>
        <row r="187">
          <cell r="A187">
            <v>118</v>
          </cell>
          <cell r="D187">
            <v>2</v>
          </cell>
          <cell r="F187" t="str">
            <v>Are safety elements (signs, ladders, etc.) of the environment maintained, tested and inspected? (JCAHO EC 2.11)</v>
          </cell>
          <cell r="H187" t="str">
            <v>N/A</v>
          </cell>
          <cell r="J187">
            <v>0</v>
          </cell>
          <cell r="K187" t="str">
            <v>HPOM</v>
          </cell>
        </row>
        <row r="188">
          <cell r="A188">
            <v>119</v>
          </cell>
          <cell r="D188">
            <v>2</v>
          </cell>
          <cell r="F188" t="str">
            <v>Is there a security Management Plan that meets the criteria of the appropriate Comprehensive Accreditation Manual? (JCAHO EC 1.4)</v>
          </cell>
          <cell r="H188" t="str">
            <v>N/A</v>
          </cell>
          <cell r="J188">
            <v>0</v>
          </cell>
          <cell r="K188" t="str">
            <v>HPOM</v>
          </cell>
        </row>
        <row r="189">
          <cell r="A189">
            <v>127</v>
          </cell>
          <cell r="D189">
            <v>2</v>
          </cell>
          <cell r="F189" t="str">
            <v>Has the playground safety information been distributed to administrators, teachers and parents?</v>
          </cell>
          <cell r="H189" t="str">
            <v>N/A</v>
          </cell>
          <cell r="J189">
            <v>0</v>
          </cell>
          <cell r="K189" t="str">
            <v>EdGround</v>
          </cell>
        </row>
        <row r="190">
          <cell r="A190">
            <v>128</v>
          </cell>
          <cell r="D190">
            <v>2</v>
          </cell>
          <cell r="F190" t="str">
            <v xml:space="preserve">                                                           Total Risk - POM-Healthcare</v>
          </cell>
          <cell r="H190">
            <v>0</v>
          </cell>
          <cell r="J190">
            <v>0</v>
          </cell>
          <cell r="K190" t="str">
            <v>EdGround</v>
          </cell>
        </row>
        <row r="191">
          <cell r="D191" t="str">
            <v/>
          </cell>
          <cell r="F191" t="str">
            <v xml:space="preserve">                                                            Percentage Implemented</v>
          </cell>
          <cell r="H191" t="str">
            <v>N/A</v>
          </cell>
        </row>
        <row r="192">
          <cell r="A192">
            <v>129</v>
          </cell>
          <cell r="D192">
            <v>2</v>
          </cell>
          <cell r="F192" t="str">
            <v>Does turf have a high visual appeal and a dense, uniform appearance?</v>
          </cell>
          <cell r="H192" t="str">
            <v>N/A</v>
          </cell>
          <cell r="J192">
            <v>0</v>
          </cell>
          <cell r="K192" t="str">
            <v>EdGround</v>
          </cell>
        </row>
        <row r="193">
          <cell r="A193">
            <v>130</v>
          </cell>
          <cell r="D193">
            <v>2</v>
          </cell>
          <cell r="F193" t="str">
            <v>RISK</v>
          </cell>
          <cell r="H193" t="str">
            <v>N/A</v>
          </cell>
          <cell r="J193" t="str">
            <v>Possible</v>
          </cell>
          <cell r="K193" t="str">
            <v>EdGround</v>
          </cell>
        </row>
        <row r="194">
          <cell r="A194">
            <v>131</v>
          </cell>
          <cell r="D194">
            <v>2</v>
          </cell>
          <cell r="F194" t="str">
            <v>GROUNDS</v>
          </cell>
          <cell r="H194" t="str">
            <v>Score</v>
          </cell>
          <cell r="I194" t="str">
            <v/>
          </cell>
          <cell r="J194" t="str">
            <v>Score</v>
          </cell>
          <cell r="K194" t="str">
            <v>EdGround</v>
          </cell>
        </row>
        <row r="195">
          <cell r="A195">
            <v>120</v>
          </cell>
          <cell r="D195">
            <v>2</v>
          </cell>
          <cell r="F195" t="str">
            <v>Has the ServiceMaster Playground Safety Program been implemented, and are monthly playground inspections being documented?</v>
          </cell>
          <cell r="H195" t="str">
            <v>N/A</v>
          </cell>
          <cell r="J195">
            <v>0</v>
          </cell>
          <cell r="K195" t="str">
            <v>Ground</v>
          </cell>
        </row>
        <row r="196">
          <cell r="A196">
            <v>121</v>
          </cell>
          <cell r="B196" t="str">
            <v>a.</v>
          </cell>
          <cell r="D196">
            <v>2</v>
          </cell>
          <cell r="F196" t="str">
            <v>Is facility in compliance with all applicable federal, state, county, and local regulations regarding purchase, handling and storage of pesticides?</v>
          </cell>
          <cell r="H196" t="str">
            <v>N/A</v>
          </cell>
          <cell r="J196">
            <v>0</v>
          </cell>
          <cell r="K196" t="str">
            <v>Ground</v>
          </cell>
        </row>
        <row r="197">
          <cell r="A197">
            <v>121</v>
          </cell>
          <cell r="B197" t="str">
            <v>b.</v>
          </cell>
          <cell r="D197">
            <v>2</v>
          </cell>
          <cell r="F197" t="str">
            <v>Are pesticide regulations and treatment records complete and on file in Manager's office?  Are personnel applying pesticides in compliance with all federal, state, county, and local regulations for application of pesticides?</v>
          </cell>
          <cell r="H197" t="str">
            <v>N/A</v>
          </cell>
          <cell r="J197">
            <v>0</v>
          </cell>
          <cell r="K197" t="str">
            <v>Ground</v>
          </cell>
        </row>
        <row r="198">
          <cell r="A198">
            <v>122</v>
          </cell>
          <cell r="D198">
            <v>2</v>
          </cell>
          <cell r="F198" t="str">
            <v>Is all line-clearance tree trimming done in compliance with ANSI Z133.1 (1994)?</v>
          </cell>
          <cell r="H198" t="str">
            <v>N/A</v>
          </cell>
          <cell r="J198">
            <v>0</v>
          </cell>
          <cell r="K198" t="str">
            <v>Ground</v>
          </cell>
        </row>
        <row r="199">
          <cell r="A199">
            <v>123</v>
          </cell>
          <cell r="D199">
            <v>2</v>
          </cell>
          <cell r="F199" t="str">
            <v>Is the transportation of gasoline done in accordance with HM-181 and HM-126(f)?</v>
          </cell>
          <cell r="H199" t="str">
            <v>N/A</v>
          </cell>
          <cell r="J199">
            <v>0</v>
          </cell>
          <cell r="K199" t="str">
            <v>Ground</v>
          </cell>
        </row>
        <row r="200">
          <cell r="A200">
            <v>137</v>
          </cell>
          <cell r="D200" t="str">
            <v/>
          </cell>
          <cell r="F200" t="str">
            <v>Are irrigation heads working, properly adjusted, and with appropriate covers?</v>
          </cell>
          <cell r="H200" t="str">
            <v>N/A</v>
          </cell>
          <cell r="J200">
            <v>0</v>
          </cell>
          <cell r="K200" t="str">
            <v>EdGround</v>
          </cell>
        </row>
        <row r="201">
          <cell r="A201">
            <v>124</v>
          </cell>
          <cell r="D201">
            <v>2</v>
          </cell>
          <cell r="F201" t="str">
            <v>Right to Know documentation is up-to-date regarding pesticide treatment records, as well as information on file including MSDS.</v>
          </cell>
          <cell r="H201" t="str">
            <v>N/A</v>
          </cell>
          <cell r="J201">
            <v>0</v>
          </cell>
          <cell r="K201" t="str">
            <v>Ground</v>
          </cell>
        </row>
        <row r="202">
          <cell r="A202">
            <v>125</v>
          </cell>
          <cell r="D202">
            <v>2</v>
          </cell>
          <cell r="F202" t="str">
            <v>Are paved areas (parking lots, sidewalks, etc.) policed, free of debris and recently swept?  Free of snow, where applicable?</v>
          </cell>
          <cell r="H202" t="str">
            <v>N/A</v>
          </cell>
          <cell r="J202">
            <v>0</v>
          </cell>
          <cell r="K202" t="str">
            <v>Ground</v>
          </cell>
        </row>
        <row r="203">
          <cell r="A203">
            <v>126</v>
          </cell>
          <cell r="D203">
            <v>2</v>
          </cell>
          <cell r="F203" t="str">
            <v>Are exterior signs properly illuminated, in good repair, clear and appropriate?</v>
          </cell>
          <cell r="H203" t="str">
            <v>N/A</v>
          </cell>
          <cell r="J203">
            <v>0</v>
          </cell>
          <cell r="K203" t="str">
            <v>Ground</v>
          </cell>
        </row>
        <row r="204">
          <cell r="A204">
            <v>141</v>
          </cell>
          <cell r="D204">
            <v>2</v>
          </cell>
          <cell r="F204" t="str">
            <v>Are outside bleacher areas free of weeds?</v>
          </cell>
          <cell r="H204" t="str">
            <v>N/A</v>
          </cell>
          <cell r="J204">
            <v>0</v>
          </cell>
          <cell r="K204" t="str">
            <v>EdGround</v>
          </cell>
        </row>
        <row r="205">
          <cell r="A205">
            <v>142</v>
          </cell>
          <cell r="D205">
            <v>2</v>
          </cell>
          <cell r="F205" t="str">
            <v xml:space="preserve">                                                               Total Risk - Grounds</v>
          </cell>
          <cell r="H205">
            <v>0</v>
          </cell>
          <cell r="J205">
            <v>0</v>
          </cell>
          <cell r="K205" t="str">
            <v>EdGround</v>
          </cell>
        </row>
        <row r="206">
          <cell r="A206">
            <v>143</v>
          </cell>
          <cell r="D206">
            <v>2</v>
          </cell>
          <cell r="F206" t="str">
            <v xml:space="preserve">                                                                Percentage Implemented</v>
          </cell>
          <cell r="H206" t="str">
            <v>N/A</v>
          </cell>
          <cell r="J206">
            <v>0</v>
          </cell>
          <cell r="K206" t="str">
            <v>EdGround</v>
          </cell>
        </row>
        <row r="208">
          <cell r="F208" t="str">
            <v>RISK</v>
          </cell>
          <cell r="H208">
            <v>0</v>
          </cell>
          <cell r="J208" t="str">
            <v>Possible</v>
          </cell>
        </row>
        <row r="209">
          <cell r="F209" t="str">
            <v>ENVIRONMENTAL/CUSTODIAL</v>
          </cell>
          <cell r="H209" t="str">
            <v>Score</v>
          </cell>
          <cell r="I209" t="str">
            <v/>
          </cell>
          <cell r="J209" t="str">
            <v>Score</v>
          </cell>
        </row>
        <row r="211">
          <cell r="A211">
            <v>127</v>
          </cell>
          <cell r="D211">
            <v>1</v>
          </cell>
          <cell r="F211" t="str">
            <v>Are wet floor signs available and used every 20 feet?</v>
          </cell>
          <cell r="H211">
            <v>1</v>
          </cell>
          <cell r="J211">
            <v>1</v>
          </cell>
          <cell r="K211" t="str">
            <v>Cust</v>
          </cell>
        </row>
        <row r="212">
          <cell r="A212">
            <v>128</v>
          </cell>
          <cell r="D212">
            <v>1</v>
          </cell>
          <cell r="F212" t="str">
            <v>Do custodians work in teams when moving or lifting large and/or heavy pieces of furniture or equipment?</v>
          </cell>
          <cell r="H212">
            <v>1</v>
          </cell>
          <cell r="J212">
            <v>1</v>
          </cell>
          <cell r="K212" t="str">
            <v>Cust</v>
          </cell>
        </row>
        <row r="213">
          <cell r="A213">
            <v>129</v>
          </cell>
          <cell r="D213">
            <v>1</v>
          </cell>
          <cell r="F213" t="str">
            <v>Has the equipment preventive maintenance program/electrical safety check been completed on all custodial equipment during the last quarter? (Electrical safety check is required by OSHA on a regular basis and before each use). (Use equipment care manual #7</v>
          </cell>
          <cell r="H213">
            <v>1</v>
          </cell>
          <cell r="J213">
            <v>1</v>
          </cell>
          <cell r="K213" t="str">
            <v>Cust</v>
          </cell>
        </row>
        <row r="214">
          <cell r="A214">
            <v>130</v>
          </cell>
          <cell r="B214" t="str">
            <v>a.</v>
          </cell>
          <cell r="D214">
            <v>1</v>
          </cell>
          <cell r="F214" t="str">
            <v>Is PPE provided and used properly when chemicals are being mixed?  Is there an eye wash station nearby?</v>
          </cell>
          <cell r="H214">
            <v>1</v>
          </cell>
          <cell r="J214">
            <v>1</v>
          </cell>
          <cell r="K214" t="str">
            <v>Cust</v>
          </cell>
        </row>
        <row r="215">
          <cell r="A215">
            <v>131</v>
          </cell>
          <cell r="B215" t="str">
            <v>b.</v>
          </cell>
          <cell r="D215">
            <v>1</v>
          </cell>
          <cell r="F215" t="str">
            <v>Are ALL chemical bottles correctly labeled?</v>
          </cell>
          <cell r="H215">
            <v>1</v>
          </cell>
          <cell r="J215">
            <v>1</v>
          </cell>
          <cell r="K215" t="str">
            <v>Cust</v>
          </cell>
        </row>
        <row r="216">
          <cell r="A216">
            <v>146</v>
          </cell>
          <cell r="D216">
            <v>2</v>
          </cell>
          <cell r="F216" t="str">
            <v>ServiceMaster standardized recipes are being used. (SOP 300.4)</v>
          </cell>
          <cell r="H216" t="str">
            <v>N/A</v>
          </cell>
          <cell r="J216">
            <v>0</v>
          </cell>
          <cell r="K216" t="str">
            <v>Food</v>
          </cell>
        </row>
        <row r="217">
          <cell r="A217">
            <v>147</v>
          </cell>
          <cell r="D217">
            <v>2</v>
          </cell>
          <cell r="F217" t="str">
            <v xml:space="preserve">                                                        Total Risk - Custodial</v>
          </cell>
          <cell r="H217">
            <v>5</v>
          </cell>
          <cell r="J217">
            <v>5</v>
          </cell>
          <cell r="K217" t="str">
            <v>Food</v>
          </cell>
        </row>
        <row r="218">
          <cell r="A218">
            <v>148</v>
          </cell>
          <cell r="D218">
            <v>2</v>
          </cell>
          <cell r="F218" t="str">
            <v xml:space="preserve">                                                         Percentage Implemented</v>
          </cell>
          <cell r="H218">
            <v>1</v>
          </cell>
          <cell r="J218">
            <v>0</v>
          </cell>
          <cell r="K218" t="str">
            <v>Food</v>
          </cell>
        </row>
        <row r="219">
          <cell r="D219" t="str">
            <v/>
          </cell>
          <cell r="F219" t="str">
            <v>Food Preparation</v>
          </cell>
        </row>
        <row r="220">
          <cell r="A220">
            <v>149</v>
          </cell>
          <cell r="D220">
            <v>2</v>
          </cell>
          <cell r="F220" t="str">
            <v>RISK</v>
          </cell>
          <cell r="H220" t="str">
            <v>N/A</v>
          </cell>
          <cell r="J220" t="str">
            <v>Possible</v>
          </cell>
          <cell r="K220" t="str">
            <v>Food</v>
          </cell>
        </row>
        <row r="221">
          <cell r="A221">
            <v>150</v>
          </cell>
          <cell r="D221">
            <v>2</v>
          </cell>
          <cell r="F221" t="str">
            <v>FOOD AND NUTRITION/CULINARY</v>
          </cell>
          <cell r="H221" t="str">
            <v>Score</v>
          </cell>
          <cell r="J221" t="str">
            <v>Score</v>
          </cell>
          <cell r="K221" t="str">
            <v>Food</v>
          </cell>
        </row>
        <row r="222">
          <cell r="A222">
            <v>132</v>
          </cell>
          <cell r="D222">
            <v>2</v>
          </cell>
          <cell r="F222" t="str">
            <v>Is a food temperature log being used and evidence of a corrective action plan in place, when necessary.</v>
          </cell>
          <cell r="H222" t="str">
            <v>N/A</v>
          </cell>
          <cell r="J222">
            <v>0</v>
          </cell>
          <cell r="K222" t="str">
            <v>Food</v>
          </cell>
        </row>
        <row r="223">
          <cell r="A223">
            <v>133</v>
          </cell>
          <cell r="D223">
            <v>2</v>
          </cell>
          <cell r="F223" t="str">
            <v>Are food products cooled according to the HACPP Plan (70 degrees F within 2 hours and 40 degrees F within 4 hours), cooling recorded, dated, and timed?</v>
          </cell>
          <cell r="H223" t="str">
            <v>N/A</v>
          </cell>
          <cell r="J223">
            <v>0</v>
          </cell>
          <cell r="K223" t="str">
            <v>Food</v>
          </cell>
        </row>
        <row r="224">
          <cell r="A224">
            <v>153</v>
          </cell>
          <cell r="D224">
            <v>2</v>
          </cell>
          <cell r="F224" t="str">
            <v>Are daily food production meetings being held?  Are they being recorded?</v>
          </cell>
          <cell r="H224" t="str">
            <v>N/A</v>
          </cell>
          <cell r="J224">
            <v>0</v>
          </cell>
          <cell r="K224" t="str">
            <v>Food</v>
          </cell>
        </row>
        <row r="225">
          <cell r="F225" t="str">
            <v xml:space="preserve">                                                        Total Risk - Food and Nutrition/Culinary</v>
          </cell>
          <cell r="H225">
            <v>0</v>
          </cell>
          <cell r="J225">
            <v>0</v>
          </cell>
        </row>
        <row r="226">
          <cell r="A226">
            <v>154</v>
          </cell>
          <cell r="D226">
            <v>2</v>
          </cell>
          <cell r="F226" t="str">
            <v xml:space="preserve">                                                         Percentage Implemented</v>
          </cell>
          <cell r="H226" t="str">
            <v>N/A</v>
          </cell>
          <cell r="J226">
            <v>0</v>
          </cell>
          <cell r="K226" t="str">
            <v>Food</v>
          </cell>
        </row>
        <row r="227">
          <cell r="A227">
            <v>155</v>
          </cell>
          <cell r="D227">
            <v>2</v>
          </cell>
          <cell r="F227" t="str">
            <v>Are the top 12 food items spot checked for specification compliance?</v>
          </cell>
          <cell r="H227" t="str">
            <v>N/A</v>
          </cell>
          <cell r="J227">
            <v>0</v>
          </cell>
          <cell r="K227" t="str">
            <v>Food</v>
          </cell>
        </row>
        <row r="228">
          <cell r="A228">
            <v>156</v>
          </cell>
          <cell r="D228">
            <v>2</v>
          </cell>
          <cell r="F228" t="str">
            <v>Is there clear evidence that order guides are being used?</v>
          </cell>
          <cell r="H228" t="str">
            <v>N/A</v>
          </cell>
          <cell r="J228">
            <v>0</v>
          </cell>
          <cell r="K228" t="str">
            <v>Food</v>
          </cell>
        </row>
        <row r="229">
          <cell r="F229" t="str">
            <v>RISK</v>
          </cell>
          <cell r="J229" t="str">
            <v>Possible</v>
          </cell>
        </row>
        <row r="230">
          <cell r="A230">
            <v>157</v>
          </cell>
          <cell r="D230">
            <v>2</v>
          </cell>
          <cell r="F230" t="str">
            <v>LAUNDRY</v>
          </cell>
          <cell r="H230" t="str">
            <v>Score</v>
          </cell>
          <cell r="J230" t="str">
            <v>Score</v>
          </cell>
          <cell r="K230" t="str">
            <v>Food</v>
          </cell>
        </row>
        <row r="231">
          <cell r="A231">
            <v>134</v>
          </cell>
          <cell r="D231">
            <v>2</v>
          </cell>
          <cell r="F231" t="str">
            <v>Equipment down time and repair records kept for all laundry equipment.</v>
          </cell>
          <cell r="H231" t="str">
            <v>N/A</v>
          </cell>
          <cell r="J231">
            <v>0</v>
          </cell>
          <cell r="K231" t="str">
            <v>Linen</v>
          </cell>
        </row>
        <row r="232">
          <cell r="A232">
            <v>135</v>
          </cell>
          <cell r="D232">
            <v>2</v>
          </cell>
          <cell r="F232" t="str">
            <v>Floors free of excess accumulation of debris, lint, etc.  Floors cleaned daily.</v>
          </cell>
          <cell r="H232" t="str">
            <v>N/A</v>
          </cell>
          <cell r="J232">
            <v>0</v>
          </cell>
          <cell r="K232" t="str">
            <v>Linen</v>
          </cell>
        </row>
        <row r="233">
          <cell r="A233">
            <v>136</v>
          </cell>
          <cell r="D233">
            <v>2</v>
          </cell>
          <cell r="F233" t="str">
            <v>FANS:  All fans have screen guards in place.  Motor cooling vents are free of lint build up.</v>
          </cell>
          <cell r="H233" t="str">
            <v>N/A</v>
          </cell>
          <cell r="J233">
            <v>0</v>
          </cell>
          <cell r="K233" t="str">
            <v>Linen</v>
          </cell>
        </row>
        <row r="234">
          <cell r="A234">
            <v>137</v>
          </cell>
          <cell r="D234">
            <v>2</v>
          </cell>
          <cell r="F234" t="str">
            <v>Personal protective equipment (gloves, eye goggles, apron, etc.) used for handling chemicals.</v>
          </cell>
          <cell r="H234" t="str">
            <v>N/A</v>
          </cell>
          <cell r="J234">
            <v>0</v>
          </cell>
          <cell r="K234" t="str">
            <v>Linen</v>
          </cell>
        </row>
        <row r="235">
          <cell r="A235">
            <v>138</v>
          </cell>
          <cell r="D235">
            <v>2</v>
          </cell>
          <cell r="F235" t="str">
            <v>Fire extinguishers available and in clear view.</v>
          </cell>
          <cell r="H235" t="str">
            <v>N/A</v>
          </cell>
          <cell r="J235">
            <v>0</v>
          </cell>
          <cell r="K235" t="str">
            <v>Linen</v>
          </cell>
        </row>
        <row r="236">
          <cell r="A236">
            <v>139</v>
          </cell>
          <cell r="D236">
            <v>2</v>
          </cell>
          <cell r="F236" t="str">
            <v>Emergency eye wash station and emergency shower facilities available, preferably close to Chemical Mixing area.</v>
          </cell>
          <cell r="H236" t="str">
            <v>N/A</v>
          </cell>
          <cell r="J236">
            <v>0</v>
          </cell>
          <cell r="K236" t="str">
            <v>Linen</v>
          </cell>
        </row>
        <row r="237">
          <cell r="F237" t="str">
            <v>RISK</v>
          </cell>
          <cell r="H237" t="str">
            <v>N/A</v>
          </cell>
        </row>
        <row r="238">
          <cell r="F238" t="str">
            <v>LAUNDRY (CONTINUED)</v>
          </cell>
        </row>
        <row r="239">
          <cell r="A239">
            <v>140</v>
          </cell>
          <cell r="D239">
            <v>2</v>
          </cell>
          <cell r="F239" t="str">
            <v>Soiled linen chutes:  Access doors to the chute(s) are inaccessible to the public, or the access doors are kept locked.</v>
          </cell>
          <cell r="H239" t="str">
            <v>N/A</v>
          </cell>
          <cell r="J239">
            <v>0</v>
          </cell>
          <cell r="K239" t="str">
            <v>Linen</v>
          </cell>
        </row>
        <row r="240">
          <cell r="A240">
            <v>141</v>
          </cell>
          <cell r="D240">
            <v>2</v>
          </cell>
          <cell r="F240" t="str">
            <v>All soiled linen areas are completely free of any beverage or food items.</v>
          </cell>
          <cell r="H240" t="str">
            <v>N/A</v>
          </cell>
          <cell r="J240">
            <v>0</v>
          </cell>
          <cell r="K240" t="str">
            <v>Linen</v>
          </cell>
        </row>
        <row r="241">
          <cell r="A241">
            <v>142</v>
          </cell>
          <cell r="D241">
            <v>2</v>
          </cell>
          <cell r="F241" t="str">
            <v>Employees wear protective gowns and gloves when handling soiled linen.</v>
          </cell>
          <cell r="H241" t="str">
            <v>N/A</v>
          </cell>
          <cell r="J241">
            <v>0</v>
          </cell>
          <cell r="K241" t="str">
            <v>Linen</v>
          </cell>
        </row>
        <row r="242">
          <cell r="A242">
            <v>143</v>
          </cell>
          <cell r="D242">
            <v>2</v>
          </cell>
          <cell r="F242" t="str">
            <v>Safety devices on all washers work.  Doors remain locked until wash wheel is stopped.</v>
          </cell>
          <cell r="H242" t="str">
            <v>N/A</v>
          </cell>
          <cell r="J242">
            <v>0</v>
          </cell>
          <cell r="K242" t="str">
            <v>Linen</v>
          </cell>
        </row>
        <row r="243">
          <cell r="A243">
            <v>144</v>
          </cell>
          <cell r="D243">
            <v>2</v>
          </cell>
          <cell r="F243" t="str">
            <v>Brakes in good condition.  Brakes will lock and hold cylinder stationary.</v>
          </cell>
          <cell r="H243" t="str">
            <v>N/A</v>
          </cell>
          <cell r="J243">
            <v>0</v>
          </cell>
          <cell r="K243" t="str">
            <v>Linen</v>
          </cell>
        </row>
        <row r="244">
          <cell r="A244">
            <v>145</v>
          </cell>
          <cell r="D244">
            <v>2</v>
          </cell>
          <cell r="F244" t="str">
            <v>Exposed areas of trenches have covers or grates installed.</v>
          </cell>
          <cell r="H244" t="str">
            <v>N/A</v>
          </cell>
          <cell r="J244">
            <v>0</v>
          </cell>
          <cell r="K244" t="str">
            <v>Linen</v>
          </cell>
        </row>
        <row r="245">
          <cell r="A245">
            <v>146</v>
          </cell>
          <cell r="D245">
            <v>2</v>
          </cell>
          <cell r="F245" t="str">
            <v>Ironer covered with padded cover, padding in good condition.</v>
          </cell>
          <cell r="H245" t="str">
            <v>N/A</v>
          </cell>
          <cell r="J245">
            <v>0</v>
          </cell>
          <cell r="K245" t="str">
            <v>Linen</v>
          </cell>
        </row>
        <row r="246">
          <cell r="A246">
            <v>147</v>
          </cell>
          <cell r="D246">
            <v>2</v>
          </cell>
          <cell r="F246" t="str">
            <v>Safety bar:  When activated, the safety bar shuts off the ironer and brakes the ironer to an immediate stop. (Ironer does not coast to a stop)</v>
          </cell>
          <cell r="H246" t="str">
            <v>N/A</v>
          </cell>
          <cell r="J246">
            <v>0</v>
          </cell>
          <cell r="K246" t="str">
            <v>Linen</v>
          </cell>
        </row>
        <row r="247">
          <cell r="A247">
            <v>148</v>
          </cell>
          <cell r="D247">
            <v>2</v>
          </cell>
          <cell r="F247" t="str">
            <v>Safety bar clearly marked, painted red (or other universally recognized emergency color).</v>
          </cell>
          <cell r="H247" t="str">
            <v>N/A</v>
          </cell>
          <cell r="J247">
            <v>0</v>
          </cell>
          <cell r="K247" t="str">
            <v>Linen</v>
          </cell>
        </row>
        <row r="248">
          <cell r="A248">
            <v>149</v>
          </cell>
          <cell r="D248">
            <v>2</v>
          </cell>
          <cell r="F248" t="str">
            <v>All emergency stop buttons clearly prominent:  When activated, shuts off ironer and brakes ironer to a stop.  Ironer does not coast to a stop.</v>
          </cell>
          <cell r="H248" t="str">
            <v>N/A</v>
          </cell>
          <cell r="J248">
            <v>0</v>
          </cell>
          <cell r="K248" t="str">
            <v>Linen</v>
          </cell>
        </row>
        <row r="249">
          <cell r="A249">
            <v>150</v>
          </cell>
          <cell r="D249">
            <v>2</v>
          </cell>
          <cell r="F249" t="str">
            <v>All heated surfaces are insulated or guarded to prevent accidental contact by people.  Steam supply pipes and hot condensate return pipes are insulated to at least 6 feet above floor.</v>
          </cell>
          <cell r="H249" t="str">
            <v>N/A</v>
          </cell>
          <cell r="J249">
            <v>0</v>
          </cell>
          <cell r="K249" t="str">
            <v>Linen</v>
          </cell>
        </row>
        <row r="250">
          <cell r="A250">
            <v>151</v>
          </cell>
          <cell r="D250">
            <v>2</v>
          </cell>
          <cell r="F250" t="str">
            <v>Cooling vents on all motors are clear, free of lint build-up.</v>
          </cell>
          <cell r="H250" t="str">
            <v>N/A</v>
          </cell>
          <cell r="J250">
            <v>0</v>
          </cell>
          <cell r="K250" t="str">
            <v>Linen</v>
          </cell>
        </row>
        <row r="251">
          <cell r="A251">
            <v>152</v>
          </cell>
          <cell r="D251">
            <v>2</v>
          </cell>
          <cell r="F251" t="str">
            <v>Safety devices on all units work.</v>
          </cell>
          <cell r="H251" t="str">
            <v>N/A</v>
          </cell>
          <cell r="J251">
            <v>0</v>
          </cell>
          <cell r="K251" t="str">
            <v>Linen</v>
          </cell>
        </row>
        <row r="252">
          <cell r="A252">
            <v>153</v>
          </cell>
          <cell r="D252">
            <v>2</v>
          </cell>
          <cell r="F252" t="str">
            <v>On automatic press heads:  There are two separate switches to require two-handed operation to lower press head.  Two-handed operation switches have not been by-passed.</v>
          </cell>
          <cell r="H252" t="str">
            <v>N/A</v>
          </cell>
          <cell r="J252">
            <v>0</v>
          </cell>
          <cell r="K252" t="str">
            <v>Linen</v>
          </cell>
        </row>
        <row r="253">
          <cell r="A253">
            <v>154</v>
          </cell>
          <cell r="D253">
            <v>2</v>
          </cell>
          <cell r="F253" t="str">
            <v>Steam supply pipes and hot condensate return pipes are insulated to at least 6 feet above floor.</v>
          </cell>
          <cell r="H253" t="str">
            <v>N/A</v>
          </cell>
          <cell r="J253">
            <v>0</v>
          </cell>
          <cell r="K253" t="str">
            <v>Linen</v>
          </cell>
        </row>
        <row r="254">
          <cell r="A254">
            <v>155</v>
          </cell>
          <cell r="D254">
            <v>2</v>
          </cell>
          <cell r="F254" t="str">
            <v>Dryers - Safety door interlock device prevents operating with door open.</v>
          </cell>
          <cell r="H254" t="str">
            <v>N/A</v>
          </cell>
          <cell r="J254">
            <v>0</v>
          </cell>
          <cell r="K254" t="str">
            <v>Linen</v>
          </cell>
        </row>
        <row r="255">
          <cell r="A255">
            <v>156</v>
          </cell>
          <cell r="D255">
            <v>2</v>
          </cell>
          <cell r="F255" t="str">
            <v>Dryer exhaust duct work free of internal lint build-up.</v>
          </cell>
          <cell r="H255" t="str">
            <v>N/A</v>
          </cell>
          <cell r="J255">
            <v>0</v>
          </cell>
          <cell r="K255" t="str">
            <v>Linen</v>
          </cell>
        </row>
        <row r="256">
          <cell r="A256">
            <v>157</v>
          </cell>
          <cell r="D256">
            <v>2</v>
          </cell>
          <cell r="F256" t="str">
            <v>Motors:  All motors air vents are clear, free of lint build-up.</v>
          </cell>
          <cell r="H256" t="str">
            <v>N/A</v>
          </cell>
          <cell r="J256">
            <v>0</v>
          </cell>
          <cell r="K256" t="str">
            <v>Linen</v>
          </cell>
        </row>
        <row r="257">
          <cell r="A257">
            <v>158</v>
          </cell>
          <cell r="D257">
            <v>2</v>
          </cell>
          <cell r="F257" t="str">
            <v>No dryer related fires within the past 13 months.</v>
          </cell>
          <cell r="H257" t="str">
            <v>N/A</v>
          </cell>
          <cell r="J257">
            <v>0</v>
          </cell>
          <cell r="K257" t="str">
            <v>Linen</v>
          </cell>
        </row>
        <row r="258">
          <cell r="A258">
            <v>159</v>
          </cell>
          <cell r="D258">
            <v>2</v>
          </cell>
          <cell r="F258" t="str">
            <v>Machine small piece folders:  Cooling vents on motors clear, free of lint build-up.</v>
          </cell>
          <cell r="H258" t="str">
            <v>N/A</v>
          </cell>
          <cell r="J258">
            <v>0</v>
          </cell>
          <cell r="K258" t="str">
            <v>Linen</v>
          </cell>
        </row>
        <row r="259">
          <cell r="A259">
            <v>160</v>
          </cell>
          <cell r="D259">
            <v>2</v>
          </cell>
          <cell r="F259" t="str">
            <v>Machine small piece folders:  Safety guards in place, safety devices work, safety decal in place.</v>
          </cell>
          <cell r="H259" t="str">
            <v>N/A</v>
          </cell>
          <cell r="J259">
            <v>0</v>
          </cell>
          <cell r="K259" t="str">
            <v>Linen</v>
          </cell>
        </row>
        <row r="260">
          <cell r="A260">
            <v>169</v>
          </cell>
          <cell r="D260" t="str">
            <v/>
          </cell>
          <cell r="F260" t="str">
            <v>Are the Delay Summary and Cancellation Summary reviewed regularly, with those departments causing the greatest number of delays and cancellations?</v>
          </cell>
          <cell r="H260" t="str">
            <v>N/A</v>
          </cell>
          <cell r="J260">
            <v>0</v>
          </cell>
          <cell r="K260" t="str">
            <v>Trans</v>
          </cell>
        </row>
        <row r="261">
          <cell r="A261">
            <v>170</v>
          </cell>
          <cell r="D261">
            <v>2</v>
          </cell>
          <cell r="F261" t="str">
            <v xml:space="preserve">                                                        Total Risk - Laundry</v>
          </cell>
          <cell r="H261">
            <v>0</v>
          </cell>
          <cell r="J261">
            <v>0</v>
          </cell>
          <cell r="K261" t="str">
            <v>Trans</v>
          </cell>
        </row>
        <row r="262">
          <cell r="A262">
            <v>171</v>
          </cell>
          <cell r="D262">
            <v>2</v>
          </cell>
          <cell r="F262" t="str">
            <v xml:space="preserve">                                                         Percentage Implemented</v>
          </cell>
          <cell r="H262" t="str">
            <v>N/A</v>
          </cell>
          <cell r="J262">
            <v>0</v>
          </cell>
          <cell r="K262" t="str">
            <v>Trans</v>
          </cell>
        </row>
        <row r="263">
          <cell r="A263">
            <v>172</v>
          </cell>
          <cell r="D263" t="str">
            <v/>
          </cell>
          <cell r="F263" t="str">
            <v>Is the Central Control Center arranged in such a way as to provide the Dispatchers with adequate space, and are they sufficiently isolated from other activities which could disrupt their activities?</v>
          </cell>
          <cell r="H263" t="str">
            <v>N/A</v>
          </cell>
          <cell r="J263">
            <v>0</v>
          </cell>
          <cell r="K263" t="str">
            <v>Trans</v>
          </cell>
        </row>
        <row r="264">
          <cell r="A264">
            <v>173</v>
          </cell>
          <cell r="D264">
            <v>2</v>
          </cell>
          <cell r="F264" t="str">
            <v>RISK</v>
          </cell>
          <cell r="H264" t="str">
            <v>N/A</v>
          </cell>
          <cell r="J264" t="str">
            <v>Possible</v>
          </cell>
          <cell r="K264" t="str">
            <v>Trans</v>
          </cell>
        </row>
        <row r="265">
          <cell r="A265">
            <v>174</v>
          </cell>
          <cell r="D265">
            <v>2</v>
          </cell>
          <cell r="F265" t="str">
            <v>CLINICAL EQUIPMENT</v>
          </cell>
          <cell r="H265" t="str">
            <v>Score</v>
          </cell>
          <cell r="J265" t="str">
            <v>Score</v>
          </cell>
          <cell r="K265" t="str">
            <v>Trans</v>
          </cell>
        </row>
        <row r="266">
          <cell r="A266">
            <v>175</v>
          </cell>
          <cell r="D266">
            <v>2</v>
          </cell>
          <cell r="F266" t="str">
            <v>Medical Equipment Management (EC 1.8)</v>
          </cell>
          <cell r="H266" t="str">
            <v>N/A</v>
          </cell>
          <cell r="J266">
            <v>0</v>
          </cell>
          <cell r="K266" t="str">
            <v>Trans</v>
          </cell>
        </row>
        <row r="267">
          <cell r="A267">
            <v>161</v>
          </cell>
          <cell r="D267">
            <v>2</v>
          </cell>
          <cell r="F267" t="str">
            <v>Does a policy exist for compliance with the Safe Medical Device Act?  Is there a policy on incident investigation and reporting? (SOPI 600.5, SOPI 600.4, EC 1.8, IM 8.1.2, 8.1.2.3)</v>
          </cell>
          <cell r="H267" t="str">
            <v>N/A</v>
          </cell>
          <cell r="J267">
            <v>0</v>
          </cell>
          <cell r="K267" t="str">
            <v>CE</v>
          </cell>
        </row>
        <row r="268">
          <cell r="A268">
            <v>162</v>
          </cell>
          <cell r="D268">
            <v>2</v>
          </cell>
          <cell r="F268" t="str">
            <v>Does a proceduce exist for selecting medical equipment to be added to the inventory ('I.e. risk ranking)? (SOPI 400.2, SOPI 400.3, EC 1.8)</v>
          </cell>
          <cell r="H268" t="str">
            <v>N/A</v>
          </cell>
          <cell r="J268">
            <v>0</v>
          </cell>
          <cell r="K268" t="str">
            <v>CE</v>
          </cell>
        </row>
        <row r="269">
          <cell r="A269">
            <v>163</v>
          </cell>
          <cell r="D269">
            <v>2</v>
          </cell>
          <cell r="F269" t="str">
            <v>Are "user error" and "could not duplicate" work orders reported to the Safety Committee or Risk Management?  Does the report include recommendations for training or equipment replacement? (SOPI 300.5, SOPI 300.16, SOPI 600.1, EC 1.8)</v>
          </cell>
          <cell r="H269" t="str">
            <v>N/A</v>
          </cell>
          <cell r="J269">
            <v>0</v>
          </cell>
          <cell r="K269" t="str">
            <v>CE</v>
          </cell>
        </row>
        <row r="270">
          <cell r="A270">
            <v>179</v>
          </cell>
          <cell r="D270">
            <v>2</v>
          </cell>
          <cell r="F270" t="str">
            <v>RISK</v>
          </cell>
          <cell r="H270" t="str">
            <v>N/A</v>
          </cell>
          <cell r="J270">
            <v>0</v>
          </cell>
          <cell r="K270" t="str">
            <v>Trans</v>
          </cell>
        </row>
        <row r="271">
          <cell r="A271">
            <v>180</v>
          </cell>
          <cell r="D271">
            <v>2</v>
          </cell>
          <cell r="F271" t="str">
            <v>CLINICAL EQUIPMENT (CONTINUED)</v>
          </cell>
          <cell r="H271" t="str">
            <v>N/A</v>
          </cell>
          <cell r="J271">
            <v>0</v>
          </cell>
          <cell r="K271" t="str">
            <v>Trans</v>
          </cell>
        </row>
        <row r="272">
          <cell r="A272">
            <v>181</v>
          </cell>
          <cell r="D272">
            <v>2</v>
          </cell>
          <cell r="F272" t="str">
            <v>Medical Equipment Management (EC 1.8)</v>
          </cell>
          <cell r="H272" t="str">
            <v>N/A</v>
          </cell>
          <cell r="J272">
            <v>0</v>
          </cell>
          <cell r="K272" t="str">
            <v>Trans</v>
          </cell>
        </row>
        <row r="273">
          <cell r="A273">
            <v>164</v>
          </cell>
          <cell r="D273">
            <v>2</v>
          </cell>
          <cell r="F273" t="str">
            <v>Are copies of applicable health care standards or codes available on-site to all CEM personnel?  This includes, but is not limited to NFPA 99, JCAHO, CAP, BRH/HHS, OSHA FDA, EPA, local and state codes.  Verify that CEM personnel know the location of these</v>
          </cell>
          <cell r="H273" t="str">
            <v>N/A</v>
          </cell>
          <cell r="J273">
            <v>0</v>
          </cell>
          <cell r="K273" t="str">
            <v>CE</v>
          </cell>
        </row>
        <row r="274">
          <cell r="A274">
            <v>165</v>
          </cell>
          <cell r="D274">
            <v>2</v>
          </cell>
          <cell r="F274" t="str">
            <v>Are ServiceMaster policies outlining CEM responsibilities for the operation of medical equipment and hands-on maintenanceof anesthesia equipment understood by affected department managers and hospital administration? (SOPI 400.15)</v>
          </cell>
          <cell r="H274" t="str">
            <v>N/A</v>
          </cell>
          <cell r="J274">
            <v>0</v>
          </cell>
          <cell r="K274" t="str">
            <v>CE</v>
          </cell>
        </row>
        <row r="275">
          <cell r="A275">
            <v>166</v>
          </cell>
          <cell r="D275">
            <v>2</v>
          </cell>
          <cell r="F275" t="str">
            <v>Are battery disposal policies and procedures in place?  Are the manager and department personnel familiar with the policies and procedures?  Are the policies and procedures followed? (SOPI 300.11)</v>
          </cell>
          <cell r="H275" t="str">
            <v>N/A</v>
          </cell>
          <cell r="J275">
            <v>0</v>
          </cell>
          <cell r="K275" t="str">
            <v>CE</v>
          </cell>
        </row>
        <row r="276">
          <cell r="A276">
            <v>185</v>
          </cell>
          <cell r="D276">
            <v>2</v>
          </cell>
          <cell r="F276" t="str">
            <v>Is the courier equipment sufficient in quantity and appropriate for hospital needs?  Is it maintained in good repair, and kept clean by the couriers, using approved disinfectants?</v>
          </cell>
          <cell r="H276" t="str">
            <v>N/A</v>
          </cell>
          <cell r="J276">
            <v>0</v>
          </cell>
          <cell r="K276" t="str">
            <v>Trans</v>
          </cell>
        </row>
        <row r="277">
          <cell r="A277">
            <v>186</v>
          </cell>
          <cell r="D277">
            <v>2</v>
          </cell>
          <cell r="F277" t="str">
            <v xml:space="preserve">                                                        Total Risk - Clinical Equipment</v>
          </cell>
          <cell r="H277">
            <v>0</v>
          </cell>
          <cell r="J277">
            <v>0</v>
          </cell>
          <cell r="K277" t="str">
            <v>Trans</v>
          </cell>
        </row>
        <row r="278">
          <cell r="F278" t="str">
            <v xml:space="preserve">                                                         Percentage Implemented</v>
          </cell>
          <cell r="H278" t="str">
            <v>N/A</v>
          </cell>
        </row>
        <row r="279">
          <cell r="F279" t="str">
            <v>CENTRAL TRANSPORTATION (CONTINUED)</v>
          </cell>
        </row>
        <row r="280">
          <cell r="A280">
            <v>187</v>
          </cell>
          <cell r="D280">
            <v>2</v>
          </cell>
          <cell r="F280" t="str">
            <v>Are the couriers appropriately oriented to the facility and trained in the proper handling and destinations of the articles they are transporting?</v>
          </cell>
          <cell r="H280" t="str">
            <v>N/A</v>
          </cell>
          <cell r="J280">
            <v>0</v>
          </cell>
          <cell r="K280" t="str">
            <v>Trans</v>
          </cell>
        </row>
        <row r="281">
          <cell r="A281">
            <v>188</v>
          </cell>
          <cell r="D281">
            <v>2</v>
          </cell>
          <cell r="F281" t="str">
            <v>RISK</v>
          </cell>
          <cell r="H281" t="str">
            <v>N/A</v>
          </cell>
          <cell r="J281">
            <v>0</v>
          </cell>
          <cell r="K281" t="str">
            <v>Trans</v>
          </cell>
        </row>
        <row r="282">
          <cell r="A282">
            <v>189</v>
          </cell>
          <cell r="D282">
            <v>2</v>
          </cell>
          <cell r="F282" t="str">
            <v>CENTRAL TRANSPORTATION</v>
          </cell>
          <cell r="H282" t="str">
            <v>N/A</v>
          </cell>
          <cell r="J282">
            <v>0</v>
          </cell>
          <cell r="K282" t="str">
            <v>Trans</v>
          </cell>
        </row>
        <row r="283">
          <cell r="A283">
            <v>190</v>
          </cell>
          <cell r="D283">
            <v>2</v>
          </cell>
          <cell r="F283" t="str">
            <v>Are exchange areas on nursing units and in clinical support departments maintained in a consistent, orderly and clean condition?</v>
          </cell>
          <cell r="H283" t="str">
            <v>N/A</v>
          </cell>
          <cell r="J283" t="str">
            <v>Possible</v>
          </cell>
          <cell r="K283" t="str">
            <v>Trans</v>
          </cell>
        </row>
        <row r="284">
          <cell r="A284">
            <v>191</v>
          </cell>
          <cell r="D284">
            <v>2</v>
          </cell>
          <cell r="F284" t="str">
            <v>Are couriers appropriately initialing the courier log at each location?  Are rounds completed in the specified time and are the units informed of the consistent punctuality of the courier?</v>
          </cell>
          <cell r="H284" t="str">
            <v>Score</v>
          </cell>
          <cell r="J284" t="str">
            <v>Score</v>
          </cell>
          <cell r="K284" t="str">
            <v>Trans</v>
          </cell>
        </row>
        <row r="285">
          <cell r="A285">
            <v>192</v>
          </cell>
          <cell r="D285">
            <v>2</v>
          </cell>
          <cell r="F285" t="str">
            <v>Is the Location Activity Report reviewed with each department, on a regular basis, to document how the Central Transportation Department is serving them?</v>
          </cell>
          <cell r="H285" t="str">
            <v>N/A</v>
          </cell>
          <cell r="J285">
            <v>0</v>
          </cell>
          <cell r="K285" t="str">
            <v>Trans</v>
          </cell>
        </row>
        <row r="286">
          <cell r="A286">
            <v>167</v>
          </cell>
          <cell r="D286">
            <v>2</v>
          </cell>
          <cell r="F286" t="str">
            <v>Are the couriers keeping speciments, soiled items and documents in separate containers, and are they handling them in accordance with hospital policy and procedure?</v>
          </cell>
          <cell r="H286" t="str">
            <v>N/A</v>
          </cell>
          <cell r="J286">
            <v>0</v>
          </cell>
          <cell r="K286" t="str">
            <v>Trans</v>
          </cell>
        </row>
        <row r="287">
          <cell r="A287">
            <v>168</v>
          </cell>
          <cell r="D287">
            <v>2</v>
          </cell>
          <cell r="F287" t="str">
            <v>Do the transporters understand and adhere to hospital and department policies on the confidentiality of patient medical records and information?</v>
          </cell>
          <cell r="H287" t="str">
            <v>N/A</v>
          </cell>
          <cell r="J287">
            <v>0</v>
          </cell>
          <cell r="K287" t="str">
            <v>Trans</v>
          </cell>
        </row>
        <row r="288">
          <cell r="A288">
            <v>169</v>
          </cell>
          <cell r="D288">
            <v>2</v>
          </cell>
          <cell r="F288" t="str">
            <v>Are the transporters washing their hands after handling a patient, before and after eating their meals, and whenever else it is appropriate under hospital policy?</v>
          </cell>
          <cell r="H288" t="str">
            <v>N/A</v>
          </cell>
          <cell r="J288">
            <v>0</v>
          </cell>
          <cell r="K288" t="str">
            <v>Trans</v>
          </cell>
        </row>
        <row r="289">
          <cell r="A289">
            <v>170</v>
          </cell>
          <cell r="D289">
            <v>2</v>
          </cell>
          <cell r="F289" t="str">
            <v>Do the transporters request assistance, from the nursing staff and transportation dispatcher when the safety of the patient and transporter is in question?</v>
          </cell>
          <cell r="H289" t="str">
            <v>N/A</v>
          </cell>
          <cell r="J289">
            <v>0</v>
          </cell>
          <cell r="K289" t="str">
            <v>Trans</v>
          </cell>
        </row>
        <row r="290">
          <cell r="A290">
            <v>171</v>
          </cell>
          <cell r="D290">
            <v>2</v>
          </cell>
          <cell r="F290" t="str">
            <v>Are the couriers immediately reporting any and all specimen spills, or any other suspected contamination to the dispatchers or supervisor?  Do they understand and enact hospital procedures for the decontamination of themselves and the work area?</v>
          </cell>
          <cell r="H290" t="str">
            <v>N/A</v>
          </cell>
          <cell r="J290">
            <v>0</v>
          </cell>
          <cell r="K290" t="str">
            <v>Trans</v>
          </cell>
        </row>
        <row r="291">
          <cell r="A291">
            <v>172</v>
          </cell>
          <cell r="D291">
            <v>2</v>
          </cell>
          <cell r="F291" t="str">
            <v>Are the couriers monitoring their courier equipment, throughout their circuit so not to place the items they are transporting at risk of loss?</v>
          </cell>
          <cell r="H291" t="str">
            <v>N/A</v>
          </cell>
          <cell r="J291">
            <v>0</v>
          </cell>
          <cell r="K291" t="str">
            <v>Trans</v>
          </cell>
        </row>
        <row r="292">
          <cell r="D292" t="str">
            <v/>
          </cell>
          <cell r="F292" t="str">
            <v>LAUNDRY/LINEN</v>
          </cell>
        </row>
        <row r="293">
          <cell r="A293">
            <v>193</v>
          </cell>
          <cell r="D293">
            <v>2</v>
          </cell>
          <cell r="F293" t="str">
            <v xml:space="preserve">                                                  Total Risk - Central Transportation</v>
          </cell>
          <cell r="H293">
            <v>0</v>
          </cell>
          <cell r="J293">
            <v>0</v>
          </cell>
          <cell r="K293" t="str">
            <v>Linen</v>
          </cell>
        </row>
        <row r="294">
          <cell r="A294">
            <v>194</v>
          </cell>
          <cell r="D294">
            <v>2</v>
          </cell>
          <cell r="F294" t="str">
            <v xml:space="preserve">                                                         Percentage Implemented</v>
          </cell>
          <cell r="H294" t="str">
            <v>N/A</v>
          </cell>
          <cell r="J294">
            <v>0</v>
          </cell>
          <cell r="K294" t="str">
            <v>Linen</v>
          </cell>
        </row>
        <row r="295">
          <cell r="A295">
            <v>195</v>
          </cell>
          <cell r="D295">
            <v>2</v>
          </cell>
          <cell r="F295" t="str">
            <v>Pounds processed record current for this year and records for past 2 years on file.</v>
          </cell>
          <cell r="H295" t="str">
            <v>N/A</v>
          </cell>
          <cell r="J295">
            <v>0</v>
          </cell>
          <cell r="K295" t="str">
            <v>Linen</v>
          </cell>
        </row>
        <row r="296">
          <cell r="A296">
            <v>196</v>
          </cell>
          <cell r="D296">
            <v>2</v>
          </cell>
          <cell r="F296" t="str">
            <v>Total Risk</v>
          </cell>
          <cell r="H296">
            <v>104</v>
          </cell>
          <cell r="J296">
            <v>104</v>
          </cell>
          <cell r="K296" t="str">
            <v>Linen</v>
          </cell>
        </row>
        <row r="297">
          <cell r="A297">
            <v>197</v>
          </cell>
          <cell r="D297">
            <v>2</v>
          </cell>
          <cell r="F297" t="str">
            <v>Monthly Laundry Inspection (or other periodic inspection) for safety and quality conducted with a representative from administration and documentation on file.</v>
          </cell>
          <cell r="H297" t="str">
            <v>N/A</v>
          </cell>
          <cell r="J297">
            <v>0</v>
          </cell>
          <cell r="K297" t="str">
            <v>Linen</v>
          </cell>
        </row>
      </sheetData>
      <sheetData sheetId="7" refreshError="1">
        <row r="1">
          <cell r="F1" t="str">
            <v>ServiceMaster Management Services</v>
          </cell>
          <cell r="K1" t="str">
            <v/>
          </cell>
        </row>
        <row r="3">
          <cell r="F3">
            <v>2001</v>
          </cell>
        </row>
        <row r="4">
          <cell r="F4" t="str">
            <v>Quality Performance Quotient</v>
          </cell>
          <cell r="G4" t="str">
            <v>DATE:</v>
          </cell>
          <cell r="J4" t="str">
            <v/>
          </cell>
        </row>
        <row r="5">
          <cell r="F5" t="str">
            <v>QUALITY</v>
          </cell>
          <cell r="H5" t="str">
            <v>Score</v>
          </cell>
          <cell r="J5" t="str">
            <v>Possible</v>
          </cell>
        </row>
        <row r="6">
          <cell r="F6" t="str">
            <v>GENERAL</v>
          </cell>
        </row>
        <row r="7">
          <cell r="A7">
            <v>1</v>
          </cell>
          <cell r="D7">
            <v>1</v>
          </cell>
          <cell r="F7" t="str">
            <v>Are team meetings held regularly and reported/documented at each Joint Review Meeting? (SOPI: 200.5)</v>
          </cell>
          <cell r="H7">
            <v>1</v>
          </cell>
          <cell r="J7">
            <v>1</v>
          </cell>
          <cell r="K7" t="str">
            <v>All</v>
          </cell>
        </row>
        <row r="8">
          <cell r="A8">
            <v>2</v>
          </cell>
          <cell r="D8">
            <v>1</v>
          </cell>
          <cell r="F8" t="str">
            <v>Are the attire and grooming of the managers/supervisors and lead persons in good taste?</v>
          </cell>
          <cell r="H8">
            <v>1</v>
          </cell>
          <cell r="J8">
            <v>1</v>
          </cell>
          <cell r="K8" t="str">
            <v>All</v>
          </cell>
        </row>
        <row r="9">
          <cell r="F9" t="str">
            <v xml:space="preserve">                                                             Total Quality - General</v>
          </cell>
          <cell r="H9">
            <v>2</v>
          </cell>
          <cell r="J9">
            <v>2</v>
          </cell>
        </row>
        <row r="10">
          <cell r="F10" t="str">
            <v xml:space="preserve">                                                              Percentage Implemented</v>
          </cell>
          <cell r="H10">
            <v>1</v>
          </cell>
        </row>
        <row r="12">
          <cell r="F12" t="str">
            <v>POM</v>
          </cell>
          <cell r="J12" t="str">
            <v>Score</v>
          </cell>
        </row>
        <row r="13">
          <cell r="F13" t="str">
            <v>General</v>
          </cell>
        </row>
        <row r="14">
          <cell r="A14">
            <v>3</v>
          </cell>
          <cell r="D14">
            <v>1</v>
          </cell>
          <cell r="F14" t="str">
            <v>Are shop floors, walls, ledges, work benches, and storage areas clean and free of clutter?   (OSHA:  1910.14a3)</v>
          </cell>
          <cell r="H14">
            <v>1</v>
          </cell>
          <cell r="J14">
            <v>1</v>
          </cell>
          <cell r="K14" t="str">
            <v>POM</v>
          </cell>
        </row>
        <row r="15">
          <cell r="A15">
            <v>4</v>
          </cell>
          <cell r="D15">
            <v>1</v>
          </cell>
          <cell r="F15" t="str">
            <v>Are trash containers non-combustible, clean, lined, and covered?  (OSHA: 1910.141a4:  NFPA:  101:31-5.4.5)</v>
          </cell>
          <cell r="H15">
            <v>1</v>
          </cell>
          <cell r="J15">
            <v>1</v>
          </cell>
          <cell r="K15" t="str">
            <v>POM</v>
          </cell>
        </row>
        <row r="16">
          <cell r="A16">
            <v>5</v>
          </cell>
          <cell r="D16">
            <v>1</v>
          </cell>
          <cell r="F16" t="str">
            <v>Is there a current library of applicable NFPA, OSHA, EPA and applicable state/local codes and regulations available for the Manager's use?</v>
          </cell>
          <cell r="H16">
            <v>1</v>
          </cell>
          <cell r="J16">
            <v>1</v>
          </cell>
          <cell r="K16" t="str">
            <v>POM</v>
          </cell>
        </row>
        <row r="17">
          <cell r="A17">
            <v>6</v>
          </cell>
          <cell r="D17">
            <v>1</v>
          </cell>
          <cell r="F17" t="str">
            <v>A minimum of 95% of Preventative Maintenance requirements have been consistently completed on a monthly basis.</v>
          </cell>
          <cell r="H17">
            <v>1</v>
          </cell>
          <cell r="J17">
            <v>1</v>
          </cell>
          <cell r="K17" t="str">
            <v>POM</v>
          </cell>
        </row>
        <row r="18">
          <cell r="F18" t="str">
            <v>CMMS</v>
          </cell>
        </row>
        <row r="19">
          <cell r="A19">
            <v>7</v>
          </cell>
          <cell r="D19">
            <v>1</v>
          </cell>
          <cell r="F19" t="str">
            <v>Are equipment history records properly completed and up-to-date as verified by a review of the Asset History?</v>
          </cell>
          <cell r="H19">
            <v>1</v>
          </cell>
          <cell r="J19">
            <v>1</v>
          </cell>
          <cell r="K19" t="str">
            <v>POM</v>
          </cell>
        </row>
        <row r="20">
          <cell r="A20">
            <v>8</v>
          </cell>
          <cell r="D20">
            <v>1</v>
          </cell>
          <cell r="F20" t="str">
            <v>Is the asset number being used for appropriate equipment on work request?  Verify from CMMS Report for "Corrective Maintenance History" for major equipment.</v>
          </cell>
          <cell r="H20">
            <v>1</v>
          </cell>
          <cell r="J20">
            <v>1</v>
          </cell>
          <cell r="K20" t="str">
            <v>POM</v>
          </cell>
        </row>
        <row r="21">
          <cell r="A21">
            <v>9</v>
          </cell>
          <cell r="D21">
            <v>1</v>
          </cell>
          <cell r="F21" t="str">
            <v>Are periodic reports reviewed and discussed with department heads?</v>
          </cell>
          <cell r="H21">
            <v>1</v>
          </cell>
          <cell r="J21">
            <v>1</v>
          </cell>
          <cell r="K21" t="str">
            <v>POM</v>
          </cell>
        </row>
        <row r="22">
          <cell r="A22">
            <v>10</v>
          </cell>
          <cell r="D22">
            <v>1</v>
          </cell>
          <cell r="F22" t="str">
            <v xml:space="preserve">Are material costs routinely entered in when completing work orders?  </v>
          </cell>
          <cell r="H22">
            <v>1</v>
          </cell>
          <cell r="J22">
            <v>1</v>
          </cell>
          <cell r="K22" t="str">
            <v>POM</v>
          </cell>
        </row>
        <row r="23">
          <cell r="A23">
            <v>11</v>
          </cell>
          <cell r="D23">
            <v>1</v>
          </cell>
          <cell r="F23" t="str">
            <v>Is the employee data file current?</v>
          </cell>
          <cell r="H23">
            <v>1</v>
          </cell>
          <cell r="J23">
            <v>1</v>
          </cell>
          <cell r="K23" t="str">
            <v>POM</v>
          </cell>
        </row>
        <row r="24">
          <cell r="A24">
            <v>12</v>
          </cell>
          <cell r="D24">
            <v>1</v>
          </cell>
          <cell r="F24" t="str">
            <v>Management has demonstrated use and knowledge of ISIS?</v>
          </cell>
          <cell r="H24">
            <v>1</v>
          </cell>
          <cell r="J24">
            <v>1</v>
          </cell>
          <cell r="K24" t="str">
            <v>POM</v>
          </cell>
        </row>
        <row r="25">
          <cell r="A25">
            <v>13</v>
          </cell>
          <cell r="D25">
            <v>1</v>
          </cell>
          <cell r="F25" t="str">
            <v>Is major equipment inventoried and indexed on the PM Program?</v>
          </cell>
          <cell r="H25">
            <v>1</v>
          </cell>
          <cell r="J25">
            <v>1</v>
          </cell>
          <cell r="K25" t="str">
            <v>POM</v>
          </cell>
        </row>
        <row r="26">
          <cell r="A26">
            <v>14</v>
          </cell>
          <cell r="D26">
            <v>1</v>
          </cell>
          <cell r="F26" t="str">
            <v xml:space="preserve">Are all purchase service contracts logged and maintained on the ISIS or equal system? </v>
          </cell>
          <cell r="H26">
            <v>1</v>
          </cell>
          <cell r="J26">
            <v>1</v>
          </cell>
          <cell r="K26" t="str">
            <v>POM</v>
          </cell>
        </row>
        <row r="27">
          <cell r="A27">
            <v>15</v>
          </cell>
          <cell r="D27">
            <v>1</v>
          </cell>
          <cell r="F27" t="str">
            <v>Is the Employee Module being properly used to Template Schedules and Actual Schedules on ISIS?  Are the Available Hours fields completed in accordance with and are the Actual  Hours fields completed using the Dispatch Log?</v>
          </cell>
          <cell r="H27">
            <v>1</v>
          </cell>
          <cell r="J27">
            <v>1</v>
          </cell>
          <cell r="K27" t="str">
            <v>POM</v>
          </cell>
        </row>
        <row r="28">
          <cell r="A28">
            <v>16</v>
          </cell>
          <cell r="D28">
            <v>1</v>
          </cell>
          <cell r="F28" t="str">
            <v>Are Work Order Type Codes properly used to define minor construction projects and corrective maintenance work orders?</v>
          </cell>
          <cell r="H28">
            <v>1</v>
          </cell>
          <cell r="J28">
            <v>1</v>
          </cell>
          <cell r="K28" t="str">
            <v>POM</v>
          </cell>
        </row>
        <row r="29">
          <cell r="A29">
            <v>17</v>
          </cell>
          <cell r="D29">
            <v>1</v>
          </cell>
          <cell r="F29" t="str">
            <v>Are material costs routinely entered in when completing work orders?  Verify by reviewing completed work order lists</v>
          </cell>
          <cell r="H29">
            <v>1</v>
          </cell>
          <cell r="J29">
            <v>1</v>
          </cell>
          <cell r="K29" t="str">
            <v>POM</v>
          </cell>
        </row>
        <row r="30">
          <cell r="A30">
            <v>18</v>
          </cell>
          <cell r="D30">
            <v>1</v>
          </cell>
          <cell r="F30" t="str">
            <v>Did the Annual Performance Review include an energy review?</v>
          </cell>
          <cell r="H30">
            <v>1</v>
          </cell>
          <cell r="J30">
            <v>1</v>
          </cell>
          <cell r="K30" t="str">
            <v>POM</v>
          </cell>
        </row>
        <row r="31">
          <cell r="A31">
            <v>19</v>
          </cell>
          <cell r="D31">
            <v>1</v>
          </cell>
          <cell r="F31" t="str">
            <v>Is a Data Transfer being conducted at least biweekly?</v>
          </cell>
          <cell r="H31">
            <v>1</v>
          </cell>
          <cell r="J31">
            <v>1</v>
          </cell>
          <cell r="K31" t="str">
            <v>POM</v>
          </cell>
        </row>
        <row r="32">
          <cell r="A32">
            <v>20</v>
          </cell>
          <cell r="D32">
            <v>1</v>
          </cell>
          <cell r="F32" t="str">
            <v>Is the PM Text Auditor being used after each Data Transfer?  Verify by checking the PM Auditor to ensure all changes have been posted or, at least checked.</v>
          </cell>
          <cell r="H32">
            <v>1</v>
          </cell>
          <cell r="J32">
            <v>1</v>
          </cell>
          <cell r="K32" t="str">
            <v>POM</v>
          </cell>
        </row>
        <row r="33">
          <cell r="A33">
            <v>21</v>
          </cell>
          <cell r="D33">
            <v>1</v>
          </cell>
          <cell r="F33" t="str">
            <v>Is the Safety Tab in ISIS turned on and used for Lock Out/Tag Out, Confined Spaces, and Personal Protective Equipment?</v>
          </cell>
          <cell r="H33">
            <v>1</v>
          </cell>
          <cell r="J33">
            <v>1</v>
          </cell>
          <cell r="K33" t="str">
            <v>POM</v>
          </cell>
        </row>
        <row r="35">
          <cell r="F35" t="str">
            <v xml:space="preserve">                                                             Total Quality - POM</v>
          </cell>
          <cell r="H35">
            <v>19</v>
          </cell>
          <cell r="J35">
            <v>19</v>
          </cell>
        </row>
        <row r="36">
          <cell r="F36" t="str">
            <v xml:space="preserve">                                                              Percentage Implemented</v>
          </cell>
          <cell r="H36">
            <v>1</v>
          </cell>
        </row>
        <row r="38">
          <cell r="A38" t="str">
            <v/>
          </cell>
          <cell r="F38" t="str">
            <v>QUALITY</v>
          </cell>
          <cell r="H38" t="str">
            <v>Score</v>
          </cell>
          <cell r="J38" t="str">
            <v>Possible</v>
          </cell>
        </row>
        <row r="39">
          <cell r="F39" t="str">
            <v>ENVIRONMENTAL/CUSTODIAL</v>
          </cell>
          <cell r="J39" t="str">
            <v>Score</v>
          </cell>
        </row>
        <row r="40">
          <cell r="F40" t="str">
            <v>**(IF USED) Where question is asked concerning "Depth of Shine" use gloss meter. An indication of 55+ is required.</v>
          </cell>
        </row>
        <row r="41">
          <cell r="A41" t="str">
            <v/>
          </cell>
          <cell r="F41" t="str">
            <v>Corridors And Stairwells</v>
          </cell>
        </row>
        <row r="42">
          <cell r="A42">
            <v>22</v>
          </cell>
          <cell r="D42">
            <v>1</v>
          </cell>
          <cell r="F42" t="str">
            <v>Are floors clean (free of dirt, spills, litter) and finished with a depth shine**; or is carpeting clean and free of spots?</v>
          </cell>
          <cell r="H42">
            <v>1</v>
          </cell>
          <cell r="J42">
            <v>1</v>
          </cell>
          <cell r="K42" t="str">
            <v>Cust</v>
          </cell>
        </row>
        <row r="43">
          <cell r="A43">
            <v>23</v>
          </cell>
          <cell r="B43" t="str">
            <v>a.</v>
          </cell>
          <cell r="D43">
            <v>1</v>
          </cell>
          <cell r="F43" t="str">
            <v>Is there a walk-off mat program in place?</v>
          </cell>
          <cell r="H43">
            <v>1</v>
          </cell>
          <cell r="J43">
            <v>1</v>
          </cell>
          <cell r="K43" t="str">
            <v>Cust</v>
          </cell>
        </row>
        <row r="44">
          <cell r="A44">
            <v>23</v>
          </cell>
          <cell r="B44" t="str">
            <v>b.</v>
          </cell>
          <cell r="D44">
            <v>1</v>
          </cell>
          <cell r="F44" t="str">
            <v>Does the walk-off mat program identify what size of mat is needed at each location?</v>
          </cell>
          <cell r="H44">
            <v>1</v>
          </cell>
          <cell r="J44">
            <v>1</v>
          </cell>
          <cell r="K44" t="str">
            <v>Cust</v>
          </cell>
        </row>
        <row r="45">
          <cell r="A45">
            <v>23</v>
          </cell>
          <cell r="B45" t="str">
            <v>c.</v>
          </cell>
          <cell r="D45">
            <v>1</v>
          </cell>
          <cell r="F45" t="str">
            <v>Do you have the proper mat for the location?</v>
          </cell>
          <cell r="H45">
            <v>1</v>
          </cell>
          <cell r="J45">
            <v>1</v>
          </cell>
          <cell r="K45" t="str">
            <v>Cust</v>
          </cell>
        </row>
        <row r="46">
          <cell r="A46">
            <v>23</v>
          </cell>
          <cell r="B46" t="str">
            <v>d.</v>
          </cell>
          <cell r="D46">
            <v>1</v>
          </cell>
          <cell r="F46" t="str">
            <v>Is an inventory maintained?</v>
          </cell>
          <cell r="H46">
            <v>1</v>
          </cell>
          <cell r="J46">
            <v>1</v>
          </cell>
          <cell r="K46" t="str">
            <v>Cust</v>
          </cell>
        </row>
        <row r="47">
          <cell r="F47" t="str">
            <v>QUALITY</v>
          </cell>
        </row>
        <row r="48">
          <cell r="F48" t="str">
            <v>ENVIRONMENTAL/CUSTODIAL (CONTINUED)</v>
          </cell>
        </row>
        <row r="49">
          <cell r="A49">
            <v>24</v>
          </cell>
          <cell r="D49">
            <v>1</v>
          </cell>
          <cell r="F49" t="str">
            <v>Are walls and lockers clean?</v>
          </cell>
          <cell r="H49">
            <v>1</v>
          </cell>
          <cell r="J49">
            <v>1</v>
          </cell>
          <cell r="K49" t="str">
            <v>Cust</v>
          </cell>
        </row>
        <row r="50">
          <cell r="A50">
            <v>25</v>
          </cell>
          <cell r="D50">
            <v>1</v>
          </cell>
          <cell r="F50" t="str">
            <v>Are water fountains, vents, and registers clean?</v>
          </cell>
          <cell r="H50">
            <v>1</v>
          </cell>
          <cell r="J50">
            <v>1</v>
          </cell>
          <cell r="K50" t="str">
            <v>Cust</v>
          </cell>
        </row>
        <row r="51">
          <cell r="A51">
            <v>26</v>
          </cell>
          <cell r="D51">
            <v>1</v>
          </cell>
          <cell r="F51" t="str">
            <v>Are trash containers clean, and if applicable, lined and covered?</v>
          </cell>
          <cell r="H51">
            <v>1</v>
          </cell>
          <cell r="J51">
            <v>1</v>
          </cell>
          <cell r="K51" t="str">
            <v>Cust</v>
          </cell>
        </row>
        <row r="52">
          <cell r="A52">
            <v>27</v>
          </cell>
          <cell r="D52">
            <v>1</v>
          </cell>
          <cell r="F52" t="str">
            <v>Are stairwells cleaned and handrails dusted?</v>
          </cell>
          <cell r="H52">
            <v>1</v>
          </cell>
          <cell r="J52">
            <v>1</v>
          </cell>
          <cell r="K52" t="str">
            <v>Cust</v>
          </cell>
        </row>
        <row r="53">
          <cell r="F53" t="str">
            <v>Restrooms</v>
          </cell>
        </row>
        <row r="54">
          <cell r="A54">
            <v>28</v>
          </cell>
          <cell r="D54">
            <v>1</v>
          </cell>
          <cell r="F54" t="str">
            <v>Are floors clean (free of dirt, spills, litter) and grout lines clean and free of dirt build-up?</v>
          </cell>
          <cell r="H54">
            <v>1</v>
          </cell>
          <cell r="J54">
            <v>1</v>
          </cell>
          <cell r="K54" t="str">
            <v>Cust</v>
          </cell>
        </row>
        <row r="55">
          <cell r="A55">
            <v>29</v>
          </cell>
          <cell r="D55">
            <v>1</v>
          </cell>
          <cell r="F55" t="str">
            <v>Are corners and baseboards clean?</v>
          </cell>
          <cell r="H55">
            <v>1</v>
          </cell>
          <cell r="J55">
            <v>1</v>
          </cell>
          <cell r="K55" t="str">
            <v>Cust</v>
          </cell>
        </row>
        <row r="56">
          <cell r="A56">
            <v>30</v>
          </cell>
          <cell r="D56">
            <v>1</v>
          </cell>
          <cell r="F56" t="str">
            <v>Are walls clean (free of smudges, marks and graffiti) and shower wall if applicable, clean and free of  spots?</v>
          </cell>
          <cell r="H56">
            <v>1</v>
          </cell>
          <cell r="J56">
            <v>1</v>
          </cell>
          <cell r="K56" t="str">
            <v>Cust</v>
          </cell>
        </row>
        <row r="57">
          <cell r="A57">
            <v>31</v>
          </cell>
          <cell r="D57">
            <v>1</v>
          </cell>
          <cell r="F57" t="str">
            <v>Are urinal and toilet bowls clean?</v>
          </cell>
          <cell r="H57">
            <v>1</v>
          </cell>
          <cell r="J57">
            <v>1</v>
          </cell>
          <cell r="K57" t="str">
            <v>Cust</v>
          </cell>
        </row>
        <row r="58">
          <cell r="A58">
            <v>32</v>
          </cell>
          <cell r="D58">
            <v>1</v>
          </cell>
          <cell r="F58" t="str">
            <v>Are urinal and toilet stall partitions clean?</v>
          </cell>
          <cell r="H58">
            <v>1</v>
          </cell>
          <cell r="J58">
            <v>1</v>
          </cell>
          <cell r="K58" t="str">
            <v>Cust</v>
          </cell>
        </row>
        <row r="59">
          <cell r="A59">
            <v>33</v>
          </cell>
          <cell r="D59">
            <v>1</v>
          </cell>
          <cell r="F59" t="str">
            <v>Are sinks and counter tops free of soap build-up; are mirrors clean?</v>
          </cell>
          <cell r="H59">
            <v>1</v>
          </cell>
          <cell r="J59">
            <v>1</v>
          </cell>
          <cell r="K59" t="str">
            <v>Cust</v>
          </cell>
        </row>
        <row r="60">
          <cell r="A60">
            <v>34</v>
          </cell>
          <cell r="D60">
            <v>1</v>
          </cell>
          <cell r="F60" t="str">
            <v>Is all exposed chrome cleaned and polished?</v>
          </cell>
          <cell r="H60">
            <v>1</v>
          </cell>
          <cell r="J60">
            <v>1</v>
          </cell>
          <cell r="K60" t="str">
            <v>Cust</v>
          </cell>
        </row>
        <row r="61">
          <cell r="A61">
            <v>35</v>
          </cell>
          <cell r="D61">
            <v>1</v>
          </cell>
          <cell r="F61" t="str">
            <v>Are trash containers clean, and if applicable, lined and covered?</v>
          </cell>
          <cell r="H61">
            <v>1</v>
          </cell>
          <cell r="J61">
            <v>1</v>
          </cell>
          <cell r="K61" t="str">
            <v>Cust</v>
          </cell>
        </row>
        <row r="62">
          <cell r="A62">
            <v>36</v>
          </cell>
          <cell r="D62">
            <v>1</v>
          </cell>
          <cell r="F62" t="str">
            <v>Are supply dispensers clean and adequately filled?</v>
          </cell>
          <cell r="H62">
            <v>1</v>
          </cell>
          <cell r="J62">
            <v>1</v>
          </cell>
          <cell r="K62" t="str">
            <v>Cust</v>
          </cell>
        </row>
        <row r="63">
          <cell r="F63" t="str">
            <v>Custodial Closets</v>
          </cell>
        </row>
        <row r="64">
          <cell r="A64">
            <v>37</v>
          </cell>
          <cell r="D64">
            <v>1</v>
          </cell>
          <cell r="F64" t="str">
            <v>Are floors and walls clean?</v>
          </cell>
          <cell r="H64">
            <v>1</v>
          </cell>
          <cell r="J64">
            <v>1</v>
          </cell>
          <cell r="K64" t="str">
            <v>Cust</v>
          </cell>
        </row>
        <row r="65">
          <cell r="A65">
            <v>38</v>
          </cell>
          <cell r="D65">
            <v>1</v>
          </cell>
          <cell r="F65" t="str">
            <v>Are chemicals, supplies, mop handles, etc., stored neatly above floors?  Are closets kept locked at all times?</v>
          </cell>
          <cell r="H65">
            <v>1</v>
          </cell>
          <cell r="J65">
            <v>1</v>
          </cell>
          <cell r="K65" t="str">
            <v>Cust</v>
          </cell>
        </row>
        <row r="66">
          <cell r="A66">
            <v>39</v>
          </cell>
          <cell r="D66">
            <v>1</v>
          </cell>
          <cell r="F66" t="str">
            <v>Are trash containers clean, and if applicable, lined and covered?</v>
          </cell>
          <cell r="H66">
            <v>1</v>
          </cell>
          <cell r="J66">
            <v>1</v>
          </cell>
          <cell r="K66" t="str">
            <v>Cust</v>
          </cell>
        </row>
        <row r="67">
          <cell r="A67">
            <v>40</v>
          </cell>
          <cell r="D67">
            <v>1</v>
          </cell>
          <cell r="F67" t="str">
            <v>Is deep sink and/or drain clean?</v>
          </cell>
          <cell r="H67">
            <v>1</v>
          </cell>
          <cell r="J67">
            <v>1</v>
          </cell>
          <cell r="K67" t="str">
            <v>Cust</v>
          </cell>
        </row>
        <row r="68">
          <cell r="A68">
            <v>41</v>
          </cell>
          <cell r="D68">
            <v>1</v>
          </cell>
          <cell r="F68" t="str">
            <v>Are rotos, vacuums, automatic scrubbers and other equipment clean?</v>
          </cell>
          <cell r="H68">
            <v>1</v>
          </cell>
          <cell r="J68">
            <v>1</v>
          </cell>
          <cell r="K68" t="str">
            <v>Cust</v>
          </cell>
        </row>
        <row r="69">
          <cell r="A69">
            <v>42</v>
          </cell>
          <cell r="D69">
            <v>1</v>
          </cell>
          <cell r="F69" t="str">
            <v>Are carts clean, orderly and adequately stocked?</v>
          </cell>
          <cell r="H69">
            <v>1</v>
          </cell>
          <cell r="J69">
            <v>1</v>
          </cell>
          <cell r="K69" t="str">
            <v>Cust</v>
          </cell>
        </row>
        <row r="70">
          <cell r="A70">
            <v>43</v>
          </cell>
          <cell r="D70">
            <v>1</v>
          </cell>
          <cell r="F70" t="str">
            <v>Are chemical bottles properly labeled?</v>
          </cell>
          <cell r="H70">
            <v>1</v>
          </cell>
          <cell r="J70">
            <v>1</v>
          </cell>
          <cell r="K70" t="str">
            <v>Cust</v>
          </cell>
        </row>
        <row r="71">
          <cell r="A71">
            <v>44</v>
          </cell>
          <cell r="D71">
            <v>1</v>
          </cell>
          <cell r="F71" t="str">
            <v>Are mop buckets clean and mops clean and free of odor?</v>
          </cell>
          <cell r="H71">
            <v>1</v>
          </cell>
          <cell r="J71">
            <v>1</v>
          </cell>
          <cell r="K71" t="str">
            <v>Cust</v>
          </cell>
        </row>
        <row r="72">
          <cell r="D72" t="str">
            <v/>
          </cell>
        </row>
        <row r="73">
          <cell r="F73" t="str">
            <v>Total Quality- Environmental/Custodial</v>
          </cell>
          <cell r="H73">
            <v>26</v>
          </cell>
          <cell r="J73">
            <v>26</v>
          </cell>
        </row>
        <row r="74">
          <cell r="F74" t="str">
            <v xml:space="preserve">                                                              Percentage Implemented</v>
          </cell>
          <cell r="H74">
            <v>1</v>
          </cell>
        </row>
        <row r="76">
          <cell r="F76" t="str">
            <v>QUALITY</v>
          </cell>
        </row>
        <row r="77">
          <cell r="D77" t="str">
            <v/>
          </cell>
          <cell r="F77" t="str">
            <v>CUSTODIAL (EDUCATION ONLY)</v>
          </cell>
        </row>
        <row r="78">
          <cell r="F78" t="str">
            <v>Classrooms (Instructional / Vocational / Labs)</v>
          </cell>
        </row>
        <row r="79">
          <cell r="A79">
            <v>45</v>
          </cell>
          <cell r="D79">
            <v>2</v>
          </cell>
          <cell r="F79" t="str">
            <v>Are floors clean (free of dirt, spills, litter) and finished with a depth shine**; or is carpeting clean and free of spots?</v>
          </cell>
          <cell r="H79" t="str">
            <v>N/A</v>
          </cell>
          <cell r="J79">
            <v>0</v>
          </cell>
          <cell r="K79" t="str">
            <v>EdCust</v>
          </cell>
        </row>
        <row r="80">
          <cell r="A80">
            <v>46</v>
          </cell>
          <cell r="D80">
            <v>2</v>
          </cell>
          <cell r="F80" t="str">
            <v>Are walls clean (free of smudges, marks, graffiti)?</v>
          </cell>
          <cell r="H80" t="str">
            <v>N/A</v>
          </cell>
          <cell r="J80">
            <v>0</v>
          </cell>
          <cell r="K80" t="str">
            <v>EdCust</v>
          </cell>
        </row>
        <row r="81">
          <cell r="A81">
            <v>47</v>
          </cell>
          <cell r="D81">
            <v>2</v>
          </cell>
          <cell r="F81" t="str">
            <v>Are window interiors and ledges clean and dusted?</v>
          </cell>
          <cell r="H81" t="str">
            <v>N/A</v>
          </cell>
          <cell r="J81">
            <v>0</v>
          </cell>
          <cell r="K81" t="str">
            <v>EdCust</v>
          </cell>
        </row>
        <row r="82">
          <cell r="A82">
            <v>48</v>
          </cell>
          <cell r="D82">
            <v>2</v>
          </cell>
          <cell r="F82" t="str">
            <v>Are chalkboards cleaned?</v>
          </cell>
          <cell r="H82" t="str">
            <v>N/A</v>
          </cell>
          <cell r="J82">
            <v>0</v>
          </cell>
          <cell r="K82" t="str">
            <v>EdCust</v>
          </cell>
        </row>
        <row r="83">
          <cell r="A83">
            <v>49</v>
          </cell>
          <cell r="D83">
            <v>2</v>
          </cell>
          <cell r="F83" t="str">
            <v>Are all horizontal surfaces clean and free of dust?  (shelving, alarms, clocks, etc.)</v>
          </cell>
          <cell r="H83" t="str">
            <v>N/A</v>
          </cell>
          <cell r="J83">
            <v>0</v>
          </cell>
          <cell r="K83" t="str">
            <v>EdCust</v>
          </cell>
        </row>
        <row r="84">
          <cell r="A84">
            <v>50</v>
          </cell>
          <cell r="D84">
            <v>2</v>
          </cell>
          <cell r="F84" t="str">
            <v>Are all furnishings arranged neatly and orderly?</v>
          </cell>
          <cell r="H84" t="str">
            <v>N/A</v>
          </cell>
          <cell r="J84">
            <v>0</v>
          </cell>
          <cell r="K84" t="str">
            <v>EdCust</v>
          </cell>
        </row>
        <row r="85">
          <cell r="A85">
            <v>51</v>
          </cell>
          <cell r="D85">
            <v>2</v>
          </cell>
          <cell r="F85" t="str">
            <v>Are trash containers clean and, if applicable, lined and covered?</v>
          </cell>
          <cell r="H85" t="str">
            <v>N/A</v>
          </cell>
          <cell r="J85">
            <v>0</v>
          </cell>
          <cell r="K85" t="str">
            <v>EdCust</v>
          </cell>
        </row>
        <row r="86">
          <cell r="F86" t="str">
            <v>Offices (Administrative / Faculty)</v>
          </cell>
        </row>
        <row r="87">
          <cell r="A87">
            <v>52</v>
          </cell>
          <cell r="D87">
            <v>2</v>
          </cell>
          <cell r="F87" t="str">
            <v>Are floors clean (free of dirt, spills, litter) and finished with a depth shine**; or is carpeting clean and free of spots?</v>
          </cell>
          <cell r="H87" t="str">
            <v>N/A</v>
          </cell>
          <cell r="J87">
            <v>0</v>
          </cell>
          <cell r="K87" t="str">
            <v>EdCust</v>
          </cell>
        </row>
        <row r="88">
          <cell r="A88">
            <v>53</v>
          </cell>
          <cell r="D88">
            <v>2</v>
          </cell>
          <cell r="F88" t="str">
            <v>Are walls clean (free of smudges, marks, graffiti)?</v>
          </cell>
          <cell r="H88" t="str">
            <v>N/A</v>
          </cell>
          <cell r="J88">
            <v>0</v>
          </cell>
          <cell r="K88" t="str">
            <v>EdCust</v>
          </cell>
        </row>
        <row r="89">
          <cell r="A89">
            <v>54</v>
          </cell>
          <cell r="D89">
            <v>2</v>
          </cell>
          <cell r="F89" t="str">
            <v>Are window interiors and ledges clean and dusted?</v>
          </cell>
          <cell r="H89" t="str">
            <v>N/A</v>
          </cell>
          <cell r="J89">
            <v>0</v>
          </cell>
          <cell r="K89" t="str">
            <v>EdCust</v>
          </cell>
        </row>
        <row r="90">
          <cell r="A90">
            <v>55</v>
          </cell>
          <cell r="D90">
            <v>2</v>
          </cell>
          <cell r="F90" t="str">
            <v>Are furniture and bookshelves clean and dusted or polished?</v>
          </cell>
          <cell r="H90" t="str">
            <v>N/A</v>
          </cell>
          <cell r="J90">
            <v>0</v>
          </cell>
          <cell r="K90" t="str">
            <v>EdCust</v>
          </cell>
        </row>
        <row r="91">
          <cell r="A91">
            <v>56</v>
          </cell>
          <cell r="D91">
            <v>2</v>
          </cell>
          <cell r="F91" t="str">
            <v>Are trash containers clean and, if applicable, lined and covered?</v>
          </cell>
          <cell r="H91" t="str">
            <v>N/A</v>
          </cell>
          <cell r="J91">
            <v>0</v>
          </cell>
          <cell r="K91" t="str">
            <v>EdCust</v>
          </cell>
        </row>
        <row r="92">
          <cell r="F92" t="str">
            <v>Gymnasium</v>
          </cell>
        </row>
        <row r="93">
          <cell r="A93">
            <v>57</v>
          </cell>
          <cell r="D93">
            <v>2</v>
          </cell>
          <cell r="F93" t="str">
            <v>Are floors clean (free of dirt, spills, litter), and do they have a good shine?</v>
          </cell>
          <cell r="H93" t="str">
            <v>N/A</v>
          </cell>
          <cell r="J93">
            <v>0</v>
          </cell>
          <cell r="K93" t="str">
            <v>EdCust</v>
          </cell>
        </row>
        <row r="94">
          <cell r="A94">
            <v>58</v>
          </cell>
          <cell r="D94">
            <v>2</v>
          </cell>
          <cell r="F94" t="str">
            <v>Are walls clean?</v>
          </cell>
          <cell r="H94" t="str">
            <v>N/A</v>
          </cell>
          <cell r="J94">
            <v>0</v>
          </cell>
          <cell r="K94" t="str">
            <v>EdCust</v>
          </cell>
        </row>
        <row r="95">
          <cell r="A95">
            <v>59</v>
          </cell>
          <cell r="D95">
            <v>2</v>
          </cell>
          <cell r="F95" t="str">
            <v>Are water fountains, vents and registers clean?</v>
          </cell>
          <cell r="H95" t="str">
            <v>N/A</v>
          </cell>
          <cell r="J95">
            <v>0</v>
          </cell>
          <cell r="K95" t="str">
            <v>EdCust</v>
          </cell>
        </row>
        <row r="96">
          <cell r="A96">
            <v>60</v>
          </cell>
          <cell r="D96">
            <v>2</v>
          </cell>
          <cell r="F96" t="str">
            <v>Are bleachers free of dirt, spills and litter?</v>
          </cell>
          <cell r="H96" t="str">
            <v>N/A</v>
          </cell>
          <cell r="J96">
            <v>0</v>
          </cell>
          <cell r="K96" t="str">
            <v>EdCust</v>
          </cell>
        </row>
        <row r="97">
          <cell r="A97">
            <v>61</v>
          </cell>
          <cell r="D97">
            <v>2</v>
          </cell>
          <cell r="F97" t="str">
            <v>Are lockers clean and dusted?</v>
          </cell>
          <cell r="H97" t="str">
            <v>N/A</v>
          </cell>
          <cell r="J97">
            <v>0</v>
          </cell>
          <cell r="K97" t="str">
            <v>EdCust</v>
          </cell>
        </row>
        <row r="98">
          <cell r="A98">
            <v>62</v>
          </cell>
          <cell r="D98">
            <v>2</v>
          </cell>
          <cell r="F98" t="str">
            <v>Are urinal and toilet stall partitions clean?</v>
          </cell>
          <cell r="H98" t="str">
            <v>N/A</v>
          </cell>
          <cell r="J98">
            <v>0</v>
          </cell>
          <cell r="K98" t="str">
            <v>EdCust</v>
          </cell>
        </row>
        <row r="99">
          <cell r="A99">
            <v>63</v>
          </cell>
          <cell r="D99">
            <v>2</v>
          </cell>
          <cell r="F99" t="str">
            <v>Are showers, sinks and counter tops free of soap build-up; are mirrors clean?</v>
          </cell>
          <cell r="H99" t="str">
            <v>N/A</v>
          </cell>
          <cell r="J99">
            <v>0</v>
          </cell>
          <cell r="K99" t="str">
            <v>EdCust</v>
          </cell>
        </row>
        <row r="100">
          <cell r="A100">
            <v>64</v>
          </cell>
          <cell r="D100">
            <v>2</v>
          </cell>
          <cell r="F100" t="str">
            <v>Is all exposed chrome polished around sinks, urinals, toilets and in the shower?</v>
          </cell>
          <cell r="H100" t="str">
            <v>N/A</v>
          </cell>
          <cell r="J100">
            <v>0</v>
          </cell>
          <cell r="K100" t="str">
            <v>EdCust</v>
          </cell>
        </row>
        <row r="101">
          <cell r="A101">
            <v>65</v>
          </cell>
          <cell r="D101">
            <v>2</v>
          </cell>
          <cell r="F101" t="str">
            <v>Are trash containers clean and, if applicable, lined and covered?</v>
          </cell>
          <cell r="H101" t="str">
            <v>N/A</v>
          </cell>
          <cell r="J101">
            <v>0</v>
          </cell>
          <cell r="K101" t="str">
            <v>EdCust</v>
          </cell>
        </row>
        <row r="102">
          <cell r="A102">
            <v>66</v>
          </cell>
          <cell r="D102">
            <v>2</v>
          </cell>
          <cell r="F102" t="str">
            <v>Are supply dispensers clean and adequately filled?</v>
          </cell>
          <cell r="H102" t="str">
            <v>N/A</v>
          </cell>
          <cell r="J102">
            <v>0</v>
          </cell>
          <cell r="K102" t="str">
            <v>EdCust</v>
          </cell>
        </row>
        <row r="105">
          <cell r="F105" t="str">
            <v>QUALITY</v>
          </cell>
        </row>
        <row r="106">
          <cell r="F106" t="str">
            <v>CUSTODIAL (EDUCATION ONLY) (CONTINUED)</v>
          </cell>
        </row>
        <row r="107">
          <cell r="F107" t="str">
            <v>Auditorium / Library / Commons</v>
          </cell>
        </row>
        <row r="108">
          <cell r="A108">
            <v>67</v>
          </cell>
          <cell r="D108">
            <v>2</v>
          </cell>
          <cell r="F108" t="str">
            <v>Are floors clean (free of dirt, spills, litter) and finished with a depth shine**; or is carpeting clean and free of spots?</v>
          </cell>
          <cell r="H108" t="str">
            <v>N/A</v>
          </cell>
          <cell r="J108">
            <v>0</v>
          </cell>
          <cell r="K108" t="str">
            <v>EdCust</v>
          </cell>
        </row>
        <row r="109">
          <cell r="A109">
            <v>68</v>
          </cell>
          <cell r="D109">
            <v>2</v>
          </cell>
          <cell r="F109" t="str">
            <v>Are the walls clean?</v>
          </cell>
          <cell r="H109" t="str">
            <v>N/A</v>
          </cell>
          <cell r="J109">
            <v>0</v>
          </cell>
          <cell r="K109" t="str">
            <v>EdCust</v>
          </cell>
        </row>
        <row r="110">
          <cell r="A110">
            <v>69</v>
          </cell>
          <cell r="D110">
            <v>2</v>
          </cell>
          <cell r="F110" t="str">
            <v>Are water fountains, vents and registers clean?</v>
          </cell>
          <cell r="H110" t="str">
            <v>N/A</v>
          </cell>
          <cell r="J110">
            <v>0</v>
          </cell>
          <cell r="K110" t="str">
            <v>EdCust</v>
          </cell>
        </row>
        <row r="111">
          <cell r="A111">
            <v>70</v>
          </cell>
          <cell r="D111">
            <v>2</v>
          </cell>
          <cell r="F111" t="str">
            <v>Are the bleachers/seats free of dirt, spills and litter?</v>
          </cell>
          <cell r="H111" t="str">
            <v>N/A</v>
          </cell>
          <cell r="J111">
            <v>0</v>
          </cell>
          <cell r="K111" t="str">
            <v>EdCust</v>
          </cell>
        </row>
        <row r="112">
          <cell r="A112">
            <v>71</v>
          </cell>
          <cell r="D112">
            <v>2</v>
          </cell>
          <cell r="F112" t="str">
            <v>Are the lockers clean and dusted?</v>
          </cell>
          <cell r="H112" t="str">
            <v>N/A</v>
          </cell>
          <cell r="J112">
            <v>0</v>
          </cell>
          <cell r="K112" t="str">
            <v>EdCust</v>
          </cell>
        </row>
        <row r="113">
          <cell r="A113">
            <v>72</v>
          </cell>
          <cell r="D113">
            <v>2</v>
          </cell>
          <cell r="F113" t="str">
            <v>Are trash containers clean and, if applicable, lined and covered?</v>
          </cell>
          <cell r="H113" t="str">
            <v>N/A</v>
          </cell>
          <cell r="J113">
            <v>0</v>
          </cell>
          <cell r="K113" t="str">
            <v>EdCust</v>
          </cell>
        </row>
        <row r="115">
          <cell r="F115" t="str">
            <v xml:space="preserve">                                                               Total Quality - Custodial (Education Only)</v>
          </cell>
          <cell r="H115">
            <v>0</v>
          </cell>
          <cell r="J115">
            <v>0</v>
          </cell>
        </row>
        <row r="116">
          <cell r="F116" t="str">
            <v xml:space="preserve">                                                               Percentage Implemented</v>
          </cell>
          <cell r="H116" t="str">
            <v>N/A</v>
          </cell>
        </row>
        <row r="119">
          <cell r="F119" t="str">
            <v>QUALITY</v>
          </cell>
        </row>
        <row r="120">
          <cell r="F120" t="str">
            <v>GROUNDS</v>
          </cell>
          <cell r="H120" t="str">
            <v>Score</v>
          </cell>
          <cell r="J120" t="str">
            <v>Possible</v>
          </cell>
        </row>
        <row r="121">
          <cell r="F121" t="str">
            <v>Turf</v>
          </cell>
          <cell r="J121" t="str">
            <v>Score</v>
          </cell>
        </row>
        <row r="122">
          <cell r="A122">
            <v>73</v>
          </cell>
          <cell r="D122">
            <v>2</v>
          </cell>
          <cell r="F122" t="str">
            <v>Do turf areas have a uniform, healthy appearance? (free of bare spots and not compacted)</v>
          </cell>
          <cell r="H122" t="str">
            <v>N/A</v>
          </cell>
          <cell r="J122">
            <v>0</v>
          </cell>
          <cell r="K122" t="str">
            <v>Ground</v>
          </cell>
        </row>
        <row r="123">
          <cell r="A123">
            <v>74</v>
          </cell>
          <cell r="D123">
            <v>2</v>
          </cell>
          <cell r="F123" t="str">
            <v>Is mowing performed frequently enough to eliminate heavy clipping accumulation?</v>
          </cell>
          <cell r="H123" t="str">
            <v>N/A</v>
          </cell>
          <cell r="J123">
            <v>0</v>
          </cell>
          <cell r="K123" t="str">
            <v>Ground</v>
          </cell>
        </row>
        <row r="124">
          <cell r="A124">
            <v>75</v>
          </cell>
          <cell r="D124">
            <v>2</v>
          </cell>
          <cell r="F124" t="str">
            <v>Is turf trimmed around trees, fences and buildings?</v>
          </cell>
          <cell r="H124" t="str">
            <v>N/A</v>
          </cell>
          <cell r="J124">
            <v>0</v>
          </cell>
          <cell r="K124" t="str">
            <v>Ground</v>
          </cell>
        </row>
        <row r="125">
          <cell r="A125">
            <v>76</v>
          </cell>
          <cell r="D125">
            <v>2</v>
          </cell>
          <cell r="F125" t="str">
            <v>Are curbs and sidewalks neatly edged?</v>
          </cell>
          <cell r="H125" t="str">
            <v>N/A</v>
          </cell>
          <cell r="J125">
            <v>0</v>
          </cell>
          <cell r="K125" t="str">
            <v>Ground</v>
          </cell>
        </row>
        <row r="126">
          <cell r="A126">
            <v>77</v>
          </cell>
          <cell r="D126">
            <v>2</v>
          </cell>
          <cell r="F126" t="str">
            <v>Managers know turf varieties being grown?</v>
          </cell>
          <cell r="H126" t="str">
            <v>N/A</v>
          </cell>
          <cell r="J126">
            <v>0</v>
          </cell>
          <cell r="K126" t="str">
            <v>Ground</v>
          </cell>
        </row>
        <row r="127">
          <cell r="A127">
            <v>78</v>
          </cell>
          <cell r="D127">
            <v>2</v>
          </cell>
          <cell r="F127" t="str">
            <v>The turf is mowed to an appropriate height?</v>
          </cell>
          <cell r="H127" t="str">
            <v>N/A</v>
          </cell>
          <cell r="J127">
            <v>0</v>
          </cell>
          <cell r="K127" t="str">
            <v>Ground</v>
          </cell>
        </row>
        <row r="128">
          <cell r="A128">
            <v>79</v>
          </cell>
          <cell r="D128">
            <v>2</v>
          </cell>
          <cell r="F128" t="str">
            <v>The turf contains a minimum of weeds?</v>
          </cell>
          <cell r="H128" t="str">
            <v>N/A</v>
          </cell>
          <cell r="J128">
            <v>0</v>
          </cell>
          <cell r="K128" t="str">
            <v>Ground</v>
          </cell>
        </row>
        <row r="129">
          <cell r="A129">
            <v>80</v>
          </cell>
          <cell r="D129">
            <v>2</v>
          </cell>
          <cell r="F129" t="str">
            <v>Turf areas have been aerated within the last year?</v>
          </cell>
          <cell r="H129" t="str">
            <v>N/A</v>
          </cell>
          <cell r="J129">
            <v>0</v>
          </cell>
          <cell r="K129" t="str">
            <v>Ground</v>
          </cell>
        </row>
        <row r="130">
          <cell r="A130">
            <v>81</v>
          </cell>
          <cell r="D130">
            <v>2</v>
          </cell>
          <cell r="F130" t="str">
            <v>Repair and reseeding of damaged turf is done on a routine and as needed basis?</v>
          </cell>
          <cell r="H130" t="str">
            <v>N/A</v>
          </cell>
          <cell r="J130">
            <v>0</v>
          </cell>
          <cell r="K130" t="str">
            <v>Ground</v>
          </cell>
        </row>
        <row r="131">
          <cell r="F131" t="str">
            <v>Trees / Shrubs / Beds</v>
          </cell>
        </row>
        <row r="132">
          <cell r="A132">
            <v>82</v>
          </cell>
          <cell r="D132">
            <v>2</v>
          </cell>
          <cell r="F132" t="str">
            <v>Are trees and shrubs pruned and trimmed in an attractive manner?</v>
          </cell>
          <cell r="H132" t="str">
            <v>N/A</v>
          </cell>
          <cell r="J132">
            <v>0</v>
          </cell>
          <cell r="K132" t="str">
            <v>Ground</v>
          </cell>
        </row>
        <row r="133">
          <cell r="A133">
            <v>83</v>
          </cell>
          <cell r="D133">
            <v>2</v>
          </cell>
          <cell r="F133" t="str">
            <v>Are flower and shrub beds neatly edged and weed free?</v>
          </cell>
          <cell r="H133" t="str">
            <v>N/A</v>
          </cell>
          <cell r="J133">
            <v>0</v>
          </cell>
          <cell r="K133" t="str">
            <v>Ground</v>
          </cell>
        </row>
        <row r="134">
          <cell r="A134">
            <v>84</v>
          </cell>
          <cell r="D134">
            <v>2</v>
          </cell>
          <cell r="F134" t="str">
            <v>Are the base of trees mulched and sprayed to provide a finished appearance and to avoid lawn mower damage?</v>
          </cell>
          <cell r="H134" t="str">
            <v>N/A</v>
          </cell>
          <cell r="J134">
            <v>0</v>
          </cell>
          <cell r="K134" t="str">
            <v>Ground</v>
          </cell>
        </row>
        <row r="135">
          <cell r="A135">
            <v>85</v>
          </cell>
          <cell r="D135">
            <v>2</v>
          </cell>
          <cell r="F135" t="str">
            <v>Are ground covers vigorous and neat?</v>
          </cell>
          <cell r="H135" t="str">
            <v>N/A</v>
          </cell>
          <cell r="J135">
            <v>0</v>
          </cell>
          <cell r="K135" t="str">
            <v>Ground</v>
          </cell>
        </row>
        <row r="136">
          <cell r="A136">
            <v>86</v>
          </cell>
          <cell r="D136">
            <v>2</v>
          </cell>
          <cell r="F136" t="str">
            <v>Accents of color/flowers are used to enhance high visibility areas?</v>
          </cell>
          <cell r="H136" t="str">
            <v>N/A</v>
          </cell>
          <cell r="J136">
            <v>0</v>
          </cell>
          <cell r="K136" t="str">
            <v>Ground</v>
          </cell>
        </row>
        <row r="137">
          <cell r="A137">
            <v>87</v>
          </cell>
          <cell r="D137">
            <v>2</v>
          </cell>
          <cell r="F137" t="str">
            <v>Are dead plants removed and space filled in?</v>
          </cell>
          <cell r="H137" t="str">
            <v>N/A</v>
          </cell>
          <cell r="J137">
            <v>0</v>
          </cell>
          <cell r="K137" t="str">
            <v>Ground</v>
          </cell>
        </row>
        <row r="138">
          <cell r="A138">
            <v>88</v>
          </cell>
          <cell r="D138">
            <v>2</v>
          </cell>
          <cell r="F138" t="str">
            <v>Diseased plants are identified and corrective action taken?</v>
          </cell>
          <cell r="H138" t="str">
            <v>N/A</v>
          </cell>
          <cell r="J138">
            <v>0</v>
          </cell>
          <cell r="K138" t="str">
            <v>Ground</v>
          </cell>
        </row>
        <row r="139">
          <cell r="F139" t="str">
            <v>Hard Surfaces / Fences / Signs / Trash</v>
          </cell>
        </row>
        <row r="140">
          <cell r="A140">
            <v>89</v>
          </cell>
          <cell r="D140">
            <v>2</v>
          </cell>
          <cell r="F140" t="str">
            <v>Are sidewalks and paved surfaces swept/blown clean after mowing?</v>
          </cell>
          <cell r="H140" t="str">
            <v>N/A</v>
          </cell>
          <cell r="J140">
            <v>0</v>
          </cell>
          <cell r="K140" t="str">
            <v>Ground</v>
          </cell>
        </row>
        <row r="141">
          <cell r="A141">
            <v>90</v>
          </cell>
          <cell r="D141">
            <v>2</v>
          </cell>
          <cell r="F141" t="str">
            <v>Are curbs, sidewalks and parking lots weed-free?</v>
          </cell>
          <cell r="H141" t="str">
            <v>N/A</v>
          </cell>
          <cell r="J141">
            <v>0</v>
          </cell>
          <cell r="K141" t="str">
            <v>Ground</v>
          </cell>
        </row>
        <row r="142">
          <cell r="A142">
            <v>91</v>
          </cell>
          <cell r="D142">
            <v>2</v>
          </cell>
          <cell r="F142" t="str">
            <v>Are fences in good repair and free of trash and vegetative growth?  (weeds &amp; grass)</v>
          </cell>
          <cell r="H142" t="str">
            <v>N/A</v>
          </cell>
          <cell r="J142">
            <v>0</v>
          </cell>
          <cell r="K142" t="str">
            <v>Ground</v>
          </cell>
        </row>
        <row r="143">
          <cell r="A143">
            <v>92</v>
          </cell>
          <cell r="D143">
            <v>2</v>
          </cell>
          <cell r="F143" t="str">
            <v>Are parking lot gutters free of built up leaves, trash and debris?</v>
          </cell>
          <cell r="H143" t="str">
            <v>N/A</v>
          </cell>
          <cell r="J143">
            <v>0</v>
          </cell>
          <cell r="K143" t="str">
            <v>Ground</v>
          </cell>
        </row>
        <row r="144">
          <cell r="A144">
            <v>93</v>
          </cell>
          <cell r="D144">
            <v>2</v>
          </cell>
          <cell r="F144" t="str">
            <v>Are potholes absent and new ones are filled in immediately?</v>
          </cell>
          <cell r="H144" t="str">
            <v>N/A</v>
          </cell>
          <cell r="J144">
            <v>0</v>
          </cell>
          <cell r="K144" t="str">
            <v>Ground</v>
          </cell>
        </row>
        <row r="145">
          <cell r="A145">
            <v>94</v>
          </cell>
          <cell r="D145">
            <v>2</v>
          </cell>
          <cell r="F145" t="str">
            <v>Are signs legible and located in a conspicuous location?  Painted road, parking lot, and curb markings are in good repair?</v>
          </cell>
          <cell r="H145" t="str">
            <v>N/A</v>
          </cell>
          <cell r="J145">
            <v>0</v>
          </cell>
          <cell r="K145" t="str">
            <v>Ground</v>
          </cell>
        </row>
        <row r="146">
          <cell r="A146">
            <v>95</v>
          </cell>
          <cell r="D146">
            <v>2</v>
          </cell>
          <cell r="F146" t="str">
            <v>Are building exteriors free of leaves, trash and debris?</v>
          </cell>
          <cell r="H146" t="str">
            <v>N/A</v>
          </cell>
          <cell r="J146">
            <v>0</v>
          </cell>
          <cell r="K146" t="str">
            <v>Ground</v>
          </cell>
        </row>
        <row r="147">
          <cell r="A147">
            <v>96</v>
          </cell>
          <cell r="D147">
            <v>2</v>
          </cell>
          <cell r="F147" t="str">
            <v>Are building exteriors free of unsightly storage?</v>
          </cell>
          <cell r="H147" t="str">
            <v>N/A</v>
          </cell>
          <cell r="J147">
            <v>0</v>
          </cell>
          <cell r="K147" t="str">
            <v>Ground</v>
          </cell>
        </row>
        <row r="148">
          <cell r="A148">
            <v>97</v>
          </cell>
          <cell r="D148">
            <v>2</v>
          </cell>
          <cell r="F148" t="str">
            <v>Are building exteriors and walkways free of graffiti?</v>
          </cell>
          <cell r="H148" t="str">
            <v>N/A</v>
          </cell>
          <cell r="J148">
            <v>0</v>
          </cell>
          <cell r="K148" t="str">
            <v>Ground</v>
          </cell>
        </row>
        <row r="149">
          <cell r="A149">
            <v>98</v>
          </cell>
          <cell r="D149">
            <v>2</v>
          </cell>
          <cell r="F149" t="str">
            <v>Are outside trash containers in good repair, suitable to the surroundings and emptied routinely to prevent overflow?</v>
          </cell>
          <cell r="H149" t="str">
            <v>N/A</v>
          </cell>
          <cell r="J149">
            <v>0</v>
          </cell>
          <cell r="K149" t="str">
            <v>Ground</v>
          </cell>
        </row>
        <row r="150">
          <cell r="F150" t="str">
            <v>Equipment And Shop Area</v>
          </cell>
        </row>
        <row r="151">
          <cell r="A151">
            <v>99</v>
          </cell>
          <cell r="D151">
            <v>2</v>
          </cell>
          <cell r="F151" t="str">
            <v>Is grounds equipment cleaned daily?</v>
          </cell>
          <cell r="H151" t="str">
            <v>N/A</v>
          </cell>
          <cell r="J151">
            <v>0</v>
          </cell>
          <cell r="K151" t="str">
            <v>Ground</v>
          </cell>
        </row>
        <row r="152">
          <cell r="A152">
            <v>100</v>
          </cell>
          <cell r="D152">
            <v>2</v>
          </cell>
          <cell r="F152" t="str">
            <v>Are mower blades kept sharp?</v>
          </cell>
          <cell r="H152" t="str">
            <v>N/A</v>
          </cell>
          <cell r="J152">
            <v>0</v>
          </cell>
          <cell r="K152" t="str">
            <v>Ground</v>
          </cell>
        </row>
        <row r="153">
          <cell r="A153">
            <v>101</v>
          </cell>
          <cell r="D153">
            <v>2</v>
          </cell>
          <cell r="F153" t="str">
            <v>Are shop and bench areas clean and orderly?</v>
          </cell>
          <cell r="H153" t="str">
            <v>N/A</v>
          </cell>
          <cell r="J153">
            <v>0</v>
          </cell>
          <cell r="K153" t="str">
            <v>Ground</v>
          </cell>
        </row>
        <row r="154">
          <cell r="A154">
            <v>102</v>
          </cell>
          <cell r="D154">
            <v>2</v>
          </cell>
          <cell r="F154" t="str">
            <v>Are tools cleaned and stored in an orderly fashion?</v>
          </cell>
          <cell r="H154" t="str">
            <v>N/A</v>
          </cell>
          <cell r="J154">
            <v>0</v>
          </cell>
          <cell r="K154" t="str">
            <v>Ground</v>
          </cell>
        </row>
        <row r="155">
          <cell r="A155">
            <v>103</v>
          </cell>
          <cell r="D155">
            <v>2</v>
          </cell>
          <cell r="F155" t="str">
            <v>Is equipment properly stored when not in use?</v>
          </cell>
          <cell r="H155" t="str">
            <v>N/A</v>
          </cell>
          <cell r="J155">
            <v>0</v>
          </cell>
          <cell r="K155" t="str">
            <v>Ground</v>
          </cell>
        </row>
        <row r="156">
          <cell r="A156">
            <v>104</v>
          </cell>
          <cell r="D156">
            <v>2</v>
          </cell>
          <cell r="F156" t="str">
            <v>Oil and filters are changed/cleaned regularly.</v>
          </cell>
          <cell r="H156" t="str">
            <v>N/A</v>
          </cell>
          <cell r="J156">
            <v>0</v>
          </cell>
          <cell r="K156" t="str">
            <v>Ground</v>
          </cell>
        </row>
        <row r="157">
          <cell r="D157" t="str">
            <v/>
          </cell>
          <cell r="F157" t="str">
            <v>QUALITY</v>
          </cell>
        </row>
        <row r="158">
          <cell r="F158" t="str">
            <v>GROUNDS (CONTINUED)</v>
          </cell>
        </row>
        <row r="159">
          <cell r="F159" t="str">
            <v>Equipment And Shop Area (Continued)</v>
          </cell>
        </row>
        <row r="160">
          <cell r="A160">
            <v>105</v>
          </cell>
          <cell r="D160">
            <v>2</v>
          </cell>
          <cell r="F160" t="str">
            <v>Vehicles are in safe operating condition.</v>
          </cell>
          <cell r="H160" t="str">
            <v>N/A</v>
          </cell>
          <cell r="J160">
            <v>0</v>
          </cell>
          <cell r="K160" t="str">
            <v>Ground</v>
          </cell>
        </row>
        <row r="161">
          <cell r="A161">
            <v>106</v>
          </cell>
          <cell r="D161">
            <v>2</v>
          </cell>
          <cell r="F161" t="str">
            <v>Routine preventive maintenance is being done and records are kept up-to-date.</v>
          </cell>
          <cell r="H161" t="str">
            <v>N/A</v>
          </cell>
          <cell r="J161">
            <v>0</v>
          </cell>
          <cell r="K161" t="str">
            <v>Ground</v>
          </cell>
        </row>
        <row r="162">
          <cell r="A162">
            <v>107</v>
          </cell>
          <cell r="D162">
            <v>2</v>
          </cell>
          <cell r="F162" t="str">
            <v>Pesticides are in appropriate containers, labeled and in approved storage containers.</v>
          </cell>
          <cell r="H162" t="str">
            <v>N/A</v>
          </cell>
          <cell r="J162">
            <v>0</v>
          </cell>
          <cell r="K162" t="str">
            <v>Ground</v>
          </cell>
        </row>
        <row r="163">
          <cell r="D163" t="str">
            <v/>
          </cell>
          <cell r="F163" t="str">
            <v>Irrigation</v>
          </cell>
        </row>
        <row r="164">
          <cell r="A164">
            <v>108</v>
          </cell>
          <cell r="D164">
            <v>2</v>
          </cell>
          <cell r="F164" t="str">
            <v>Irrigation is scheduled for an appropriate length, frequency and time of day to maximize water use.</v>
          </cell>
          <cell r="H164" t="str">
            <v>N/A</v>
          </cell>
          <cell r="J164">
            <v>0</v>
          </cell>
          <cell r="K164" t="str">
            <v>Ground</v>
          </cell>
        </row>
        <row r="165">
          <cell r="A165">
            <v>109</v>
          </cell>
          <cell r="D165">
            <v>2</v>
          </cell>
          <cell r="F165" t="str">
            <v>Irrigation heads are maintained and in proper working order.</v>
          </cell>
          <cell r="H165" t="str">
            <v>N/A</v>
          </cell>
          <cell r="J165">
            <v>0</v>
          </cell>
          <cell r="K165" t="str">
            <v>Ground</v>
          </cell>
        </row>
        <row r="166">
          <cell r="A166">
            <v>110</v>
          </cell>
          <cell r="D166">
            <v>2</v>
          </cell>
          <cell r="F166" t="str">
            <v>Major turf head location charts are maintained and up-to-date.</v>
          </cell>
          <cell r="H166" t="str">
            <v>N/A</v>
          </cell>
          <cell r="J166">
            <v>0</v>
          </cell>
          <cell r="K166" t="str">
            <v>Ground</v>
          </cell>
        </row>
        <row r="167">
          <cell r="A167">
            <v>111</v>
          </cell>
          <cell r="D167">
            <v>2</v>
          </cell>
          <cell r="F167" t="str">
            <v>Valve location charts are maintained and up-to-date?.</v>
          </cell>
          <cell r="H167" t="str">
            <v>N/A</v>
          </cell>
          <cell r="J167">
            <v>0</v>
          </cell>
          <cell r="K167" t="str">
            <v>Ground</v>
          </cell>
        </row>
        <row r="168">
          <cell r="A168">
            <v>112</v>
          </cell>
          <cell r="D168">
            <v>2</v>
          </cell>
          <cell r="F168" t="str">
            <v>Controllers are in good repair and function properly.</v>
          </cell>
          <cell r="H168" t="str">
            <v>N/A</v>
          </cell>
          <cell r="J168">
            <v>0</v>
          </cell>
          <cell r="K168" t="str">
            <v>Ground</v>
          </cell>
        </row>
        <row r="169">
          <cell r="A169">
            <v>113</v>
          </cell>
          <cell r="D169">
            <v>2</v>
          </cell>
          <cell r="F169" t="str">
            <v>An irrigation system preventive maintenance schedule is established</v>
          </cell>
          <cell r="H169" t="str">
            <v>N/A</v>
          </cell>
          <cell r="J169">
            <v>0</v>
          </cell>
          <cell r="K169" t="str">
            <v>Ground</v>
          </cell>
        </row>
        <row r="170">
          <cell r="A170">
            <v>114</v>
          </cell>
          <cell r="D170">
            <v>2</v>
          </cell>
          <cell r="F170" t="str">
            <v>Adequate repair parts are in stock.</v>
          </cell>
          <cell r="H170" t="str">
            <v>N/A</v>
          </cell>
          <cell r="J170">
            <v>0</v>
          </cell>
          <cell r="K170" t="str">
            <v>Ground</v>
          </cell>
        </row>
        <row r="171">
          <cell r="A171">
            <v>115</v>
          </cell>
          <cell r="D171">
            <v>2</v>
          </cell>
          <cell r="F171" t="str">
            <v>Irrigation patterns provide even coverage.</v>
          </cell>
          <cell r="H171" t="str">
            <v>N/A</v>
          </cell>
          <cell r="J171">
            <v>0</v>
          </cell>
          <cell r="K171" t="str">
            <v>Ground</v>
          </cell>
        </row>
        <row r="172">
          <cell r="F172" t="str">
            <v>Snow Removal</v>
          </cell>
        </row>
        <row r="173">
          <cell r="A173">
            <v>116</v>
          </cell>
          <cell r="D173">
            <v>2</v>
          </cell>
          <cell r="F173" t="str">
            <v>Start times and call-in procedures are established.</v>
          </cell>
          <cell r="H173" t="str">
            <v>N/A</v>
          </cell>
          <cell r="J173">
            <v>0</v>
          </cell>
          <cell r="K173" t="str">
            <v>Ground</v>
          </cell>
        </row>
        <row r="174">
          <cell r="A174">
            <v>117</v>
          </cell>
          <cell r="D174">
            <v>2</v>
          </cell>
          <cell r="F174" t="str">
            <v>Employees are trained on proper procedures and use of equipment for snow removal including safety precautions.</v>
          </cell>
          <cell r="H174" t="str">
            <v>N/A</v>
          </cell>
          <cell r="J174">
            <v>0</v>
          </cell>
          <cell r="K174" t="str">
            <v>Ground</v>
          </cell>
        </row>
        <row r="175">
          <cell r="A175">
            <v>118</v>
          </cell>
          <cell r="D175">
            <v>2</v>
          </cell>
          <cell r="F175" t="str">
            <v>Adequate materials and spare parts are on-hand and labeled.</v>
          </cell>
          <cell r="H175" t="str">
            <v>N/A</v>
          </cell>
          <cell r="J175">
            <v>0</v>
          </cell>
          <cell r="K175" t="str">
            <v>Ground</v>
          </cell>
        </row>
        <row r="176">
          <cell r="A176">
            <v>119</v>
          </cell>
          <cell r="D176">
            <v>2</v>
          </cell>
          <cell r="F176" t="str">
            <v>Arrangements have been made with an outside contractor if necessary.</v>
          </cell>
          <cell r="H176" t="str">
            <v>N/A</v>
          </cell>
          <cell r="J176">
            <v>0</v>
          </cell>
          <cell r="K176" t="str">
            <v>Ground</v>
          </cell>
        </row>
        <row r="178">
          <cell r="F178" t="str">
            <v xml:space="preserve">                                                               Total Quality - Grounds</v>
          </cell>
          <cell r="H178">
            <v>0</v>
          </cell>
          <cell r="J178">
            <v>0</v>
          </cell>
        </row>
        <row r="179">
          <cell r="F179" t="str">
            <v xml:space="preserve">                                                               Percentage Implemented</v>
          </cell>
          <cell r="H179" t="str">
            <v>N/A</v>
          </cell>
        </row>
        <row r="181">
          <cell r="F181" t="str">
            <v>Recreational / Playground Equipment (EDUCATION ONLY)</v>
          </cell>
        </row>
        <row r="182">
          <cell r="A182">
            <v>120</v>
          </cell>
          <cell r="D182">
            <v>2</v>
          </cell>
          <cell r="F182" t="str">
            <v>Is all equipment over an impact-absorption surface of proper depth to cushion falls?</v>
          </cell>
          <cell r="H182" t="str">
            <v>N/A</v>
          </cell>
          <cell r="J182">
            <v>0</v>
          </cell>
          <cell r="K182" t="str">
            <v>EdGround</v>
          </cell>
        </row>
        <row r="183">
          <cell r="A183">
            <v>121</v>
          </cell>
          <cell r="D183">
            <v>2</v>
          </cell>
          <cell r="F183" t="str">
            <v>Does the resilient surface extend 6 feet in all directions from stationary equipment?  (In compliance with CPSC guidelines)</v>
          </cell>
          <cell r="H183" t="str">
            <v>N/A</v>
          </cell>
          <cell r="J183">
            <v>0</v>
          </cell>
          <cell r="K183" t="str">
            <v>EdGround</v>
          </cell>
        </row>
        <row r="184">
          <cell r="A184">
            <v>122</v>
          </cell>
          <cell r="D184">
            <v>2</v>
          </cell>
          <cell r="F184" t="str">
            <v>Is equipment inspected monthly to comply with CPSC guidelines?  Completed inspection forms are on file with repairs noted.</v>
          </cell>
          <cell r="H184" t="str">
            <v>N/A</v>
          </cell>
          <cell r="J184">
            <v>0</v>
          </cell>
          <cell r="K184" t="str">
            <v>EdGround</v>
          </cell>
        </row>
        <row r="185">
          <cell r="A185">
            <v>123</v>
          </cell>
          <cell r="D185">
            <v>2</v>
          </cell>
          <cell r="F185" t="str">
            <v>Is area free from all broken glass, rocks, sticks and debris?</v>
          </cell>
          <cell r="H185" t="str">
            <v>N/A</v>
          </cell>
          <cell r="J185">
            <v>0</v>
          </cell>
          <cell r="K185" t="str">
            <v>EdGround</v>
          </cell>
        </row>
        <row r="186">
          <cell r="A186">
            <v>124</v>
          </cell>
          <cell r="D186">
            <v>2</v>
          </cell>
          <cell r="F186" t="str">
            <v>Are equipment footings properly covered?</v>
          </cell>
          <cell r="H186" t="str">
            <v>N/A</v>
          </cell>
          <cell r="J186">
            <v>0</v>
          </cell>
          <cell r="K186" t="str">
            <v>EdGround</v>
          </cell>
        </row>
        <row r="187">
          <cell r="A187">
            <v>125</v>
          </cell>
          <cell r="D187">
            <v>2</v>
          </cell>
          <cell r="F187" t="str">
            <v>Is equipment cleaned and painted?</v>
          </cell>
          <cell r="H187" t="str">
            <v>N/A</v>
          </cell>
          <cell r="J187">
            <v>0</v>
          </cell>
          <cell r="K187" t="str">
            <v>EdGround</v>
          </cell>
        </row>
        <row r="188">
          <cell r="A188">
            <v>126</v>
          </cell>
          <cell r="D188">
            <v>2</v>
          </cell>
          <cell r="F188" t="str">
            <v>Is incident reporting system in place and on file?</v>
          </cell>
          <cell r="H188" t="str">
            <v>N/A</v>
          </cell>
          <cell r="J188">
            <v>0</v>
          </cell>
          <cell r="K188" t="str">
            <v>EdGround</v>
          </cell>
        </row>
        <row r="189">
          <cell r="A189">
            <v>127</v>
          </cell>
          <cell r="D189">
            <v>2</v>
          </cell>
          <cell r="F189" t="str">
            <v>Has the playground safety information been distributed to administrators, teachers and parents?</v>
          </cell>
          <cell r="H189" t="str">
            <v>N/A</v>
          </cell>
          <cell r="J189">
            <v>0</v>
          </cell>
          <cell r="K189" t="str">
            <v>EdGround</v>
          </cell>
        </row>
        <row r="190">
          <cell r="A190">
            <v>128</v>
          </cell>
          <cell r="D190">
            <v>2</v>
          </cell>
          <cell r="F190" t="str">
            <v>Are playground site maps on file for each playground?</v>
          </cell>
          <cell r="H190" t="str">
            <v>N/A</v>
          </cell>
          <cell r="J190">
            <v>0</v>
          </cell>
          <cell r="K190" t="str">
            <v>EdGround</v>
          </cell>
        </row>
        <row r="191">
          <cell r="D191" t="str">
            <v/>
          </cell>
          <cell r="F191" t="str">
            <v>Athletic Fields (EDUCATION ONLY)</v>
          </cell>
        </row>
        <row r="192">
          <cell r="A192">
            <v>129</v>
          </cell>
          <cell r="D192">
            <v>2</v>
          </cell>
          <cell r="F192" t="str">
            <v>Does turf have a high visual appeal and a dense, uniform appearance?</v>
          </cell>
          <cell r="H192" t="str">
            <v>N/A</v>
          </cell>
          <cell r="J192">
            <v>0</v>
          </cell>
          <cell r="K192" t="str">
            <v>EdGround</v>
          </cell>
        </row>
        <row r="193">
          <cell r="A193">
            <v>130</v>
          </cell>
          <cell r="D193">
            <v>2</v>
          </cell>
          <cell r="F193" t="str">
            <v>Are fields and fence lines free of weeds?</v>
          </cell>
          <cell r="H193" t="str">
            <v>N/A</v>
          </cell>
          <cell r="J193">
            <v>0</v>
          </cell>
          <cell r="K193" t="str">
            <v>EdGround</v>
          </cell>
        </row>
        <row r="194">
          <cell r="A194">
            <v>131</v>
          </cell>
          <cell r="D194">
            <v>2</v>
          </cell>
          <cell r="F194" t="str">
            <v>Are spectator areas clean and free of trash and debris?</v>
          </cell>
          <cell r="H194" t="str">
            <v>N/A</v>
          </cell>
          <cell r="J194">
            <v>0</v>
          </cell>
          <cell r="K194" t="str">
            <v>EdGround</v>
          </cell>
        </row>
        <row r="195">
          <cell r="A195">
            <v>132</v>
          </cell>
          <cell r="D195">
            <v>2</v>
          </cell>
          <cell r="F195" t="str">
            <v>Are athletic fields free of holes, bumps, bare areas and tripping hazards?</v>
          </cell>
          <cell r="H195" t="str">
            <v>N/A</v>
          </cell>
          <cell r="J195">
            <v>0</v>
          </cell>
          <cell r="K195" t="str">
            <v>EdGround</v>
          </cell>
        </row>
        <row r="196">
          <cell r="A196">
            <v>133</v>
          </cell>
          <cell r="D196">
            <v>2</v>
          </cell>
          <cell r="F196" t="str">
            <v>Is the repair and reseeding of damaged turf areas done on a routine and as-needed basis?</v>
          </cell>
          <cell r="H196" t="str">
            <v>N/A</v>
          </cell>
          <cell r="J196">
            <v>0</v>
          </cell>
          <cell r="K196" t="str">
            <v>EdGround</v>
          </cell>
        </row>
        <row r="197">
          <cell r="A197">
            <v>134</v>
          </cell>
          <cell r="D197">
            <v>2</v>
          </cell>
          <cell r="F197" t="str">
            <v>Is mowing done frequently enough to eliminate heavy clipping accumulation?</v>
          </cell>
          <cell r="H197" t="str">
            <v>N/A</v>
          </cell>
          <cell r="J197">
            <v>0</v>
          </cell>
          <cell r="K197" t="str">
            <v>EdGround</v>
          </cell>
        </row>
        <row r="198">
          <cell r="A198">
            <v>135</v>
          </cell>
          <cell r="D198">
            <v>2</v>
          </cell>
          <cell r="F198" t="str">
            <v>Are all athletic fields aerated at least twice a year? (Must be in at least two (2) different directions each time!)</v>
          </cell>
          <cell r="H198" t="str">
            <v>N/A</v>
          </cell>
          <cell r="J198">
            <v>0</v>
          </cell>
          <cell r="K198" t="str">
            <v>EdGround</v>
          </cell>
        </row>
        <row r="199">
          <cell r="A199">
            <v>136</v>
          </cell>
          <cell r="D199">
            <v>2</v>
          </cell>
          <cell r="F199" t="str">
            <v>Are athletic fields fertilized at least twice a year, according to soil test results?</v>
          </cell>
          <cell r="H199" t="str">
            <v>N/A</v>
          </cell>
          <cell r="J199">
            <v>0</v>
          </cell>
          <cell r="K199" t="str">
            <v>EdGround</v>
          </cell>
        </row>
        <row r="200">
          <cell r="A200">
            <v>137</v>
          </cell>
          <cell r="D200">
            <v>2</v>
          </cell>
          <cell r="F200" t="str">
            <v>Are irrigation heads working, properly adjusted, and with appropriate covers?</v>
          </cell>
          <cell r="H200" t="str">
            <v>N/A</v>
          </cell>
          <cell r="J200">
            <v>0</v>
          </cell>
          <cell r="K200" t="str">
            <v>EdGround</v>
          </cell>
        </row>
        <row r="201">
          <cell r="A201">
            <v>138</v>
          </cell>
          <cell r="D201">
            <v>2</v>
          </cell>
          <cell r="F201" t="str">
            <v>Are baseball infields vegetation free, properly graded and edges well defined?</v>
          </cell>
          <cell r="H201" t="str">
            <v>N/A</v>
          </cell>
          <cell r="J201">
            <v>0</v>
          </cell>
          <cell r="K201" t="str">
            <v>EdGround</v>
          </cell>
        </row>
        <row r="202">
          <cell r="A202">
            <v>139</v>
          </cell>
          <cell r="D202">
            <v>2</v>
          </cell>
          <cell r="F202" t="str">
            <v>Does the football field have appropriate crown and good drainage?</v>
          </cell>
          <cell r="H202" t="str">
            <v>N/A</v>
          </cell>
          <cell r="J202">
            <v>0</v>
          </cell>
          <cell r="K202" t="str">
            <v>EdGround</v>
          </cell>
        </row>
        <row r="203">
          <cell r="A203">
            <v>140</v>
          </cell>
          <cell r="D203">
            <v>2</v>
          </cell>
          <cell r="F203" t="str">
            <v>Is the track free of weeds and grass?</v>
          </cell>
          <cell r="H203" t="str">
            <v>N/A</v>
          </cell>
          <cell r="J203">
            <v>0</v>
          </cell>
          <cell r="K203" t="str">
            <v>EdGround</v>
          </cell>
        </row>
        <row r="204">
          <cell r="A204">
            <v>141</v>
          </cell>
          <cell r="D204">
            <v>2</v>
          </cell>
          <cell r="F204" t="str">
            <v>Are outside bleacher areas free of weeds?</v>
          </cell>
          <cell r="H204" t="str">
            <v>N/A</v>
          </cell>
          <cell r="J204">
            <v>0</v>
          </cell>
          <cell r="K204" t="str">
            <v>EdGround</v>
          </cell>
        </row>
        <row r="205">
          <cell r="A205">
            <v>142</v>
          </cell>
          <cell r="D205">
            <v>2</v>
          </cell>
          <cell r="F205" t="str">
            <v>Are irrigation maps and plans on file and up-to-date?</v>
          </cell>
          <cell r="H205" t="str">
            <v>N/A</v>
          </cell>
          <cell r="J205">
            <v>0</v>
          </cell>
          <cell r="K205" t="str">
            <v>EdGround</v>
          </cell>
        </row>
        <row r="206">
          <cell r="A206">
            <v>143</v>
          </cell>
          <cell r="D206">
            <v>2</v>
          </cell>
          <cell r="F206" t="str">
            <v>Does the Manager have a good relationship with the Athletic Director?</v>
          </cell>
          <cell r="H206" t="str">
            <v>N/A</v>
          </cell>
          <cell r="J206">
            <v>0</v>
          </cell>
          <cell r="K206" t="str">
            <v>EdGround</v>
          </cell>
        </row>
        <row r="208">
          <cell r="F208" t="str">
            <v xml:space="preserve">                                                                     Total Quality - Education Only</v>
          </cell>
          <cell r="H208">
            <v>0</v>
          </cell>
          <cell r="J208">
            <v>0</v>
          </cell>
        </row>
        <row r="209">
          <cell r="F209" t="str">
            <v xml:space="preserve">                                                                     Percentage Implemented</v>
          </cell>
          <cell r="H209" t="str">
            <v>N/A</v>
          </cell>
        </row>
        <row r="211">
          <cell r="F211" t="str">
            <v>QUALITY</v>
          </cell>
        </row>
        <row r="212">
          <cell r="F212" t="str">
            <v>FOOD AND NUTRITION/CULINARY</v>
          </cell>
        </row>
        <row r="213">
          <cell r="A213">
            <v>144</v>
          </cell>
          <cell r="D213">
            <v>2</v>
          </cell>
          <cell r="F213" t="str">
            <v>Financial reports are up-to-date, accurate and monitored by the Director. (SOP Series 400)</v>
          </cell>
          <cell r="H213" t="str">
            <v>N/A</v>
          </cell>
          <cell r="J213">
            <v>0</v>
          </cell>
          <cell r="K213" t="str">
            <v>Food</v>
          </cell>
        </row>
        <row r="214">
          <cell r="A214">
            <v>145</v>
          </cell>
          <cell r="B214" t="str">
            <v>a.</v>
          </cell>
          <cell r="D214">
            <v>2</v>
          </cell>
          <cell r="F214" t="str">
            <v>Reviewed the previous month (YTD) FMS or actual vs. budget against Fast Financials for gross profit, total manhours/100 meals, total food cost/meal, and total supply cost/meal.</v>
          </cell>
          <cell r="H214" t="str">
            <v>N/A</v>
          </cell>
          <cell r="J214">
            <v>0</v>
          </cell>
          <cell r="K214" t="str">
            <v>Food</v>
          </cell>
        </row>
        <row r="215">
          <cell r="A215">
            <v>145</v>
          </cell>
          <cell r="B215" t="str">
            <v>b.</v>
          </cell>
          <cell r="D215">
            <v>2</v>
          </cell>
          <cell r="F215" t="str">
            <v>Review the previous week's Invoice Transmittal.  Are invoices from the primary supplier (M) annual or (O) order/receiving?  M is bad, O is good.</v>
          </cell>
          <cell r="H215" t="str">
            <v>N/A</v>
          </cell>
          <cell r="J215">
            <v>0</v>
          </cell>
          <cell r="K215" t="str">
            <v>Food</v>
          </cell>
        </row>
        <row r="216">
          <cell r="A216">
            <v>146</v>
          </cell>
          <cell r="D216">
            <v>2</v>
          </cell>
          <cell r="F216" t="str">
            <v>ServiceMaster standardized recipes are being used. (SOP 300.4)</v>
          </cell>
          <cell r="H216" t="str">
            <v>N/A</v>
          </cell>
          <cell r="J216">
            <v>0</v>
          </cell>
          <cell r="K216" t="str">
            <v>Food</v>
          </cell>
        </row>
        <row r="217">
          <cell r="A217">
            <v>147</v>
          </cell>
          <cell r="D217">
            <v>2</v>
          </cell>
          <cell r="F217" t="str">
            <v>Inventories are accurate and match established par stock levels. (SOPs 200.9, 400.4, and 400.5)</v>
          </cell>
          <cell r="H217" t="str">
            <v>N/A</v>
          </cell>
          <cell r="J217">
            <v>0</v>
          </cell>
          <cell r="K217" t="str">
            <v>Food</v>
          </cell>
        </row>
        <row r="218">
          <cell r="A218">
            <v>148</v>
          </cell>
          <cell r="D218">
            <v>2</v>
          </cell>
          <cell r="F218" t="str">
            <v>Food and Nutrition Services Department is in compliance with all regulatory agencies and meets standards.</v>
          </cell>
          <cell r="H218" t="str">
            <v>N/A</v>
          </cell>
          <cell r="J218">
            <v>0</v>
          </cell>
          <cell r="K218" t="str">
            <v>Food</v>
          </cell>
        </row>
        <row r="219">
          <cell r="D219" t="str">
            <v/>
          </cell>
          <cell r="F219" t="str">
            <v>Food Preparation</v>
          </cell>
        </row>
        <row r="220">
          <cell r="A220">
            <v>149</v>
          </cell>
          <cell r="D220">
            <v>2</v>
          </cell>
          <cell r="F220" t="str">
            <v>Is there clear evidence that, when appropriate, advance prep (rough prep/ingredient control) is being used.</v>
          </cell>
          <cell r="H220" t="str">
            <v>N/A</v>
          </cell>
          <cell r="J220">
            <v>0</v>
          </cell>
          <cell r="K220" t="str">
            <v>Food</v>
          </cell>
        </row>
        <row r="221">
          <cell r="A221">
            <v>150</v>
          </cell>
          <cell r="D221">
            <v>2</v>
          </cell>
          <cell r="F221" t="str">
            <v>Is there clear evidence that, when appropriate, batch cooking is being used?</v>
          </cell>
          <cell r="H221" t="str">
            <v>N/A</v>
          </cell>
          <cell r="J221">
            <v>0</v>
          </cell>
          <cell r="K221" t="str">
            <v>Food</v>
          </cell>
        </row>
        <row r="222">
          <cell r="A222">
            <v>151</v>
          </cell>
          <cell r="D222">
            <v>2</v>
          </cell>
          <cell r="F222" t="str">
            <v>Are the production personnel (including Management) tasting the food prior to service?</v>
          </cell>
          <cell r="H222" t="str">
            <v>N/A</v>
          </cell>
          <cell r="J222">
            <v>0</v>
          </cell>
          <cell r="K222" t="str">
            <v>Food</v>
          </cell>
        </row>
        <row r="223">
          <cell r="A223">
            <v>152</v>
          </cell>
          <cell r="D223">
            <v>2</v>
          </cell>
          <cell r="F223" t="str">
            <v>Are overs and unders recorded on the Food Production Record or MMS postcost?</v>
          </cell>
          <cell r="H223" t="str">
            <v>N/A</v>
          </cell>
          <cell r="J223">
            <v>0</v>
          </cell>
          <cell r="K223" t="str">
            <v>Food</v>
          </cell>
        </row>
        <row r="224">
          <cell r="A224">
            <v>153</v>
          </cell>
          <cell r="D224">
            <v>2</v>
          </cell>
          <cell r="F224" t="str">
            <v>Are daily food production meetings being held?  Are they being recorded?</v>
          </cell>
          <cell r="H224" t="str">
            <v>N/A</v>
          </cell>
          <cell r="J224">
            <v>0</v>
          </cell>
          <cell r="K224" t="str">
            <v>Food</v>
          </cell>
        </row>
        <row r="225">
          <cell r="F225" t="str">
            <v>Purchasing, Receiving, and Storage</v>
          </cell>
        </row>
        <row r="226">
          <cell r="A226">
            <v>154</v>
          </cell>
          <cell r="D226">
            <v>2</v>
          </cell>
          <cell r="F226" t="str">
            <v>Is there clear evidence that the storeroom clerk is checking the product before receiving it?</v>
          </cell>
          <cell r="H226" t="str">
            <v>N/A</v>
          </cell>
          <cell r="J226">
            <v>0</v>
          </cell>
          <cell r="K226" t="str">
            <v>Food</v>
          </cell>
        </row>
        <row r="227">
          <cell r="A227">
            <v>155</v>
          </cell>
          <cell r="D227">
            <v>2</v>
          </cell>
          <cell r="F227" t="str">
            <v>Are the top 12 food items spot checked for specification compliance?</v>
          </cell>
          <cell r="H227" t="str">
            <v>N/A</v>
          </cell>
          <cell r="J227">
            <v>0</v>
          </cell>
          <cell r="K227" t="str">
            <v>Food</v>
          </cell>
        </row>
        <row r="228">
          <cell r="A228">
            <v>156</v>
          </cell>
          <cell r="D228">
            <v>2</v>
          </cell>
          <cell r="F228" t="str">
            <v>Is there clear evidence that order guides are being used?</v>
          </cell>
          <cell r="H228" t="str">
            <v>N/A</v>
          </cell>
          <cell r="J228">
            <v>0</v>
          </cell>
          <cell r="K228" t="str">
            <v>Food</v>
          </cell>
        </row>
        <row r="229">
          <cell r="F229" t="str">
            <v>Proper Food Handling and Storage</v>
          </cell>
        </row>
        <row r="230">
          <cell r="A230">
            <v>157</v>
          </cell>
          <cell r="D230">
            <v>2</v>
          </cell>
          <cell r="F230" t="str">
            <v>Are all food products labeled, covered, and dated correctly?</v>
          </cell>
          <cell r="H230" t="str">
            <v>N/A</v>
          </cell>
          <cell r="J230">
            <v>0</v>
          </cell>
          <cell r="K230" t="str">
            <v>Food</v>
          </cell>
        </row>
        <row r="231">
          <cell r="D231" t="str">
            <v/>
          </cell>
          <cell r="F231" t="str">
            <v>Food Presentation and Proper Portioning</v>
          </cell>
        </row>
        <row r="232">
          <cell r="A232">
            <v>158</v>
          </cell>
          <cell r="D232">
            <v>2</v>
          </cell>
          <cell r="F232" t="str">
            <v>Are steam table arrangements being followed (portions listed match the recipe, correct serving utensils and pan sizes)?</v>
          </cell>
          <cell r="H232" t="str">
            <v>N/A</v>
          </cell>
          <cell r="J232">
            <v>0</v>
          </cell>
          <cell r="K232" t="str">
            <v>Food</v>
          </cell>
        </row>
        <row r="233">
          <cell r="A233">
            <v>159</v>
          </cell>
          <cell r="D233">
            <v>2</v>
          </cell>
          <cell r="F233" t="str">
            <v>Is food appropriately garnished?</v>
          </cell>
          <cell r="H233" t="str">
            <v>N/A</v>
          </cell>
          <cell r="J233">
            <v>0</v>
          </cell>
          <cell r="K233" t="str">
            <v>Food</v>
          </cell>
        </row>
        <row r="234">
          <cell r="A234">
            <v>160</v>
          </cell>
          <cell r="D234">
            <v>2</v>
          </cell>
          <cell r="F234" t="str">
            <v>Do the offerings have excellent appearance and taste?</v>
          </cell>
          <cell r="H234" t="str">
            <v>N/A</v>
          </cell>
          <cell r="J234">
            <v>0</v>
          </cell>
          <cell r="K234" t="str">
            <v>Food</v>
          </cell>
        </row>
        <row r="236">
          <cell r="F236" t="str">
            <v>Total Quality-Food and Nutrition</v>
          </cell>
          <cell r="H236">
            <v>0</v>
          </cell>
          <cell r="J236">
            <v>0</v>
          </cell>
        </row>
        <row r="237">
          <cell r="F237" t="str">
            <v xml:space="preserve">                                                                     Percentage Implemented</v>
          </cell>
          <cell r="H237" t="str">
            <v>N/A</v>
          </cell>
        </row>
        <row r="239">
          <cell r="F239" t="str">
            <v>QUALITY</v>
          </cell>
        </row>
        <row r="240">
          <cell r="F240" t="str">
            <v>FOOD AND NUTRITION (HEALTHCARE ONLY)</v>
          </cell>
        </row>
        <row r="241">
          <cell r="A241">
            <v>161</v>
          </cell>
          <cell r="D241">
            <v>2</v>
          </cell>
          <cell r="F241" t="str">
            <v>Cashier Reports and Cafeteria Sales Summaries are available, complete, and accurate.  (SOP 400.10, 400.11, 400.12, 900.11 and department policy)</v>
          </cell>
          <cell r="H241" t="str">
            <v>N/A</v>
          </cell>
          <cell r="J241">
            <v>0</v>
          </cell>
          <cell r="K241" t="str">
            <v>HFood</v>
          </cell>
        </row>
        <row r="242">
          <cell r="A242">
            <v>162</v>
          </cell>
          <cell r="D242">
            <v>2</v>
          </cell>
          <cell r="F242" t="str">
            <v>Is there clear evidence that a marketing plan has been prepared monthly and is being implemented?</v>
          </cell>
          <cell r="H242" t="str">
            <v>N/A</v>
          </cell>
          <cell r="J242">
            <v>0</v>
          </cell>
          <cell r="K242" t="str">
            <v>HFood</v>
          </cell>
        </row>
        <row r="244">
          <cell r="F244" t="str">
            <v>Total Quality-Food and Nutrition (Healthcare Only)</v>
          </cell>
          <cell r="H244">
            <v>0</v>
          </cell>
          <cell r="J244">
            <v>0</v>
          </cell>
        </row>
        <row r="245">
          <cell r="F245" t="str">
            <v xml:space="preserve">                                                                     Percentage Implemented</v>
          </cell>
          <cell r="H245" t="str">
            <v>N/A</v>
          </cell>
        </row>
        <row r="252">
          <cell r="F252" t="str">
            <v>QUALITY</v>
          </cell>
        </row>
        <row r="253">
          <cell r="F253" t="str">
            <v>CENTRAL TRANSPORTATION</v>
          </cell>
        </row>
        <row r="254">
          <cell r="A254">
            <v>163</v>
          </cell>
          <cell r="D254">
            <v>2</v>
          </cell>
          <cell r="F254" t="str">
            <v>Are dispatch employees speaking professionally when receiving telephone requests and are they using standard terminology when communicating?</v>
          </cell>
          <cell r="H254" t="str">
            <v>N/A</v>
          </cell>
          <cell r="J254">
            <v>0</v>
          </cell>
          <cell r="K254" t="str">
            <v>Trans</v>
          </cell>
        </row>
        <row r="255">
          <cell r="A255">
            <v>164</v>
          </cell>
          <cell r="D255">
            <v>2</v>
          </cell>
          <cell r="F255" t="str">
            <v>Are the dispatch employees contacting the destination departments when a patient is delayed or cancelled?</v>
          </cell>
          <cell r="H255" t="str">
            <v>N/A</v>
          </cell>
          <cell r="J255">
            <v>0</v>
          </cell>
          <cell r="K255" t="str">
            <v>Trans</v>
          </cell>
        </row>
        <row r="256">
          <cell r="A256">
            <v>165</v>
          </cell>
          <cell r="D256">
            <v>2</v>
          </cell>
          <cell r="F256" t="str">
            <v>Is the electronic communication system being used correctly by each Transporter?  Are the Transporters using standard terminology?</v>
          </cell>
          <cell r="H256" t="str">
            <v>N/A</v>
          </cell>
          <cell r="J256">
            <v>0</v>
          </cell>
          <cell r="K256" t="str">
            <v>Trans</v>
          </cell>
        </row>
        <row r="257">
          <cell r="A257">
            <v>166</v>
          </cell>
          <cell r="D257">
            <v>2</v>
          </cell>
          <cell r="F257" t="str">
            <v>Does the Department Performance Summary indicate that the Central Transportation Department is performing to standard for all time codes per productivity standards, per FTE?</v>
          </cell>
          <cell r="H257" t="str">
            <v>N/A</v>
          </cell>
          <cell r="J257">
            <v>0</v>
          </cell>
          <cell r="K257" t="str">
            <v>Trans</v>
          </cell>
        </row>
        <row r="258">
          <cell r="A258">
            <v>167</v>
          </cell>
          <cell r="D258">
            <v>2</v>
          </cell>
          <cell r="F258" t="str">
            <v>Are the Requests per Hour Summary Graph and the Requests per Day Summary Graph reviewed, regularly to adjust department staffing levels based on the demand for service each hour and each day?</v>
          </cell>
          <cell r="H258" t="str">
            <v>N/A</v>
          </cell>
          <cell r="J258">
            <v>0</v>
          </cell>
          <cell r="K258" t="str">
            <v>Trans</v>
          </cell>
        </row>
        <row r="259">
          <cell r="A259">
            <v>168</v>
          </cell>
          <cell r="D259">
            <v>2</v>
          </cell>
          <cell r="F259" t="str">
            <v>Is the Transport Type Summary used to determine the need to adjust courier routes in response to a large number of STAT runs performed by the CTD?</v>
          </cell>
          <cell r="H259" t="str">
            <v>N/A</v>
          </cell>
          <cell r="J259">
            <v>0</v>
          </cell>
          <cell r="K259" t="str">
            <v>Trans</v>
          </cell>
        </row>
        <row r="260">
          <cell r="A260">
            <v>169</v>
          </cell>
          <cell r="D260">
            <v>2</v>
          </cell>
          <cell r="F260" t="str">
            <v>Are the Delay Summary and Cancellation Summary reviewed regularly, with those departments causing the greatest number of delays and cancellations?</v>
          </cell>
          <cell r="H260" t="str">
            <v>N/A</v>
          </cell>
          <cell r="J260">
            <v>0</v>
          </cell>
          <cell r="K260" t="str">
            <v>Trans</v>
          </cell>
        </row>
        <row r="261">
          <cell r="A261">
            <v>170</v>
          </cell>
          <cell r="D261">
            <v>2</v>
          </cell>
          <cell r="F261" t="str">
            <v>Can the Central Transportation Department be used as a Tour and Reference site for potential customers?</v>
          </cell>
          <cell r="H261" t="str">
            <v>N/A</v>
          </cell>
          <cell r="J261">
            <v>0</v>
          </cell>
          <cell r="K261" t="str">
            <v>Trans</v>
          </cell>
        </row>
        <row r="262">
          <cell r="A262">
            <v>171</v>
          </cell>
          <cell r="D262">
            <v>2</v>
          </cell>
          <cell r="F262" t="str">
            <v>Are all complaints handled promptly, in a factual mannner and records kept on all actions taken?</v>
          </cell>
          <cell r="H262" t="str">
            <v>N/A</v>
          </cell>
          <cell r="J262">
            <v>0</v>
          </cell>
          <cell r="K262" t="str">
            <v>Trans</v>
          </cell>
        </row>
        <row r="263">
          <cell r="A263">
            <v>172</v>
          </cell>
          <cell r="D263">
            <v>2</v>
          </cell>
          <cell r="F263" t="str">
            <v>Is the Central Control Center arranged in such a way as to provide the Dispatchers with adequate space, and are they sufficiently isolated from other activities which could disrupt their activities?</v>
          </cell>
          <cell r="H263" t="str">
            <v>N/A</v>
          </cell>
          <cell r="J263">
            <v>0</v>
          </cell>
          <cell r="K263" t="str">
            <v>Trans</v>
          </cell>
        </row>
        <row r="264">
          <cell r="A264">
            <v>173</v>
          </cell>
          <cell r="D264">
            <v>2</v>
          </cell>
          <cell r="F264" t="str">
            <v>Is the computer hardware sufficient in its power and quantity?  Is it in good repair, and is the dispatch area clean and organized?</v>
          </cell>
          <cell r="H264" t="str">
            <v>N/A</v>
          </cell>
          <cell r="J264">
            <v>0</v>
          </cell>
          <cell r="K264" t="str">
            <v>Trans</v>
          </cell>
        </row>
        <row r="265">
          <cell r="A265">
            <v>174</v>
          </cell>
          <cell r="D265">
            <v>2</v>
          </cell>
          <cell r="F265" t="str">
            <v>Is the radio hardware sufficient in its performance and quantity?  Is it in good repair, and organized so to be used efficiently and have all portable radios been accounted for at change of shift?</v>
          </cell>
          <cell r="H265" t="str">
            <v>N/A</v>
          </cell>
          <cell r="J265">
            <v>0</v>
          </cell>
          <cell r="K265" t="str">
            <v>Trans</v>
          </cell>
        </row>
        <row r="266">
          <cell r="A266">
            <v>175</v>
          </cell>
          <cell r="D266">
            <v>2</v>
          </cell>
          <cell r="F266" t="str">
            <v>Are all dispatch employees sufficiently trained in the use of the dispatch computer and communication equipment, so as to maximize the performance of the department?</v>
          </cell>
          <cell r="H266" t="str">
            <v>N/A</v>
          </cell>
          <cell r="J266">
            <v>0</v>
          </cell>
          <cell r="K266" t="str">
            <v>Trans</v>
          </cell>
        </row>
        <row r="267">
          <cell r="A267">
            <v>176</v>
          </cell>
          <cell r="D267">
            <v>2</v>
          </cell>
          <cell r="F267" t="str">
            <v>Do the dispatch employees make full use of the CTD software features which assist management to address problems with user departments, such as delay codes, cancellations and stat requests?</v>
          </cell>
          <cell r="H267" t="str">
            <v>N/A</v>
          </cell>
          <cell r="J267">
            <v>0</v>
          </cell>
          <cell r="K267" t="str">
            <v>Trans</v>
          </cell>
        </row>
        <row r="268">
          <cell r="A268">
            <v>177</v>
          </cell>
          <cell r="D268">
            <v>2</v>
          </cell>
          <cell r="F268" t="str">
            <v>Are the dispatch employees making good decisions when selecting priorities and assigning the most appropriate transporter or courier to a task?</v>
          </cell>
          <cell r="H268" t="str">
            <v>N/A</v>
          </cell>
          <cell r="J268">
            <v>0</v>
          </cell>
          <cell r="K268" t="str">
            <v>Trans</v>
          </cell>
        </row>
        <row r="269">
          <cell r="A269">
            <v>178</v>
          </cell>
          <cell r="D269">
            <v>2</v>
          </cell>
          <cell r="F269" t="str">
            <v>Do the dispatch employees bring user problems to the attention of the transportation supervisors for the rapid resolution of complaints?</v>
          </cell>
          <cell r="H269" t="str">
            <v>N/A</v>
          </cell>
          <cell r="J269">
            <v>0</v>
          </cell>
          <cell r="K269" t="str">
            <v>Trans</v>
          </cell>
        </row>
        <row r="270">
          <cell r="A270">
            <v>179</v>
          </cell>
          <cell r="D270">
            <v>2</v>
          </cell>
          <cell r="F270" t="str">
            <v>Are transport employees trained, on the operation of the dispatch system, so to fill in for a dispatch employee if necessary?</v>
          </cell>
          <cell r="H270" t="str">
            <v>N/A</v>
          </cell>
          <cell r="J270">
            <v>0</v>
          </cell>
          <cell r="K270" t="str">
            <v>Trans</v>
          </cell>
        </row>
        <row r="271">
          <cell r="A271">
            <v>180</v>
          </cell>
          <cell r="D271">
            <v>2</v>
          </cell>
          <cell r="F271" t="str">
            <v>Is the transportation equipment sufficient in its variety and quantity?  Is it maintained in good repair, and kept clean by the transporters, using approved disinfectants?</v>
          </cell>
          <cell r="H271" t="str">
            <v>N/A</v>
          </cell>
          <cell r="J271">
            <v>0</v>
          </cell>
          <cell r="K271" t="str">
            <v>Trans</v>
          </cell>
        </row>
        <row r="272">
          <cell r="A272">
            <v>181</v>
          </cell>
          <cell r="D272">
            <v>2</v>
          </cell>
          <cell r="F272" t="str">
            <v>Are the transporters speaking to the patients they transport in a friendly yet professional manner?  When in doubt, are transporters communicating with the hospital staff, so to obtain the information necessary for the safe transport of the patient?</v>
          </cell>
          <cell r="H272" t="str">
            <v>N/A</v>
          </cell>
          <cell r="J272">
            <v>0</v>
          </cell>
          <cell r="K272" t="str">
            <v>Trans</v>
          </cell>
        </row>
        <row r="273">
          <cell r="A273">
            <v>182</v>
          </cell>
          <cell r="D273">
            <v>2</v>
          </cell>
          <cell r="F273" t="str">
            <v>Are the transporters reporting all delays to the dispatchers in a timely manner?</v>
          </cell>
          <cell r="H273" t="str">
            <v>N/A</v>
          </cell>
          <cell r="J273">
            <v>0</v>
          </cell>
          <cell r="K273" t="str">
            <v>Trans</v>
          </cell>
        </row>
        <row r="274">
          <cell r="A274">
            <v>183</v>
          </cell>
          <cell r="D274">
            <v>2</v>
          </cell>
          <cell r="F274" t="str">
            <v>Are the transporters appropriately parking transportation equipment when finished with a patient move so it is readily available for the next patient move?</v>
          </cell>
          <cell r="H274" t="str">
            <v>N/A</v>
          </cell>
          <cell r="J274">
            <v>0</v>
          </cell>
          <cell r="K274" t="str">
            <v>Trans</v>
          </cell>
        </row>
        <row r="275">
          <cell r="A275">
            <v>184</v>
          </cell>
          <cell r="D275">
            <v>2</v>
          </cell>
          <cell r="F275" t="str">
            <v>Are transporters trained in the courier operation, so to replace a courier on their route if necessary?</v>
          </cell>
          <cell r="H275" t="str">
            <v>N/A</v>
          </cell>
          <cell r="J275">
            <v>0</v>
          </cell>
          <cell r="K275" t="str">
            <v>Trans</v>
          </cell>
        </row>
        <row r="276">
          <cell r="A276">
            <v>185</v>
          </cell>
          <cell r="D276">
            <v>2</v>
          </cell>
          <cell r="F276" t="str">
            <v>Is the courier equipment sufficient in quantity and appropriate for hospital needs?  Is it maintained in good repair, and kept clean by the couriers, using approved disinfectants?</v>
          </cell>
          <cell r="H276" t="str">
            <v>N/A</v>
          </cell>
          <cell r="J276">
            <v>0</v>
          </cell>
          <cell r="K276" t="str">
            <v>Trans</v>
          </cell>
        </row>
        <row r="277">
          <cell r="A277">
            <v>186</v>
          </cell>
          <cell r="D277">
            <v>2</v>
          </cell>
          <cell r="F277" t="str">
            <v>Are the portable radios being used correctly by each courier?  Are the couriers using standard terminology when communicating on the radio?</v>
          </cell>
          <cell r="H277" t="str">
            <v>N/A</v>
          </cell>
          <cell r="J277">
            <v>0</v>
          </cell>
          <cell r="K277" t="str">
            <v>Trans</v>
          </cell>
        </row>
        <row r="278">
          <cell r="F278" t="str">
            <v>QUALITY</v>
          </cell>
        </row>
        <row r="279">
          <cell r="F279" t="str">
            <v>CENTRAL TRANSPORTATION (CONTINUED)</v>
          </cell>
        </row>
        <row r="280">
          <cell r="A280">
            <v>187</v>
          </cell>
          <cell r="D280">
            <v>2</v>
          </cell>
          <cell r="F280" t="str">
            <v>Are the couriers appropriately oriented to the facility and trained in the proper handling and destinations of the articles they are transporting?</v>
          </cell>
          <cell r="H280" t="str">
            <v>N/A</v>
          </cell>
          <cell r="J280">
            <v>0</v>
          </cell>
          <cell r="K280" t="str">
            <v>Trans</v>
          </cell>
        </row>
        <row r="281">
          <cell r="A281">
            <v>188</v>
          </cell>
          <cell r="D281">
            <v>2</v>
          </cell>
          <cell r="F281" t="str">
            <v>Are the couriers communicating, in a professional manner, with the staff members of the departments they serve?  When in doubt, are couriers seeking clarification from these staff members, so to deliver items to their correct locations?</v>
          </cell>
          <cell r="H281" t="str">
            <v>N/A</v>
          </cell>
          <cell r="J281">
            <v>0</v>
          </cell>
          <cell r="K281" t="str">
            <v>Trans</v>
          </cell>
        </row>
        <row r="282">
          <cell r="A282">
            <v>189</v>
          </cell>
          <cell r="D282">
            <v>2</v>
          </cell>
          <cell r="F282" t="str">
            <v>Do the couriers understand and adhere to hospital and department policies on the confidentiality of patient medical records and hospital correspondence.</v>
          </cell>
          <cell r="H282" t="str">
            <v>N/A</v>
          </cell>
          <cell r="J282">
            <v>0</v>
          </cell>
          <cell r="K282" t="str">
            <v>Trans</v>
          </cell>
        </row>
        <row r="283">
          <cell r="A283">
            <v>190</v>
          </cell>
          <cell r="D283">
            <v>2</v>
          </cell>
          <cell r="F283" t="str">
            <v>Are exchange areas on nursing units and in clinical support departments maintained in a consistent, orderly and clean condition?</v>
          </cell>
          <cell r="H283" t="str">
            <v>N/A</v>
          </cell>
          <cell r="J283">
            <v>0</v>
          </cell>
          <cell r="K283" t="str">
            <v>Trans</v>
          </cell>
        </row>
        <row r="284">
          <cell r="A284">
            <v>191</v>
          </cell>
          <cell r="D284">
            <v>2</v>
          </cell>
          <cell r="F284" t="str">
            <v>Are couriers appropriately initialing the courier log at each location?  Are rounds completed in the specified time and are the units informed of the consistent punctuality of the courier?</v>
          </cell>
          <cell r="H284" t="str">
            <v>N/A</v>
          </cell>
          <cell r="J284">
            <v>0</v>
          </cell>
          <cell r="K284" t="str">
            <v>Trans</v>
          </cell>
        </row>
        <row r="285">
          <cell r="A285">
            <v>192</v>
          </cell>
          <cell r="D285">
            <v>2</v>
          </cell>
          <cell r="F285" t="str">
            <v>Is the Location Activity Report reviewed with each department, on a regular basis, to document how the Central Transportation Department is serving them?</v>
          </cell>
          <cell r="H285" t="str">
            <v>N/A</v>
          </cell>
          <cell r="J285">
            <v>0</v>
          </cell>
          <cell r="K285" t="str">
            <v>Trans</v>
          </cell>
        </row>
        <row r="287">
          <cell r="F287" t="str">
            <v>Total Quality-Central Transportation</v>
          </cell>
          <cell r="H287">
            <v>0</v>
          </cell>
          <cell r="J287">
            <v>0</v>
          </cell>
        </row>
        <row r="288">
          <cell r="F288" t="str">
            <v xml:space="preserve">                                                                                  Percentage Implemented</v>
          </cell>
          <cell r="H288" t="str">
            <v>N/A</v>
          </cell>
        </row>
        <row r="291">
          <cell r="F291" t="str">
            <v>QUALITY</v>
          </cell>
        </row>
        <row r="292">
          <cell r="F292" t="str">
            <v>LAUNDRY/LINEN</v>
          </cell>
        </row>
        <row r="293">
          <cell r="A293">
            <v>193</v>
          </cell>
          <cell r="D293">
            <v>2</v>
          </cell>
          <cell r="F293" t="str">
            <v>Wash Aisle Service Report completed on each washing machine at least monthly.</v>
          </cell>
          <cell r="H293" t="str">
            <v>N/A</v>
          </cell>
          <cell r="J293">
            <v>0</v>
          </cell>
          <cell r="K293" t="str">
            <v>Linen</v>
          </cell>
        </row>
        <row r="294">
          <cell r="A294">
            <v>194</v>
          </cell>
          <cell r="D294">
            <v>2</v>
          </cell>
          <cell r="F294" t="str">
            <v>Wash Aisle Production Log being used to record all wash loads for start time, end time, weight, and classification.  Record kept for 1 year.</v>
          </cell>
          <cell r="H294" t="str">
            <v>N/A</v>
          </cell>
          <cell r="J294">
            <v>0</v>
          </cell>
          <cell r="K294" t="str">
            <v>Linen</v>
          </cell>
        </row>
        <row r="295">
          <cell r="A295">
            <v>195</v>
          </cell>
          <cell r="D295">
            <v>2</v>
          </cell>
          <cell r="F295" t="str">
            <v>Pounds processed record current for this year and records for past 2 years on file.</v>
          </cell>
          <cell r="H295" t="str">
            <v>N/A</v>
          </cell>
          <cell r="J295">
            <v>0</v>
          </cell>
          <cell r="K295" t="str">
            <v>Linen</v>
          </cell>
        </row>
        <row r="296">
          <cell r="A296">
            <v>196</v>
          </cell>
          <cell r="D296">
            <v>2</v>
          </cell>
          <cell r="F296" t="str">
            <v>Inventory of all laundry equipment is up-to-date with make, model, seriel number, capacity, and year manufactured.</v>
          </cell>
          <cell r="H296" t="str">
            <v>N/A</v>
          </cell>
          <cell r="J296">
            <v>0</v>
          </cell>
          <cell r="K296" t="str">
            <v>Linen</v>
          </cell>
        </row>
        <row r="297">
          <cell r="A297">
            <v>197</v>
          </cell>
          <cell r="D297">
            <v>2</v>
          </cell>
          <cell r="F297" t="str">
            <v>Monthly Laundry Inspection (or other periodic inspection) for safety and quality conducted with a representative from administration and documentation on file.</v>
          </cell>
          <cell r="H297" t="str">
            <v>N/A</v>
          </cell>
          <cell r="J297">
            <v>0</v>
          </cell>
          <cell r="K297" t="str">
            <v>Linen</v>
          </cell>
        </row>
        <row r="298">
          <cell r="A298">
            <v>198</v>
          </cell>
          <cell r="D298">
            <v>2</v>
          </cell>
          <cell r="F298" t="str">
            <v>Manager has completed the Laundry Quality Performance Quotient inspection at least twice per year.</v>
          </cell>
          <cell r="H298" t="str">
            <v>N/A</v>
          </cell>
          <cell r="J298">
            <v>0</v>
          </cell>
          <cell r="K298" t="str">
            <v>Linen</v>
          </cell>
        </row>
        <row r="299">
          <cell r="A299">
            <v>199</v>
          </cell>
          <cell r="D299">
            <v>2</v>
          </cell>
          <cell r="F299" t="str">
            <v>When laundry manager has responsibility for linen management, the Linen Management Program Absolutes form is also completed for linen service.</v>
          </cell>
          <cell r="H299" t="str">
            <v>N/A</v>
          </cell>
          <cell r="J299">
            <v>0</v>
          </cell>
          <cell r="K299" t="str">
            <v>Linen</v>
          </cell>
        </row>
        <row r="300">
          <cell r="A300">
            <v>200</v>
          </cell>
          <cell r="D300">
            <v>2</v>
          </cell>
          <cell r="F300" t="str">
            <v>Manager has completed the Linen Quality Performance Quotient inspection at least twice per year.</v>
          </cell>
          <cell r="H300" t="str">
            <v>N/A</v>
          </cell>
          <cell r="J300">
            <v>0</v>
          </cell>
          <cell r="K300" t="str">
            <v>Linen</v>
          </cell>
        </row>
        <row r="301">
          <cell r="A301">
            <v>201</v>
          </cell>
          <cell r="D301">
            <v>2</v>
          </cell>
          <cell r="F301" t="str">
            <v>Linen delivery quotas have been calculated for each area and is in writing.</v>
          </cell>
          <cell r="H301" t="str">
            <v>N/A</v>
          </cell>
          <cell r="J301">
            <v>0</v>
          </cell>
          <cell r="K301" t="str">
            <v>Linen</v>
          </cell>
        </row>
        <row r="302">
          <cell r="A302">
            <v>202</v>
          </cell>
          <cell r="D302">
            <v>2</v>
          </cell>
          <cell r="F302" t="str">
            <v>There is a written linen specification for all linen items used in the system.</v>
          </cell>
          <cell r="H302" t="str">
            <v>N/A</v>
          </cell>
          <cell r="J302">
            <v>0</v>
          </cell>
          <cell r="K302" t="str">
            <v>Linen</v>
          </cell>
        </row>
        <row r="303">
          <cell r="A303">
            <v>203</v>
          </cell>
          <cell r="D303">
            <v>2</v>
          </cell>
          <cell r="F303" t="str">
            <v>A linen replacement schedule has been calculated and put into writing.</v>
          </cell>
          <cell r="H303" t="str">
            <v>N/A</v>
          </cell>
          <cell r="J303">
            <v>0</v>
          </cell>
          <cell r="K303" t="str">
            <v>Linen</v>
          </cell>
        </row>
        <row r="304">
          <cell r="A304">
            <v>204</v>
          </cell>
          <cell r="D304">
            <v>2</v>
          </cell>
          <cell r="F304" t="str">
            <v>If linen service is provided by a commercial laundry or other off-site laundry, documented inspection visits have been made to the laundry at least once within the past 6 months.</v>
          </cell>
          <cell r="H304" t="str">
            <v>N/A</v>
          </cell>
          <cell r="J304">
            <v>0</v>
          </cell>
          <cell r="K304" t="str">
            <v>Linen</v>
          </cell>
        </row>
        <row r="305">
          <cell r="A305">
            <v>205</v>
          </cell>
          <cell r="D305">
            <v>2</v>
          </cell>
          <cell r="F305" t="str">
            <v>Overall appearance of laundry and/or linen departments clean and orderly.  Carts, equipment and work flow organized?</v>
          </cell>
          <cell r="H305" t="str">
            <v>N/A</v>
          </cell>
          <cell r="J305">
            <v>0</v>
          </cell>
          <cell r="K305" t="str">
            <v>Linen</v>
          </cell>
        </row>
        <row r="306">
          <cell r="A306">
            <v>206</v>
          </cell>
          <cell r="D306">
            <v>2</v>
          </cell>
          <cell r="F306" t="str">
            <v>Appearance of walls, window, ledges clean, free of spots, build up?</v>
          </cell>
          <cell r="H306" t="str">
            <v>N/A</v>
          </cell>
          <cell r="J306">
            <v>0</v>
          </cell>
          <cell r="K306" t="str">
            <v>Linen</v>
          </cell>
        </row>
        <row r="307">
          <cell r="A307">
            <v>207</v>
          </cell>
          <cell r="D307">
            <v>2</v>
          </cell>
          <cell r="F307" t="str">
            <v>Overhead pipes, lights, etc. clean, free of lint build up?</v>
          </cell>
          <cell r="H307" t="str">
            <v>N/A</v>
          </cell>
          <cell r="J307">
            <v>0</v>
          </cell>
          <cell r="K307" t="str">
            <v>Linen</v>
          </cell>
        </row>
        <row r="308">
          <cell r="A308">
            <v>208</v>
          </cell>
          <cell r="D308">
            <v>2</v>
          </cell>
          <cell r="F308" t="str">
            <v>All windows which can be opened have screens which are in good repair, free of holes?</v>
          </cell>
          <cell r="H308" t="str">
            <v>N/A</v>
          </cell>
          <cell r="J308">
            <v>0</v>
          </cell>
          <cell r="K308" t="str">
            <v>Linen</v>
          </cell>
        </row>
        <row r="309">
          <cell r="A309">
            <v>209</v>
          </cell>
          <cell r="D309">
            <v>2</v>
          </cell>
          <cell r="F309" t="str">
            <v>Areas between and behind equipment, between washers and walls, etc. clean and free of debris?</v>
          </cell>
          <cell r="H309" t="str">
            <v>N/A</v>
          </cell>
          <cell r="J309">
            <v>0</v>
          </cell>
          <cell r="K309" t="str">
            <v>Linen</v>
          </cell>
        </row>
        <row r="310">
          <cell r="A310">
            <v>210</v>
          </cell>
          <cell r="D310">
            <v>2</v>
          </cell>
          <cell r="F310" t="str">
            <v>All unused tools, parts, etc. are properly stored?</v>
          </cell>
          <cell r="H310" t="str">
            <v>N/A</v>
          </cell>
          <cell r="J310">
            <v>0</v>
          </cell>
          <cell r="K310" t="str">
            <v>Linen</v>
          </cell>
        </row>
        <row r="311">
          <cell r="A311">
            <v>211</v>
          </cell>
          <cell r="D311">
            <v>2</v>
          </cell>
          <cell r="F311" t="str">
            <v>Equipment maintenance program is in place and being documented;  at least 95% or better of all routine maintenance functions are completed to date?</v>
          </cell>
          <cell r="H311" t="str">
            <v>N/A</v>
          </cell>
          <cell r="J311">
            <v>0</v>
          </cell>
          <cell r="K311" t="str">
            <v>Linen</v>
          </cell>
        </row>
        <row r="312">
          <cell r="F312" t="str">
            <v>Soiled Linen Handling</v>
          </cell>
        </row>
        <row r="313">
          <cell r="A313">
            <v>212</v>
          </cell>
          <cell r="D313">
            <v>2</v>
          </cell>
          <cell r="F313" t="str">
            <v>Soiled linen chutes:  There is a written policy which describes the frequency and method of cleaning soiled linen chutes.  And, actual practice follows the written policy?</v>
          </cell>
          <cell r="H313" t="str">
            <v>N/A</v>
          </cell>
          <cell r="J313">
            <v>0</v>
          </cell>
          <cell r="K313" t="str">
            <v>Linen</v>
          </cell>
        </row>
        <row r="314">
          <cell r="F314" t="str">
            <v>QUALITY</v>
          </cell>
        </row>
        <row r="315">
          <cell r="F315" t="str">
            <v>LAUNDRY/LINEN (CONTINUED)</v>
          </cell>
        </row>
        <row r="316">
          <cell r="A316">
            <v>213</v>
          </cell>
          <cell r="D316">
            <v>2</v>
          </cell>
          <cell r="F316" t="str">
            <v>Soiled linen room appears organized;  carts and work flow are orderly.  Area cleaned daily?</v>
          </cell>
          <cell r="H316" t="str">
            <v>N/A</v>
          </cell>
          <cell r="J316">
            <v>0</v>
          </cell>
          <cell r="K316" t="str">
            <v>Linen</v>
          </cell>
        </row>
        <row r="317">
          <cell r="A317">
            <v>214</v>
          </cell>
          <cell r="D317">
            <v>2</v>
          </cell>
          <cell r="F317" t="str">
            <v>Soiled linen carts are clearly marked "Soiled Linen Only" or similar.  Carts are free of excess debris accumulation and wheels free of strings, lint, etc.?</v>
          </cell>
          <cell r="H317" t="str">
            <v>N/A</v>
          </cell>
          <cell r="J317">
            <v>0</v>
          </cell>
          <cell r="K317" t="str">
            <v>Linen</v>
          </cell>
        </row>
        <row r="318">
          <cell r="A318">
            <v>215</v>
          </cell>
          <cell r="D318">
            <v>2</v>
          </cell>
          <cell r="F318" t="str">
            <v>Transported soiled linen in contained inside closed hamper bags or is completely covered?</v>
          </cell>
          <cell r="H318" t="str">
            <v>N/A</v>
          </cell>
          <cell r="J318">
            <v>0</v>
          </cell>
          <cell r="K318" t="str">
            <v>Linen</v>
          </cell>
        </row>
        <row r="319">
          <cell r="F319" t="str">
            <v>Wash Aisle and Equipment</v>
          </cell>
        </row>
        <row r="320">
          <cell r="A320">
            <v>216</v>
          </cell>
          <cell r="D320">
            <v>2</v>
          </cell>
          <cell r="F320" t="str">
            <v>Current washing formulas posted?</v>
          </cell>
          <cell r="H320" t="str">
            <v>N/A</v>
          </cell>
          <cell r="J320">
            <v>0</v>
          </cell>
          <cell r="K320" t="str">
            <v>Linen</v>
          </cell>
        </row>
        <row r="321">
          <cell r="A321">
            <v>217</v>
          </cell>
          <cell r="D321">
            <v>2</v>
          </cell>
          <cell r="F321" t="str">
            <v>Appearance of washing supplies storage area clean and orderly?</v>
          </cell>
          <cell r="H321" t="str">
            <v>N/A</v>
          </cell>
          <cell r="J321">
            <v>0</v>
          </cell>
          <cell r="K321" t="str">
            <v>Linen</v>
          </cell>
        </row>
        <row r="322">
          <cell r="A322">
            <v>218</v>
          </cell>
          <cell r="D322">
            <v>2</v>
          </cell>
          <cell r="F322" t="str">
            <v>Overall appearance of washers good:  clean, free of grease, soap, lint build-up etc.?</v>
          </cell>
          <cell r="H322" t="str">
            <v>N/A</v>
          </cell>
          <cell r="J322">
            <v>0</v>
          </cell>
          <cell r="K322" t="str">
            <v>Linen</v>
          </cell>
        </row>
        <row r="323">
          <cell r="A323">
            <v>219</v>
          </cell>
          <cell r="D323">
            <v>2</v>
          </cell>
          <cell r="F323" t="str">
            <v>Supply compartment on washers clean;  they are free of chemcal build-up?</v>
          </cell>
          <cell r="H323" t="str">
            <v>N/A</v>
          </cell>
          <cell r="J323">
            <v>0</v>
          </cell>
          <cell r="K323" t="str">
            <v>Linen</v>
          </cell>
        </row>
        <row r="324">
          <cell r="A324">
            <v>220</v>
          </cell>
          <cell r="D324">
            <v>2</v>
          </cell>
          <cell r="F324" t="str">
            <v>Washer dump valves work and are free of any leaks?</v>
          </cell>
          <cell r="H324" t="str">
            <v>N/A</v>
          </cell>
          <cell r="J324">
            <v>0</v>
          </cell>
          <cell r="K324" t="str">
            <v>Linen</v>
          </cell>
        </row>
        <row r="325">
          <cell r="A325">
            <v>221</v>
          </cell>
          <cell r="D325">
            <v>2</v>
          </cell>
          <cell r="F325" t="str">
            <v>Drains and trenches free of build up, debris, sludge, lint, rags, etc.?</v>
          </cell>
          <cell r="H325" t="str">
            <v>N/A</v>
          </cell>
          <cell r="J325">
            <v>0</v>
          </cell>
          <cell r="K325" t="str">
            <v>Linen</v>
          </cell>
        </row>
        <row r="326">
          <cell r="A326">
            <v>222</v>
          </cell>
          <cell r="D326">
            <v>2</v>
          </cell>
          <cell r="F326" t="str">
            <v>Washer loads properly weighed and classified?</v>
          </cell>
          <cell r="H326" t="str">
            <v>N/A</v>
          </cell>
          <cell r="J326">
            <v>0</v>
          </cell>
          <cell r="K326" t="str">
            <v>Linen</v>
          </cell>
        </row>
        <row r="327">
          <cell r="A327">
            <v>223</v>
          </cell>
          <cell r="D327">
            <v>2</v>
          </cell>
          <cell r="F327" t="str">
            <v>Report log kept to record all wash loads by weight, classification, time in, and time out?</v>
          </cell>
          <cell r="H327" t="str">
            <v>N/A</v>
          </cell>
          <cell r="J327">
            <v>0</v>
          </cell>
          <cell r="K327" t="str">
            <v>Linen</v>
          </cell>
        </row>
        <row r="328">
          <cell r="A328">
            <v>224</v>
          </cell>
          <cell r="D328">
            <v>2</v>
          </cell>
          <cell r="F328" t="str">
            <v>Surgery linen washed separately?</v>
          </cell>
          <cell r="H328" t="str">
            <v>N/A</v>
          </cell>
          <cell r="J328">
            <v>0</v>
          </cell>
          <cell r="K328" t="str">
            <v>Linen</v>
          </cell>
        </row>
        <row r="329">
          <cell r="A329">
            <v>225</v>
          </cell>
          <cell r="D329">
            <v>2</v>
          </cell>
          <cell r="F329" t="str">
            <v>Stain work procedures and wash formulas established?</v>
          </cell>
          <cell r="H329" t="str">
            <v>N/A</v>
          </cell>
          <cell r="J329">
            <v>0</v>
          </cell>
          <cell r="K329" t="str">
            <v>Linen</v>
          </cell>
        </row>
        <row r="330">
          <cell r="A330">
            <v>226</v>
          </cell>
          <cell r="D330">
            <v>2</v>
          </cell>
          <cell r="F330" t="str">
            <v>Handling procedures ensure that linen which is still stained after rewashing is taken out of circulation to prevent continuous recirculation and rewashing?</v>
          </cell>
          <cell r="H330" t="str">
            <v>N/A</v>
          </cell>
          <cell r="J330">
            <v>0</v>
          </cell>
          <cell r="K330" t="str">
            <v>Linen</v>
          </cell>
        </row>
        <row r="331">
          <cell r="A331">
            <v>227</v>
          </cell>
          <cell r="D331">
            <v>2</v>
          </cell>
          <cell r="F331" t="str">
            <v>Storage areas, work flow, procedures, and air flow ensure complete separation of clean linen from soiled linen and minimize the potential for cross contamination?</v>
          </cell>
          <cell r="H331" t="str">
            <v>N/A</v>
          </cell>
          <cell r="J331">
            <v>0</v>
          </cell>
          <cell r="K331" t="str">
            <v>Linen</v>
          </cell>
        </row>
        <row r="332">
          <cell r="A332">
            <v>228</v>
          </cell>
          <cell r="D332">
            <v>2</v>
          </cell>
          <cell r="F332" t="str">
            <v>Washer production sufficient to meet daily needs?</v>
          </cell>
          <cell r="H332" t="str">
            <v>N/A</v>
          </cell>
          <cell r="J332">
            <v>0</v>
          </cell>
          <cell r="K332" t="str">
            <v>Linen</v>
          </cell>
        </row>
        <row r="333">
          <cell r="D333" t="str">
            <v/>
          </cell>
          <cell r="F333" t="str">
            <v>Flatwork:  Ironers, Feeders, Folders</v>
          </cell>
        </row>
        <row r="334">
          <cell r="A334">
            <v>229</v>
          </cell>
          <cell r="D334">
            <v>2</v>
          </cell>
          <cell r="F334" t="str">
            <v>Ironers are warmed up graduallyprior to use.  Thermal oil type are also cooled down gradually?</v>
          </cell>
          <cell r="H334" t="str">
            <v>N/A</v>
          </cell>
          <cell r="J334">
            <v>0</v>
          </cell>
          <cell r="K334" t="str">
            <v>Linen</v>
          </cell>
        </row>
        <row r="335">
          <cell r="A335">
            <v>230</v>
          </cell>
          <cell r="D335">
            <v>2</v>
          </cell>
          <cell r="F335" t="str">
            <v>Valves, traps, joints, etc. free of leaks? (steam, gas, and/or oil)</v>
          </cell>
          <cell r="H335" t="str">
            <v>N/A</v>
          </cell>
          <cell r="J335">
            <v>0</v>
          </cell>
          <cell r="K335" t="str">
            <v>Linen</v>
          </cell>
        </row>
        <row r="336">
          <cell r="A336">
            <v>231</v>
          </cell>
          <cell r="D336">
            <v>2</v>
          </cell>
          <cell r="F336" t="str">
            <v>Cleaning pad run through ironer daily?</v>
          </cell>
          <cell r="H336" t="str">
            <v>N/A</v>
          </cell>
          <cell r="J336">
            <v>0</v>
          </cell>
          <cell r="K336" t="str">
            <v>Linen</v>
          </cell>
        </row>
        <row r="337">
          <cell r="A337">
            <v>232</v>
          </cell>
          <cell r="D337">
            <v>2</v>
          </cell>
          <cell r="F337" t="str">
            <v>Wax cloth run through ironers on a schedule which is based on operating time or work load?</v>
          </cell>
          <cell r="H337" t="str">
            <v>N/A</v>
          </cell>
          <cell r="J337">
            <v>0</v>
          </cell>
          <cell r="K337" t="str">
            <v>Linen</v>
          </cell>
        </row>
        <row r="338">
          <cell r="A338">
            <v>233</v>
          </cell>
          <cell r="D338">
            <v>2</v>
          </cell>
          <cell r="F338" t="str">
            <v>All belts are in good condition.  Belts are free of lint build up on underside of belt?</v>
          </cell>
          <cell r="H338" t="str">
            <v>N/A</v>
          </cell>
          <cell r="J338">
            <v>0</v>
          </cell>
          <cell r="K338" t="str">
            <v>Linen</v>
          </cell>
        </row>
        <row r="339">
          <cell r="A339">
            <v>234</v>
          </cell>
          <cell r="D339">
            <v>2</v>
          </cell>
          <cell r="F339" t="str">
            <v>For Chest Ironers:  Padding and covers on rolls.  For Cylinder Ironers:  Padding and cover on pressure rolls, belts on cylinders.  All in good condition?</v>
          </cell>
          <cell r="H339" t="str">
            <v>N/A</v>
          </cell>
          <cell r="J339">
            <v>0</v>
          </cell>
          <cell r="K339" t="str">
            <v>Linen</v>
          </cell>
        </row>
        <row r="340">
          <cell r="A340">
            <v>235</v>
          </cell>
          <cell r="D340">
            <v>2</v>
          </cell>
          <cell r="F340" t="str">
            <v>Workers use the regular OFF switch to stop ironer for routine shut down.  (They do not use emergency stop devices for normal or routine stopping of ironer)?</v>
          </cell>
          <cell r="H340" t="str">
            <v>N/A</v>
          </cell>
          <cell r="J340">
            <v>0</v>
          </cell>
          <cell r="K340" t="str">
            <v>Linen</v>
          </cell>
        </row>
        <row r="341">
          <cell r="A341">
            <v>236</v>
          </cell>
          <cell r="D341">
            <v>2</v>
          </cell>
          <cell r="F341" t="str">
            <v>Appearance of ironer systems clean, free of build up.  Chest (or cylinders) free of build-up?</v>
          </cell>
          <cell r="H341" t="str">
            <v>N/A</v>
          </cell>
          <cell r="J341">
            <v>0</v>
          </cell>
          <cell r="K341" t="str">
            <v>Linen</v>
          </cell>
        </row>
        <row r="342">
          <cell r="A342">
            <v>237</v>
          </cell>
          <cell r="D342">
            <v>2</v>
          </cell>
          <cell r="F342" t="str">
            <v>There is a written schedule for periodic cleaning inside the ironer covers, guards, drive train, etc The schedule is followed.</v>
          </cell>
          <cell r="H342" t="str">
            <v>N/A</v>
          </cell>
          <cell r="J342">
            <v>0</v>
          </cell>
          <cell r="K342" t="str">
            <v>Linen</v>
          </cell>
        </row>
        <row r="343">
          <cell r="A343">
            <v>238</v>
          </cell>
          <cell r="D343">
            <v>2</v>
          </cell>
          <cell r="F343" t="str">
            <v>Guide tapes in place, and no more than 3 guide tapes missing?</v>
          </cell>
          <cell r="H343" t="str">
            <v>N/A</v>
          </cell>
          <cell r="J343">
            <v>0</v>
          </cell>
          <cell r="K343" t="str">
            <v>Linen</v>
          </cell>
        </row>
        <row r="344">
          <cell r="A344">
            <v>239</v>
          </cell>
          <cell r="D344">
            <v>2</v>
          </cell>
          <cell r="F344" t="str">
            <v>Feeding and folding equipment clean, free of lint build up?</v>
          </cell>
          <cell r="H344" t="str">
            <v>N/A</v>
          </cell>
          <cell r="J344">
            <v>0</v>
          </cell>
          <cell r="K344" t="str">
            <v>Linen</v>
          </cell>
        </row>
        <row r="345">
          <cell r="A345">
            <v>240</v>
          </cell>
          <cell r="D345">
            <v>2</v>
          </cell>
          <cell r="F345" t="str">
            <v>Feeders and folders adjusted to produce straight, even folds?  Stacked linen neat and square?</v>
          </cell>
          <cell r="H345" t="str">
            <v>N/A</v>
          </cell>
          <cell r="J345">
            <v>0</v>
          </cell>
          <cell r="K345" t="str">
            <v>Linen</v>
          </cell>
        </row>
        <row r="346">
          <cell r="A346">
            <v>241</v>
          </cell>
          <cell r="D346">
            <v>2</v>
          </cell>
          <cell r="F346" t="str">
            <v>Compressed air supply is adequate?  Compressed air is dry; no moisture build up?</v>
          </cell>
          <cell r="H346" t="str">
            <v>N/A</v>
          </cell>
          <cell r="J346">
            <v>0</v>
          </cell>
          <cell r="K346" t="str">
            <v>Linen</v>
          </cell>
        </row>
        <row r="347">
          <cell r="A347">
            <v>242</v>
          </cell>
          <cell r="D347">
            <v>2</v>
          </cell>
          <cell r="F347" t="str">
            <v xml:space="preserve">Ironer feeding procedures and rate appropriate for the type and capacity of ironer?  </v>
          </cell>
          <cell r="H347" t="str">
            <v>N/A</v>
          </cell>
          <cell r="J347">
            <v>0</v>
          </cell>
          <cell r="K347" t="str">
            <v>Linen</v>
          </cell>
        </row>
        <row r="348">
          <cell r="F348" t="str">
            <v>Wearing Apparel Presses and Tunnel Finishing</v>
          </cell>
        </row>
        <row r="349">
          <cell r="A349">
            <v>243</v>
          </cell>
          <cell r="D349">
            <v>2</v>
          </cell>
          <cell r="F349" t="str">
            <v>Presses and tunnel finishing units clean and free of lint?</v>
          </cell>
          <cell r="H349" t="str">
            <v>N/A</v>
          </cell>
          <cell r="J349">
            <v>0</v>
          </cell>
          <cell r="K349" t="str">
            <v>Linen</v>
          </cell>
        </row>
        <row r="350">
          <cell r="A350">
            <v>244</v>
          </cell>
          <cell r="D350">
            <v>2</v>
          </cell>
          <cell r="F350" t="str">
            <v>Press covers and heads clean and in good condition?</v>
          </cell>
          <cell r="H350" t="str">
            <v>N/A</v>
          </cell>
          <cell r="J350">
            <v>0</v>
          </cell>
          <cell r="K350" t="str">
            <v>Linen</v>
          </cell>
        </row>
        <row r="351">
          <cell r="A351">
            <v>245</v>
          </cell>
          <cell r="D351">
            <v>2</v>
          </cell>
          <cell r="F351" t="str">
            <v>Valves, traps, joints do not leak?</v>
          </cell>
          <cell r="H351" t="str">
            <v>N/A</v>
          </cell>
          <cell r="J351">
            <v>0</v>
          </cell>
          <cell r="K351" t="str">
            <v>Linen</v>
          </cell>
        </row>
        <row r="352">
          <cell r="A352">
            <v>246</v>
          </cell>
          <cell r="D352">
            <v>2</v>
          </cell>
          <cell r="F352" t="str">
            <v>Items pressed or finished neatly?</v>
          </cell>
          <cell r="H352" t="str">
            <v>N/A</v>
          </cell>
          <cell r="J352">
            <v>0</v>
          </cell>
          <cell r="K352" t="str">
            <v>Linen</v>
          </cell>
        </row>
        <row r="353">
          <cell r="F353" t="str">
            <v>Dryers</v>
          </cell>
          <cell r="H353" t="str">
            <v/>
          </cell>
        </row>
        <row r="354">
          <cell r="A354">
            <v>247</v>
          </cell>
          <cell r="D354">
            <v>2</v>
          </cell>
          <cell r="F354" t="str">
            <v>Dryers loaded to proper levels?  (Not overloaded or underloaded)</v>
          </cell>
          <cell r="H354" t="str">
            <v>N/A</v>
          </cell>
          <cell r="J354">
            <v>0</v>
          </cell>
          <cell r="K354" t="str">
            <v>Linen</v>
          </cell>
        </row>
        <row r="355">
          <cell r="A355">
            <v>248</v>
          </cell>
          <cell r="D355">
            <v>2</v>
          </cell>
          <cell r="F355" t="str">
            <v>Dryer reversing mode used only for drying large items such as blankets.  Non-reversing mode is always used when drying small items such as towels, gowns, etc.?</v>
          </cell>
          <cell r="H355" t="str">
            <v>N/A</v>
          </cell>
          <cell r="J355">
            <v>0</v>
          </cell>
          <cell r="K355" t="str">
            <v>Linen</v>
          </cell>
        </row>
        <row r="356">
          <cell r="A356">
            <v>249</v>
          </cell>
          <cell r="D356">
            <v>2</v>
          </cell>
          <cell r="F356" t="str">
            <v>Lint traps in good condition?  Cleaned on frequent schedule based on work load?</v>
          </cell>
          <cell r="H356" t="str">
            <v>N/A</v>
          </cell>
          <cell r="J356">
            <v>0</v>
          </cell>
          <cell r="K356" t="str">
            <v>Linen</v>
          </cell>
        </row>
        <row r="357">
          <cell r="A357">
            <v>250</v>
          </cell>
          <cell r="D357">
            <v>2</v>
          </cell>
          <cell r="F357" t="str">
            <v>Dryer exhaust flow good.  No evidence of excessive back pressure?</v>
          </cell>
          <cell r="H357" t="str">
            <v>N/A</v>
          </cell>
          <cell r="J357">
            <v>0</v>
          </cell>
          <cell r="K357" t="str">
            <v>Linen</v>
          </cell>
        </row>
        <row r="358">
          <cell r="D358" t="str">
            <v/>
          </cell>
          <cell r="F358" t="str">
            <v>QUALITY</v>
          </cell>
        </row>
        <row r="359">
          <cell r="F359" t="str">
            <v>LAUNDRY/LINEN (CONTINUED)</v>
          </cell>
        </row>
        <row r="360">
          <cell r="F360" t="str">
            <v>Small Piece Folders and Finishing</v>
          </cell>
        </row>
        <row r="361">
          <cell r="A361">
            <v>251</v>
          </cell>
          <cell r="D361">
            <v>2</v>
          </cell>
          <cell r="F361" t="str">
            <v>Linen sorted (presorted and postsorted) for maximum utility and efficiency?</v>
          </cell>
          <cell r="H361" t="str">
            <v>N/A</v>
          </cell>
          <cell r="J361">
            <v>0</v>
          </cell>
          <cell r="K361" t="str">
            <v>Linen</v>
          </cell>
        </row>
        <row r="362">
          <cell r="A362">
            <v>252</v>
          </cell>
          <cell r="D362">
            <v>2</v>
          </cell>
          <cell r="F362" t="str">
            <v>Automatic machine small piece folders clean, free of lint build-up?</v>
          </cell>
          <cell r="H362" t="str">
            <v>N/A</v>
          </cell>
          <cell r="J362">
            <v>0</v>
          </cell>
          <cell r="K362" t="str">
            <v>Linen</v>
          </cell>
        </row>
        <row r="363">
          <cell r="A363">
            <v>253</v>
          </cell>
          <cell r="D363">
            <v>2</v>
          </cell>
          <cell r="F363" t="str">
            <v>Machine small piece folders adjusted and tuned, folding linen neat and square?</v>
          </cell>
          <cell r="H363" t="str">
            <v>N/A</v>
          </cell>
          <cell r="J363">
            <v>0</v>
          </cell>
          <cell r="K363" t="str">
            <v>Linen</v>
          </cell>
        </row>
        <row r="364">
          <cell r="A364">
            <v>254</v>
          </cell>
          <cell r="D364">
            <v>2</v>
          </cell>
          <cell r="F364" t="str">
            <v>Manually folded linen folded as few times as necessary?</v>
          </cell>
          <cell r="H364" t="str">
            <v>N/A</v>
          </cell>
          <cell r="J364">
            <v>0</v>
          </cell>
          <cell r="K364" t="str">
            <v>Linen</v>
          </cell>
        </row>
        <row r="365">
          <cell r="A365">
            <v>255</v>
          </cell>
          <cell r="D365">
            <v>2</v>
          </cell>
          <cell r="F365" t="str">
            <v>Finished linen stored neatly, stacked square?</v>
          </cell>
          <cell r="H365" t="str">
            <v>N/A</v>
          </cell>
          <cell r="J365">
            <v>0</v>
          </cell>
          <cell r="K365" t="str">
            <v>Linen</v>
          </cell>
        </row>
        <row r="366">
          <cell r="A366">
            <v>256</v>
          </cell>
          <cell r="D366">
            <v>2</v>
          </cell>
          <cell r="F366" t="str">
            <v>General appearance of linens good:  bright, free of stains?</v>
          </cell>
          <cell r="H366" t="str">
            <v>N/A</v>
          </cell>
          <cell r="J366">
            <v>0</v>
          </cell>
          <cell r="K366" t="str">
            <v>Linen</v>
          </cell>
        </row>
        <row r="367">
          <cell r="A367">
            <v>257</v>
          </cell>
          <cell r="D367">
            <v>2</v>
          </cell>
          <cell r="F367" t="str">
            <v>Utility carts are clean, free of debris, wheels free of strings, marked "Clean Linen Only"?</v>
          </cell>
          <cell r="H367" t="str">
            <v>N/A</v>
          </cell>
          <cell r="J367">
            <v>0</v>
          </cell>
          <cell r="K367" t="str">
            <v>Linen</v>
          </cell>
        </row>
        <row r="368">
          <cell r="A368">
            <v>258</v>
          </cell>
          <cell r="D368">
            <v>2</v>
          </cell>
          <cell r="F368" t="str">
            <v>Linen to be patched in containers or stacked neatly?</v>
          </cell>
          <cell r="H368" t="str">
            <v>N/A</v>
          </cell>
          <cell r="J368">
            <v>0</v>
          </cell>
          <cell r="K368" t="str">
            <v>Linen</v>
          </cell>
        </row>
        <row r="369">
          <cell r="A369">
            <v>259</v>
          </cell>
          <cell r="D369">
            <v>2</v>
          </cell>
          <cell r="F369" t="str">
            <v>Sewing machines and patch machine clean and operational?</v>
          </cell>
          <cell r="H369" t="str">
            <v>N/A</v>
          </cell>
          <cell r="J369">
            <v>0</v>
          </cell>
          <cell r="K369" t="str">
            <v>Linen</v>
          </cell>
        </row>
        <row r="370">
          <cell r="A370">
            <v>260</v>
          </cell>
          <cell r="D370">
            <v>2</v>
          </cell>
          <cell r="F370" t="str">
            <v>Work tables, counter tops, etc. clear, free of debris and unused tems, parts, etc.?</v>
          </cell>
          <cell r="H370" t="str">
            <v>N/A</v>
          </cell>
          <cell r="J370">
            <v>0</v>
          </cell>
          <cell r="K370" t="str">
            <v>Linen</v>
          </cell>
        </row>
        <row r="371">
          <cell r="D371" t="str">
            <v/>
          </cell>
          <cell r="F371" t="str">
            <v>Linen Distribution</v>
          </cell>
        </row>
        <row r="372">
          <cell r="A372">
            <v>261</v>
          </cell>
          <cell r="D372">
            <v>2</v>
          </cell>
          <cell r="F372" t="str">
            <v>Clean linen storage area clean and orderly, floor free of debris?</v>
          </cell>
          <cell r="H372" t="str">
            <v>N/A</v>
          </cell>
          <cell r="J372">
            <v>0</v>
          </cell>
          <cell r="K372" t="str">
            <v>Linen</v>
          </cell>
        </row>
        <row r="373">
          <cell r="A373">
            <v>262</v>
          </cell>
          <cell r="D373">
            <v>2</v>
          </cell>
          <cell r="F373" t="str">
            <v>Carts loaded neatly, items stacked square?</v>
          </cell>
          <cell r="H373" t="str">
            <v>N/A</v>
          </cell>
          <cell r="J373">
            <v>0</v>
          </cell>
          <cell r="K373" t="str">
            <v>Linen</v>
          </cell>
        </row>
        <row r="374">
          <cell r="A374">
            <v>263</v>
          </cell>
          <cell r="D374">
            <v>2</v>
          </cell>
          <cell r="F374" t="str">
            <v>Delivery carts and covers clean;  wheels free of strings?</v>
          </cell>
          <cell r="H374" t="str">
            <v>N/A</v>
          </cell>
          <cell r="J374">
            <v>0</v>
          </cell>
          <cell r="K374" t="str">
            <v>Linen</v>
          </cell>
        </row>
        <row r="375">
          <cell r="A375">
            <v>264</v>
          </cell>
          <cell r="D375">
            <v>2</v>
          </cell>
          <cell r="F375" t="str">
            <v>Linen carts or closets in departments clean and orderly?</v>
          </cell>
          <cell r="H375" t="str">
            <v>N/A</v>
          </cell>
          <cell r="J375">
            <v>0</v>
          </cell>
          <cell r="K375" t="str">
            <v>Linen</v>
          </cell>
        </row>
        <row r="377">
          <cell r="F377" t="str">
            <v xml:space="preserve">                                                                     Total Quality - Laundry/Linen</v>
          </cell>
          <cell r="H377">
            <v>0</v>
          </cell>
          <cell r="J377">
            <v>0</v>
          </cell>
        </row>
        <row r="378">
          <cell r="F378" t="str">
            <v xml:space="preserve">                                                                     Percentage Implemented</v>
          </cell>
          <cell r="H378" t="str">
            <v>N/A</v>
          </cell>
        </row>
        <row r="380">
          <cell r="F380" t="str">
            <v>QUALITY</v>
          </cell>
        </row>
        <row r="381">
          <cell r="F381" t="str">
            <v>MATERIALS MANAGEMENT</v>
          </cell>
        </row>
        <row r="382">
          <cell r="A382">
            <v>265</v>
          </cell>
          <cell r="D382">
            <v>2</v>
          </cell>
          <cell r="F382" t="str">
            <v>Is a 98% or better storeroom internal fill rate being attained consistently?</v>
          </cell>
          <cell r="H382" t="str">
            <v>N/A</v>
          </cell>
          <cell r="J382">
            <v>0</v>
          </cell>
          <cell r="K382" t="str">
            <v>MM</v>
          </cell>
        </row>
        <row r="383">
          <cell r="A383">
            <v>266</v>
          </cell>
          <cell r="D383">
            <v>2</v>
          </cell>
          <cell r="F383" t="str">
            <v>Are storeroom inventory turns within the range of 13-24?</v>
          </cell>
          <cell r="H383" t="str">
            <v>N/A</v>
          </cell>
          <cell r="J383">
            <v>0</v>
          </cell>
          <cell r="K383" t="str">
            <v>MM</v>
          </cell>
        </row>
        <row r="384">
          <cell r="A384">
            <v>267</v>
          </cell>
          <cell r="D384">
            <v>2</v>
          </cell>
          <cell r="F384" t="str">
            <v>Is the sterile processing Quality Index fulfilled?</v>
          </cell>
          <cell r="H384" t="str">
            <v>N/A</v>
          </cell>
          <cell r="J384">
            <v>0</v>
          </cell>
          <cell r="K384" t="str">
            <v>MM</v>
          </cell>
        </row>
        <row r="385">
          <cell r="A385">
            <v>268</v>
          </cell>
          <cell r="D385">
            <v>2</v>
          </cell>
          <cell r="F385" t="str">
            <v>Does sterile processing meet JCAHO and other standards?</v>
          </cell>
          <cell r="H385" t="str">
            <v>N/A</v>
          </cell>
          <cell r="J385">
            <v>0</v>
          </cell>
          <cell r="K385" t="str">
            <v>MM</v>
          </cell>
        </row>
        <row r="386">
          <cell r="A386">
            <v>269</v>
          </cell>
          <cell r="D386">
            <v>2</v>
          </cell>
          <cell r="F386" t="str">
            <v>Is Purchasing's service (working days to process routine requisitions) measured and in the acceptable range of &lt;2?</v>
          </cell>
          <cell r="H386" t="str">
            <v>N/A</v>
          </cell>
          <cell r="J386">
            <v>0</v>
          </cell>
          <cell r="K386" t="str">
            <v>MM</v>
          </cell>
        </row>
        <row r="387">
          <cell r="A387">
            <v>270</v>
          </cell>
          <cell r="D387">
            <v>2</v>
          </cell>
          <cell r="F387" t="str">
            <v>Is there a systematic review of exchange cart or par-level inventories versus utilization?</v>
          </cell>
          <cell r="H387" t="str">
            <v>N/A</v>
          </cell>
          <cell r="J387">
            <v>0</v>
          </cell>
          <cell r="K387" t="str">
            <v>MM</v>
          </cell>
        </row>
        <row r="388">
          <cell r="A388">
            <v>271</v>
          </cell>
          <cell r="D388">
            <v>2</v>
          </cell>
          <cell r="F388" t="str">
            <v>Are par levels reviewed at least annually to reduce excess stock or non-moving stock?</v>
          </cell>
          <cell r="H388" t="str">
            <v>N/A</v>
          </cell>
          <cell r="J388">
            <v>0</v>
          </cell>
          <cell r="K388" t="str">
            <v>MM</v>
          </cell>
        </row>
        <row r="389">
          <cell r="A389">
            <v>272</v>
          </cell>
          <cell r="D389">
            <v>2</v>
          </cell>
          <cell r="F389" t="str">
            <v>Is the utilization rate for items &gt;50%?</v>
          </cell>
          <cell r="H389" t="str">
            <v>N/A</v>
          </cell>
          <cell r="J389">
            <v>0</v>
          </cell>
          <cell r="K389" t="str">
            <v>MM</v>
          </cell>
        </row>
        <row r="391">
          <cell r="F391" t="str">
            <v>Total Quality-Materials Management</v>
          </cell>
          <cell r="H391">
            <v>0</v>
          </cell>
          <cell r="J391">
            <v>0</v>
          </cell>
        </row>
        <row r="392">
          <cell r="F392" t="str">
            <v xml:space="preserve">                                                                     Percentage Implemented</v>
          </cell>
          <cell r="H392" t="str">
            <v>N/A</v>
          </cell>
        </row>
        <row r="398">
          <cell r="F398" t="str">
            <v>QUALITY</v>
          </cell>
        </row>
        <row r="399">
          <cell r="F399" t="str">
            <v>CLINICAL EQUIPMENT MANAGEMENT</v>
          </cell>
        </row>
        <row r="400">
          <cell r="A400">
            <v>273</v>
          </cell>
          <cell r="D400">
            <v>2</v>
          </cell>
          <cell r="F400" t="str">
            <v xml:space="preserve">Does the department have appropriate tools and test equipment available.  At minimum will include the following:  DMM, Oscilloscope, Safety Analyzer, Defribrillator Analyzer, Surgical Unit Analyzer, Patient Simulators, AC/DC Power Supply.  Each tech will </v>
          </cell>
          <cell r="H400" t="str">
            <v>N/A</v>
          </cell>
          <cell r="J400">
            <v>0</v>
          </cell>
          <cell r="K400" t="str">
            <v>CE</v>
          </cell>
        </row>
        <row r="401">
          <cell r="A401">
            <v>274</v>
          </cell>
          <cell r="D401">
            <v>2</v>
          </cell>
          <cell r="F401" t="str">
            <v>Do one or more performance indicators for the CEM department exist?  Does the manager review the performance indicators monthly and take appropriate action?  (SOPI 400.1, EC 1.8, EC 2.13)</v>
          </cell>
          <cell r="H401" t="str">
            <v>N/A</v>
          </cell>
          <cell r="J401">
            <v>0</v>
          </cell>
          <cell r="K401" t="str">
            <v>CE</v>
          </cell>
        </row>
        <row r="402">
          <cell r="D402" t="str">
            <v/>
          </cell>
          <cell r="F402" t="str">
            <v>Medical Equipment Management Plan (EC 1.8)</v>
          </cell>
        </row>
        <row r="403">
          <cell r="F403" t="str">
            <v>Review the Medical Equipment Management Plan and the hospital's policies and procedures and verify the following:</v>
          </cell>
        </row>
        <row r="404">
          <cell r="A404">
            <v>275</v>
          </cell>
          <cell r="D404">
            <v>2</v>
          </cell>
          <cell r="F404" t="str">
            <v>Has the Medical Equipment Management Plan been reviewed and approved by administration in the last 12 months? (EC 1.8)</v>
          </cell>
          <cell r="H404" t="str">
            <v>N/A</v>
          </cell>
          <cell r="J404">
            <v>0</v>
          </cell>
          <cell r="K404" t="str">
            <v>CE</v>
          </cell>
        </row>
        <row r="405">
          <cell r="A405">
            <v>276</v>
          </cell>
          <cell r="D405">
            <v>2</v>
          </cell>
          <cell r="F405" t="str">
            <v>Does a policy exist for compliance with the Safe Medical Device Act?  Is there a policy on incident investigation and reporting? (SOPI 600.4, 600.5, EC 1.8)</v>
          </cell>
          <cell r="H405" t="str">
            <v>N/A</v>
          </cell>
          <cell r="J405">
            <v>0</v>
          </cell>
          <cell r="K405" t="str">
            <v>CE</v>
          </cell>
        </row>
        <row r="406">
          <cell r="A406">
            <v>277</v>
          </cell>
          <cell r="D406">
            <v>2</v>
          </cell>
          <cell r="F406" t="str">
            <v xml:space="preserve">Does documentation exist summarizing deficiencies, problems, failures and user errors noted with clinical equipment?  Does the summary include actions taken as a result of the performance improvement activities of the CEM department?  This summary may be </v>
          </cell>
          <cell r="H406" t="str">
            <v>N/A</v>
          </cell>
          <cell r="J406">
            <v>0</v>
          </cell>
          <cell r="K406" t="str">
            <v>CE</v>
          </cell>
        </row>
        <row r="407">
          <cell r="A407">
            <v>278</v>
          </cell>
          <cell r="D407">
            <v>2</v>
          </cell>
          <cell r="F407" t="str">
            <v>Is a written "Risk Ranking" procedure utilized to determine PM frequency?  (SOPI 400.2, 400.3)</v>
          </cell>
          <cell r="H407" t="str">
            <v>N/A</v>
          </cell>
          <cell r="J407">
            <v>0</v>
          </cell>
          <cell r="K407" t="str">
            <v>CE</v>
          </cell>
        </row>
        <row r="408">
          <cell r="A408">
            <v>279</v>
          </cell>
          <cell r="D408">
            <v>2</v>
          </cell>
          <cell r="F408" t="str">
            <v>Is there a procedure in place that will identify equipment and/or user problems, analyze the problem, form a resolution and monitor results for effectiveness? (SOPI 300.5, 300.16)</v>
          </cell>
          <cell r="H408" t="str">
            <v>N/A</v>
          </cell>
          <cell r="J408">
            <v>0</v>
          </cell>
          <cell r="K408" t="str">
            <v>CE</v>
          </cell>
        </row>
        <row r="409">
          <cell r="A409">
            <v>280</v>
          </cell>
          <cell r="D409">
            <v>2</v>
          </cell>
          <cell r="F409" t="str">
            <v>Does a policy exist for monitoring hazard alerts and equipment recalls?  Does the procedure allow for documentation of results?  (SOPI 300.8, EC 1.8)</v>
          </cell>
          <cell r="H409" t="str">
            <v>N/A</v>
          </cell>
          <cell r="J409">
            <v>0</v>
          </cell>
          <cell r="K409" t="str">
            <v>CE</v>
          </cell>
        </row>
        <row r="410">
          <cell r="A410">
            <v>281</v>
          </cell>
          <cell r="D410">
            <v>2</v>
          </cell>
          <cell r="F410" t="str">
            <v>Does the manager receive copies of the Safety Committee minutes and action reports? (SOPI 100.10, EC 2.7)</v>
          </cell>
          <cell r="H410" t="str">
            <v>N/A</v>
          </cell>
          <cell r="J410">
            <v>0</v>
          </cell>
          <cell r="K410" t="str">
            <v>CE</v>
          </cell>
        </row>
        <row r="411">
          <cell r="A411">
            <v>282</v>
          </cell>
          <cell r="D411">
            <v>2</v>
          </cell>
          <cell r="F411" t="str">
            <v>Is there a documented process for selecting and acquiring medical equipment?  Does the CEM department participate in this process?  Does this process provide for replacement of equipment that is beyond its useful life due to the high repair costs or chang</v>
          </cell>
          <cell r="H411" t="str">
            <v>N/A</v>
          </cell>
          <cell r="J411">
            <v>0</v>
          </cell>
          <cell r="K411" t="str">
            <v>CE</v>
          </cell>
        </row>
        <row r="412">
          <cell r="A412">
            <v>283</v>
          </cell>
          <cell r="D412">
            <v>2</v>
          </cell>
          <cell r="F412" t="str">
            <v>Is there a procedure in place that assures all new equipment entering the facility is first checked by the CEM department for safety, prior to being used? (SOPI 300.15, EC 1.8)</v>
          </cell>
          <cell r="H412" t="str">
            <v>N/A</v>
          </cell>
          <cell r="J412">
            <v>0</v>
          </cell>
          <cell r="K412" t="str">
            <v>CE</v>
          </cell>
        </row>
        <row r="413">
          <cell r="A413">
            <v>284</v>
          </cell>
          <cell r="D413">
            <v>2</v>
          </cell>
          <cell r="F413" t="str">
            <v xml:space="preserve">Is there a procedure in place for the electrical safety testing and performance check of equipment returned from outside repairs, loaners, rentals, trial units, modified units, leased, physician owned, and patient owned equipment? (SOPI 300.15, 600.2, EC </v>
          </cell>
          <cell r="H413" t="str">
            <v>N/A</v>
          </cell>
          <cell r="J413">
            <v>0</v>
          </cell>
          <cell r="K413" t="str">
            <v>CE</v>
          </cell>
        </row>
        <row r="414">
          <cell r="A414">
            <v>285</v>
          </cell>
          <cell r="D414">
            <v>2</v>
          </cell>
          <cell r="F414" t="str">
            <v>Is there a current (written within the past 6 months), accurate, unique inventory of all equiipment in the Clinical Equipment Management Program, regardless of ownership? (SOPI 400.2, 400.3, EC 2.7)</v>
          </cell>
          <cell r="H414" t="str">
            <v>N/A</v>
          </cell>
          <cell r="J414">
            <v>0</v>
          </cell>
          <cell r="K414" t="str">
            <v>CE</v>
          </cell>
        </row>
        <row r="415">
          <cell r="A415">
            <v>286</v>
          </cell>
          <cell r="D415">
            <v>2</v>
          </cell>
          <cell r="F415" t="str">
            <v>Has an equipment inventory list been presented to each cost center, indicating equipment assigned or charged to their department, withing the past 6 months? (SOPI 400.10)</v>
          </cell>
          <cell r="H415" t="str">
            <v>N/A</v>
          </cell>
          <cell r="J415">
            <v>0</v>
          </cell>
          <cell r="K415" t="str">
            <v>CE</v>
          </cell>
        </row>
        <row r="416">
          <cell r="A416">
            <v>287</v>
          </cell>
          <cell r="D416">
            <v>2</v>
          </cell>
          <cell r="F416" t="str">
            <v>Is there a procedure for the removal from service and final disposition of medical equipment which is of no further use or value to the facility? (SOPI 500.9)</v>
          </cell>
          <cell r="H416" t="str">
            <v>N/A</v>
          </cell>
          <cell r="J416">
            <v>0</v>
          </cell>
          <cell r="K416" t="str">
            <v>CE</v>
          </cell>
        </row>
        <row r="417">
          <cell r="A417">
            <v>288</v>
          </cell>
          <cell r="D417">
            <v>2</v>
          </cell>
          <cell r="F417" t="str">
            <v>Are Electromagnetic Interference/Electromagnetic Compatibility policies and procedures in place at the facility?  Are the users of clinical equipment familiar with these policies? (SOPI 600.10)</v>
          </cell>
          <cell r="H417" t="str">
            <v>N/A</v>
          </cell>
          <cell r="J417">
            <v>0</v>
          </cell>
          <cell r="K417" t="str">
            <v>CE</v>
          </cell>
        </row>
        <row r="418">
          <cell r="F418" t="str">
            <v>Work Orders</v>
          </cell>
        </row>
        <row r="419">
          <cell r="A419">
            <v>289</v>
          </cell>
          <cell r="D419">
            <v>2</v>
          </cell>
          <cell r="F419" t="str">
            <v>Is there a work order system, including a written policy in place, that meets the needs of the facility?  Does this system address work order submission, turnaround time, follow-up, etc. (SOPI 400.5, EC 1.8)</v>
          </cell>
          <cell r="H419" t="str">
            <v>N/A</v>
          </cell>
          <cell r="J419">
            <v>0</v>
          </cell>
          <cell r="K419" t="str">
            <v>CE</v>
          </cell>
        </row>
        <row r="420">
          <cell r="A420">
            <v>290</v>
          </cell>
          <cell r="D420">
            <v>2</v>
          </cell>
          <cell r="F420" t="str">
            <v>Are work orders generated at the time of notification and not when the work is started or completed?  Does the status change for each work order when a technician responds?  Is there a work order for all equipment awaiting repairs?  Check the equipment lo</v>
          </cell>
          <cell r="H420" t="str">
            <v>N/A</v>
          </cell>
          <cell r="J420">
            <v>0</v>
          </cell>
          <cell r="K420" t="str">
            <v>CE</v>
          </cell>
        </row>
        <row r="421">
          <cell r="A421">
            <v>291</v>
          </cell>
          <cell r="D421">
            <v>2</v>
          </cell>
          <cell r="F421" t="str">
            <v>Verify that completed work orders indicate repair codes, manhours used, materials quantity and costs, response date and time, completion date and time, and are signed by the repair technician.  (SOPI 400.5, SOPI 400.6)</v>
          </cell>
          <cell r="H421" t="str">
            <v>N/A</v>
          </cell>
          <cell r="J421">
            <v>0</v>
          </cell>
          <cell r="K421" t="str">
            <v>CE</v>
          </cell>
        </row>
        <row r="422">
          <cell r="F422" t="str">
            <v>QUALITY</v>
          </cell>
        </row>
        <row r="423">
          <cell r="F423" t="str">
            <v>CLINICAL EQUIPMENT MANAGEMENT (CONTINUED)</v>
          </cell>
        </row>
        <row r="424">
          <cell r="F424" t="str">
            <v>Work Orders</v>
          </cell>
        </row>
        <row r="425">
          <cell r="A425">
            <v>292</v>
          </cell>
          <cell r="D425">
            <v>2</v>
          </cell>
          <cell r="F425" t="str">
            <v>Are copies of completed work orders given to the user or requesting departments when required?  Does each department receive a monthly summary indicating all work accomplished in said department? (SOPI 400.5, 400.10)</v>
          </cell>
          <cell r="H425" t="str">
            <v>N/A</v>
          </cell>
          <cell r="J425">
            <v>0</v>
          </cell>
          <cell r="K425" t="str">
            <v>CE</v>
          </cell>
        </row>
        <row r="426">
          <cell r="A426">
            <v>293</v>
          </cell>
          <cell r="D426">
            <v>2</v>
          </cell>
          <cell r="F426" t="str">
            <v>Are open work orders followed up until completion?  Verify through the open work order list generated by ISIS.  Can the CEM manager explain reasons for any work order open for more than ten days? (SOPI 400.5, SOPI 400.10)</v>
          </cell>
          <cell r="H426" t="str">
            <v>N/A</v>
          </cell>
          <cell r="J426">
            <v>0</v>
          </cell>
          <cell r="K426" t="str">
            <v>CE</v>
          </cell>
        </row>
        <row r="427">
          <cell r="A427">
            <v>294</v>
          </cell>
          <cell r="D427">
            <v>2</v>
          </cell>
          <cell r="F427" t="str">
            <v>Does documentation exist indicating that the user or requesting department has been notified when a work order cannot be completed in a reasonable time (maximum of ten working days for routine work orders)? (SOPI 400.5)</v>
          </cell>
          <cell r="H427" t="str">
            <v>N/A</v>
          </cell>
          <cell r="J427">
            <v>0</v>
          </cell>
          <cell r="K427" t="str">
            <v>CE</v>
          </cell>
        </row>
        <row r="428">
          <cell r="A428">
            <v>295</v>
          </cell>
          <cell r="D428">
            <v>2</v>
          </cell>
          <cell r="F428" t="str">
            <v>Is the completion rate for requested work orders at 90% or better? (SOPI 100.3, SOPI 400.5, SOPI 400.10)</v>
          </cell>
          <cell r="H428" t="str">
            <v>N/A</v>
          </cell>
          <cell r="J428">
            <v>0</v>
          </cell>
          <cell r="K428" t="str">
            <v>CE</v>
          </cell>
        </row>
        <row r="429">
          <cell r="A429">
            <v>296</v>
          </cell>
          <cell r="D429">
            <v>2</v>
          </cell>
          <cell r="F429" t="str">
            <v>Is a copy of all completed work orders placed into the equipment historical files? (SOPI 300.1, SOPI 400.5)</v>
          </cell>
          <cell r="H429" t="str">
            <v>N/A</v>
          </cell>
          <cell r="J429">
            <v>0</v>
          </cell>
          <cell r="K429" t="str">
            <v>CE</v>
          </cell>
        </row>
        <row r="430">
          <cell r="A430">
            <v>297</v>
          </cell>
          <cell r="D430">
            <v>2</v>
          </cell>
          <cell r="F430" t="str">
            <v>Are "user errors" and "could not duplicate" repair codes tracked and reported for possible training sessions and/or equipment problems? (SOPI 400.6, EC 1.8)</v>
          </cell>
          <cell r="H430" t="str">
            <v>N/A</v>
          </cell>
          <cell r="J430">
            <v>0</v>
          </cell>
          <cell r="K430" t="str">
            <v>CE</v>
          </cell>
        </row>
        <row r="431">
          <cell r="F431" t="str">
            <v>Preventive Maintenance</v>
          </cell>
        </row>
        <row r="432">
          <cell r="A432">
            <v>298</v>
          </cell>
          <cell r="D432">
            <v>2</v>
          </cell>
          <cell r="F432" t="str">
            <v>Does the CEM manager review the PM schedule , at least annually, for balance, accuracy and schedule change needs? (SOPI 400.12, EC 1.8)</v>
          </cell>
          <cell r="H432" t="str">
            <v>N/A</v>
          </cell>
          <cell r="J432">
            <v>0</v>
          </cell>
          <cell r="K432" t="str">
            <v>CE</v>
          </cell>
        </row>
        <row r="433">
          <cell r="A433">
            <v>299</v>
          </cell>
          <cell r="D433">
            <v>2</v>
          </cell>
          <cell r="F433" t="str">
            <v>Are PM requirements reviewed for completeness?  Are changes made in order to meet the needs of the facility and to assure equipment up-time and longevity? (SOPI 400.13, SOPI 400.12, EC 1.8)</v>
          </cell>
          <cell r="H433" t="str">
            <v>N/A</v>
          </cell>
          <cell r="J433">
            <v>0</v>
          </cell>
          <cell r="K433" t="str">
            <v>CE</v>
          </cell>
        </row>
        <row r="434">
          <cell r="A434">
            <v>300</v>
          </cell>
          <cell r="D434">
            <v>2</v>
          </cell>
          <cell r="F434" t="str">
            <v>Does documentation exist indicating notification to the user or requesting department when PMs could not be performed due to the inability to locate equipment and/or equipment in use? (SOPI 400.9, EC 1.8)</v>
          </cell>
          <cell r="H434" t="str">
            <v>N/A</v>
          </cell>
          <cell r="J434">
            <v>0</v>
          </cell>
          <cell r="K434" t="str">
            <v>CE</v>
          </cell>
        </row>
        <row r="435">
          <cell r="A435">
            <v>301</v>
          </cell>
          <cell r="D435">
            <v>2</v>
          </cell>
          <cell r="F435" t="str">
            <v>Is the completion rate for PMs 95% or better?  State reason if less than 95%? (SOPI 100.3, SOPI 400.9, SOPI 400.10, EC 2.13)</v>
          </cell>
          <cell r="H435" t="str">
            <v>N/A</v>
          </cell>
          <cell r="J435">
            <v>0</v>
          </cell>
          <cell r="K435" t="str">
            <v>CE</v>
          </cell>
        </row>
        <row r="436">
          <cell r="A436">
            <v>302</v>
          </cell>
          <cell r="D436">
            <v>2</v>
          </cell>
          <cell r="F436" t="str">
            <v>Has a PM schedule for all equipment included in the inventory been presented to each cost center within the past 12 months? (SOPI 400.10)</v>
          </cell>
          <cell r="H436" t="str">
            <v>N/A</v>
          </cell>
          <cell r="J436">
            <v>0</v>
          </cell>
          <cell r="K436" t="str">
            <v>CE</v>
          </cell>
        </row>
        <row r="437">
          <cell r="D437" t="str">
            <v/>
          </cell>
        </row>
        <row r="438">
          <cell r="F438" t="str">
            <v>Total Quality-Clinical Equipment Management</v>
          </cell>
          <cell r="H438">
            <v>0</v>
          </cell>
          <cell r="J438">
            <v>0</v>
          </cell>
        </row>
        <row r="439">
          <cell r="F439" t="str">
            <v xml:space="preserve">                                                                     Percentage Implemented</v>
          </cell>
          <cell r="H439" t="str">
            <v>N/A</v>
          </cell>
        </row>
        <row r="441">
          <cell r="F441" t="str">
            <v xml:space="preserve">                                       TOTAL QUALITY</v>
          </cell>
          <cell r="H441">
            <v>47</v>
          </cell>
          <cell r="J441">
            <v>47</v>
          </cell>
        </row>
        <row r="443">
          <cell r="F443" t="str">
            <v xml:space="preserve">                                       TOTAL PERCENTAGE IMPLEMENTED</v>
          </cell>
          <cell r="H443">
            <v>1</v>
          </cell>
        </row>
      </sheetData>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ep be"/>
      <sheetName val="Thep than"/>
      <sheetName val="Thep xa mu"/>
      <sheetName val="142201-T1-th"/>
      <sheetName val="142201-T1 "/>
      <sheetName val="142201-T2-th "/>
      <sheetName val="142201-T2"/>
      <sheetName val="142201-T3-th "/>
      <sheetName val="142201-T3"/>
      <sheetName val="142201-T4-th  "/>
      <sheetName val="142201-T4"/>
      <sheetName val="142201-T6"/>
      <sheetName val="142201-T10"/>
      <sheetName val="Song trai"/>
      <sheetName val="Dinh+ha nha"/>
      <sheetName val="PTLK"/>
      <sheetName val="NG k"/>
      <sheetName val="THcong"/>
      <sheetName val="BHXH"/>
      <sheetName val="BHXH12"/>
      <sheetName val="Sheet8"/>
      <sheetName val="Sheet9"/>
      <sheetName val="km248"/>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GVL"/>
      <sheetName val="Sheet6"/>
      <sheetName val="Trich Ngang"/>
      <sheetName val="Danh sach Rieng"/>
      <sheetName val="Dia Diem Thuc Tap"/>
      <sheetName val="De Tai Thuc T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tb1"/>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Congty"/>
      <sheetName val="VPPN"/>
      <sheetName val="XN74"/>
      <sheetName val="XN54"/>
      <sheetName val="XN33"/>
      <sheetName val="NK96"/>
      <sheetName val="XL4Test5"/>
      <sheetName val="phan tich DG"/>
      <sheetName val="gia vat lieu"/>
      <sheetName val="gia xe may"/>
      <sheetName val="gia nhan cong"/>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M"/>
      <sheetName val="KHOANMUC"/>
      <sheetName val="QTNC"/>
      <sheetName val="CPQL"/>
      <sheetName val="SANLUONG"/>
      <sheetName val="SSCP-SL"/>
      <sheetName val="CPSX"/>
      <sheetName val="CDSL (2)"/>
      <sheetName val="F ThanhTri"/>
      <sheetName val="F Gialam"/>
      <sheetName val="DG"/>
      <sheetName val="TH dam"/>
      <sheetName val="SX dam"/>
      <sheetName val="LD dam"/>
      <sheetName val="Bang gia VL"/>
      <sheetName val="Gia NC"/>
      <sheetName val="Gia may"/>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XXXXXX_xda24_X"/>
      <sheetName val="Tonghop"/>
      <sheetName val="Sheet7"/>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HHVt "/>
      <sheetName val="D1"/>
      <sheetName val="D2"/>
      <sheetName val="D3"/>
      <sheetName val="D4"/>
      <sheetName val="D5"/>
      <sheetName val="D6"/>
      <sheetName val="Tay ninh"/>
      <sheetName val="A.Duc"/>
      <sheetName val="TH"/>
      <sheetName val="TH2003"/>
      <sheetName val="giai thich"/>
      <sheetName val="Heso"/>
      <sheetName val="CTDG"/>
      <sheetName val="DT - Ro"/>
      <sheetName val="TH - Ro "/>
      <sheetName val="GDT - Ro"/>
      <sheetName val="DT - TB"/>
      <sheetName val="TH - TB"/>
      <sheetName val="GDT - TB"/>
      <sheetName val="DT - NT"/>
      <sheetName val="TH - NT"/>
      <sheetName val="GDT - NT"/>
      <sheetName val="THGT"/>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TH du toan "/>
      <sheetName val="Du toan "/>
      <sheetName val="C.Tinh"/>
      <sheetName val="TK_cap"/>
      <sheetName val="Sheet10"/>
      <sheetName val="CT 03"/>
      <sheetName val="TH 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 KQTH quy hoach 135"/>
      <sheetName val="Bao cao KQTH quy hoach 135"/>
      <sheetName val="Co~g hop 1,5x1,5"/>
      <sheetName val="HD1"/>
      <sheetName val="HD4"/>
      <sheetName val="HD3"/>
      <sheetName val="HD5"/>
      <sheetName val="HD7"/>
      <sheetName val="HD6"/>
      <sheetName val="HD2"/>
      <sheetName val="T03 - 03"/>
      <sheetName val="AncaT03"/>
      <sheetName val="THL T03"/>
      <sheetName val="TTBC T03"/>
      <sheetName val="Luong noi Bo - T3"/>
      <sheetName val="Tong hop - T3"/>
      <sheetName val="Thuong Quy 3"/>
      <sheetName val="LBS"/>
      <sheetName val="Phu cap trach nhiem"/>
      <sheetName val="DATA"/>
      <sheetName val="CV di trong  dong"/>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amPha"/>
      <sheetName val="MongCai"/>
      <sheetName val="30000000"/>
      <sheetName val="40000000"/>
      <sheetName val="50000000"/>
      <sheetName val="60000000"/>
      <sheetName val="70000000"/>
      <sheetName val="TH_BQ"/>
      <sheetName val="[IBASE2.XLSѝTNHNoi"/>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Nhap_lieu"/>
      <sheetName val="Khoiluong"/>
      <sheetName val="Vattu"/>
      <sheetName val="Trungchuyen"/>
      <sheetName val="Bu"/>
      <sheetName val="Chitiet"/>
      <sheetName val="Nhap lieu"/>
      <sheetName val="PGT"/>
      <sheetName val="Tien dien"/>
      <sheetName val="Thue GTGT"/>
      <sheetName val="Tkedotuoi"/>
      <sheetName val="Tkebactho"/>
      <sheetName val="nhan su"/>
      <sheetName val="2020"/>
      <sheetName val="luong cty"/>
      <sheetName val="bangluong"/>
      <sheetName val="Tkecong"/>
      <sheetName val="thunhap03"/>
      <sheetName val="thungoaiSCTX"/>
      <sheetName val="TRICH73"/>
      <sheetName val="bcth 05-04"/>
      <sheetName val="baocao 05-04"/>
      <sheetName val="bcth04-04"/>
      <sheetName val="baocao04-04"/>
      <sheetName val="bcth03-04"/>
      <sheetName val="baocao03-04"/>
      <sheetName val="bcth02-04"/>
      <sheetName val="baocao02-04"/>
      <sheetName val="bcth01-04"/>
      <sheetName val="baocao01-04"/>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 H.T.T5"/>
      <sheetName val="T.K T7"/>
      <sheetName val="TK T6"/>
      <sheetName val="T.K T5"/>
      <sheetName val="Bang thong ke hang ton"/>
      <sheetName val="thong ke "/>
      <sheetName val="T.KT04"/>
      <sheetName val="cn"/>
      <sheetName val="ct"/>
      <sheetName val="Nc"/>
      <sheetName val="pt"/>
      <sheetName val="ql"/>
      <sheetName val="ql (2)"/>
      <sheetName val="4"/>
      <sheetName val="Sheet13"/>
      <sheetName val="Sheet14"/>
      <sheetName val="Sheet15"/>
      <sheetName val="Sheet16"/>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GIA NUOC"/>
      <sheetName val="GIA DIEN THOAI"/>
      <sheetName val="GIA DIEN"/>
      <sheetName val="chiet tinh XD"/>
      <sheetName val="Triet T"/>
      <sheetName val="Phan tich gia"/>
      <sheetName val="pHAN CONG"/>
      <sheetName val="GIA XD"/>
      <sheetName val="Coc 6"/>
      <sheetName val="Deo nai"/>
      <sheetName val="CKD than"/>
      <sheetName val="NEW-PANEL"/>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1 Cash Flow Analysis"/>
      <sheetName val="Journal"/>
      <sheetName val="1.0"/>
      <sheetName val="Summary"/>
      <sheetName val="2004SS"/>
      <sheetName val="2004CJ"/>
      <sheetName val="argl(1)"/>
      <sheetName val="Customer Databas"/>
      <sheetName val="Budget 2005(DW)"/>
      <sheetName val="F"/>
      <sheetName val="Table"/>
      <sheetName val="노무비"/>
      <sheetName val="GVL"/>
      <sheetName val="로담코총괄제안견적3"/>
      <sheetName val="NEW-PAN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the"/>
      <sheetName val="PhanLoaiDinhNghia"/>
      <sheetName val="DanhGia"/>
      <sheetName val="KhungLuong-ThuNhap"/>
      <sheetName val="PhanLoaiNV"/>
      <sheetName val="ESOP"/>
      <sheetName val="Qkt"/>
      <sheetName val="TinhToanCP"/>
      <sheetName val="BangLuongMOI"/>
      <sheetName val="PhanCongLanhDao"/>
    </sheetNames>
    <sheetDataSet>
      <sheetData sheetId="0"/>
      <sheetData sheetId="1"/>
      <sheetData sheetId="2"/>
      <sheetData sheetId="3"/>
      <sheetData sheetId="4"/>
      <sheetData sheetId="5"/>
      <sheetData sheetId="6"/>
      <sheetData sheetId="7"/>
      <sheetData sheetId="8">
        <row r="15">
          <cell r="C15">
            <v>74.400000000000006</v>
          </cell>
          <cell r="G15">
            <v>161</v>
          </cell>
          <cell r="K15">
            <v>401</v>
          </cell>
        </row>
        <row r="17">
          <cell r="C17">
            <v>78.099999999999994</v>
          </cell>
        </row>
        <row r="21">
          <cell r="C21">
            <v>94.9</v>
          </cell>
          <cell r="G21">
            <v>239</v>
          </cell>
        </row>
        <row r="23">
          <cell r="C23">
            <v>99.6</v>
          </cell>
          <cell r="G23">
            <v>275.03015075376885</v>
          </cell>
          <cell r="K23">
            <v>713.3891213389121</v>
          </cell>
        </row>
        <row r="27">
          <cell r="C27">
            <v>121.1</v>
          </cell>
        </row>
        <row r="29">
          <cell r="C29">
            <v>127.2</v>
          </cell>
          <cell r="K29">
            <v>1047.8224687933425</v>
          </cell>
        </row>
      </sheetData>
      <sheetData sheetId="9"/>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sach KH"/>
      <sheetName val="DoanhThu theo Quý"/>
      <sheetName val="DoanhThu"/>
      <sheetName val="CoCauGiaThanh"/>
      <sheetName val="Cochehachtoan"/>
      <sheetName val="Chi phi du tinh"/>
      <sheetName val="cp chung"/>
      <sheetName val="Nhansu_Luong"/>
      <sheetName val="Phu thuoc C-M va KPI"/>
      <sheetName val="BangLuong CMC"/>
      <sheetName val="Diem Hoa Von"/>
      <sheetName val="Doanh so cho nhan vien"/>
      <sheetName val="Nghạch bậc lương CMC"/>
      <sheetName val="인원계획-미화"/>
    </sheetNames>
    <sheetDataSet>
      <sheetData sheetId="0"/>
      <sheetData sheetId="1"/>
      <sheetData sheetId="2"/>
      <sheetData sheetId="3"/>
      <sheetData sheetId="4"/>
      <sheetData sheetId="5"/>
      <sheetData sheetId="6"/>
      <sheetData sheetId="7">
        <row r="15">
          <cell r="Q15">
            <v>320573002.7472527</v>
          </cell>
        </row>
      </sheetData>
      <sheetData sheetId="8"/>
      <sheetData sheetId="9"/>
      <sheetData sheetId="10"/>
      <sheetData sheetId="11"/>
      <sheetData sheetId="12"/>
      <sheetData sheetId="1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근무"/>
      <sheetName val="견적"/>
      <sheetName val="견적서"/>
      <sheetName val="견적내역"/>
      <sheetName val="산출기준"/>
      <sheetName val="인건"/>
      <sheetName val="소모품"/>
      <sheetName val="인원계획-미화"/>
      <sheetName val="한국중공업보안"/>
      <sheetName val="Nhansu_Lu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Baogia"/>
      <sheetName val="Olympia_X-Media"/>
      <sheetName val="Powercom"/>
      <sheetName val="Leader "/>
      <sheetName val="Solomon"/>
      <sheetName val="Sputnik"/>
      <sheetName val="Project"/>
      <sheetName val="Data_Cost"/>
      <sheetName val="112solution"/>
      <sheetName val="Solution"/>
      <sheetName val="노무비"/>
    </sheetNames>
    <sheetDataSet>
      <sheetData sheetId="0"/>
      <sheetData sheetId="1"/>
      <sheetData sheetId="2"/>
      <sheetData sheetId="3"/>
      <sheetData sheetId="4"/>
      <sheetData sheetId="5"/>
      <sheetData sheetId="6"/>
      <sheetData sheetId="7"/>
      <sheetData sheetId="8">
        <row r="226">
          <cell r="E226">
            <v>84</v>
          </cell>
        </row>
      </sheetData>
      <sheetData sheetId="9"/>
      <sheetData sheetId="10"/>
      <sheetData sheetId="1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s"/>
      <sheetName val="csv"/>
      <sheetName val="Control"/>
      <sheetName val="Co_Ref"/>
      <sheetName val="Graphs"/>
      <sheetName val="Stream alloc"/>
      <sheetName val="Hist Data"/>
      <sheetName val="Total"/>
      <sheetName val="First"/>
      <sheetName val="Ship"/>
      <sheetName val="Mach"/>
      <sheetName val="P&amp;I"/>
      <sheetName val="Liner"/>
      <sheetName val="Cargo"/>
      <sheetName val="Cont"/>
      <sheetName val="Central"/>
      <sheetName val="Last"/>
      <sheetName val="노무비"/>
      <sheetName val="의왕"/>
      <sheetName val="Data_Co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X 23 &amp; 28F Valuation"/>
      <sheetName val="EX 23F Investment"/>
      <sheetName val="Projector &amp; Notebook"/>
      <sheetName val="CP1 8F"/>
      <sheetName val="CP1 7F"/>
      <sheetName val="PML Site"/>
      <sheetName val="Network Equipment"/>
      <sheetName val="Printer &amp; Scanner"/>
      <sheetName val="TST"/>
      <sheetName val="DB"/>
      <sheetName val="MK"/>
      <sheetName val="Server Equipment"/>
      <sheetName val="Equipment List Guideline"/>
      <sheetName val="Model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B5" t="str">
            <v>Server</v>
          </cell>
          <cell r="L5" t="str">
            <v>Bronze (8.5x5.5xNHBD)</v>
          </cell>
        </row>
        <row r="6">
          <cell r="B6" t="str">
            <v>Monitor(LCD)</v>
          </cell>
          <cell r="L6" t="str">
            <v>Silver (13x7x4)</v>
          </cell>
        </row>
        <row r="7">
          <cell r="B7" t="str">
            <v>Monitor(CRT)</v>
          </cell>
          <cell r="L7" t="str">
            <v>Gold (24x7x4)</v>
          </cell>
        </row>
        <row r="8">
          <cell r="B8" t="str">
            <v>Printer(LaserJet)</v>
          </cell>
          <cell r="L8" t="str">
            <v>Platinum (24x7x2)</v>
          </cell>
        </row>
        <row r="9">
          <cell r="B9" t="str">
            <v>Printer(ColorLaserJet)</v>
          </cell>
          <cell r="L9" t="str">
            <v>Others</v>
          </cell>
        </row>
        <row r="10">
          <cell r="B10" t="str">
            <v>Printer(DotMatrix)</v>
          </cell>
        </row>
        <row r="11">
          <cell r="B11" t="str">
            <v>Printer(Others-AIO/Inkjet/DesignJet/Plotter)</v>
          </cell>
        </row>
        <row r="12">
          <cell r="B12" t="str">
            <v>NoteBook/Laptop</v>
          </cell>
        </row>
        <row r="13">
          <cell r="B13" t="str">
            <v>Scanner</v>
          </cell>
        </row>
        <row r="14">
          <cell r="B14" t="str">
            <v>External Device(MO/CD/DVD)</v>
          </cell>
        </row>
        <row r="15">
          <cell r="B15" t="str">
            <v>Tape Drive/Loader/Library</v>
          </cell>
        </row>
        <row r="16">
          <cell r="B16" t="str">
            <v>UPS</v>
          </cell>
        </row>
        <row r="17">
          <cell r="B17" t="str">
            <v>Network Device(Switch/Hubs/FW/VPN)</v>
          </cell>
        </row>
        <row r="18">
          <cell r="B18" t="str">
            <v>Desktop/PC</v>
          </cell>
        </row>
        <row r="19">
          <cell r="B19" t="str">
            <v>Other Products</v>
          </cell>
        </row>
      </sheetData>
      <sheetData sheetId="14">
        <row r="2">
          <cell r="G2" t="str">
            <v>* Server</v>
          </cell>
        </row>
        <row r="3">
          <cell r="G3" t="str">
            <v xml:space="preserve">CPQ PL400  </v>
          </cell>
        </row>
        <row r="4">
          <cell r="G4" t="str">
            <v xml:space="preserve">CPQ PL800  </v>
          </cell>
        </row>
        <row r="5">
          <cell r="G5" t="str">
            <v xml:space="preserve">CPQ PL1000 </v>
          </cell>
        </row>
        <row r="6">
          <cell r="G6" t="str">
            <v xml:space="preserve">CPQ PL1200 </v>
          </cell>
        </row>
        <row r="7">
          <cell r="G7" t="str">
            <v xml:space="preserve">CPQ PL1500 </v>
          </cell>
        </row>
        <row r="8">
          <cell r="G8" t="str">
            <v xml:space="preserve">CPQ PL1600 </v>
          </cell>
        </row>
        <row r="9">
          <cell r="G9" t="str">
            <v xml:space="preserve">CPQ PL1850 </v>
          </cell>
        </row>
        <row r="10">
          <cell r="G10" t="str">
            <v xml:space="preserve">CPQ PL2000 </v>
          </cell>
        </row>
        <row r="11">
          <cell r="G11" t="str">
            <v xml:space="preserve">CPQ PL2500 </v>
          </cell>
        </row>
        <row r="12">
          <cell r="G12" t="str">
            <v xml:space="preserve">CPQ PL3000 </v>
          </cell>
        </row>
        <row r="13">
          <cell r="G13" t="str">
            <v xml:space="preserve">CPQ PL4000 </v>
          </cell>
        </row>
        <row r="14">
          <cell r="G14" t="str">
            <v xml:space="preserve">CPQ PL4500 </v>
          </cell>
        </row>
        <row r="15">
          <cell r="G15" t="str">
            <v xml:space="preserve">CPQ PL5000 </v>
          </cell>
        </row>
        <row r="16">
          <cell r="G16" t="str">
            <v xml:space="preserve">CPQ PL5500 </v>
          </cell>
        </row>
        <row r="17">
          <cell r="G17" t="str">
            <v xml:space="preserve">CPQ PL6000 </v>
          </cell>
        </row>
        <row r="18">
          <cell r="G18" t="str">
            <v xml:space="preserve">CPQ PL6400 </v>
          </cell>
        </row>
        <row r="19">
          <cell r="G19" t="str">
            <v xml:space="preserve">CPQ PL6500 </v>
          </cell>
        </row>
        <row r="20">
          <cell r="G20" t="str">
            <v xml:space="preserve">CPQ PL7000 </v>
          </cell>
        </row>
        <row r="21">
          <cell r="G21" t="str">
            <v xml:space="preserve">CPQ PL8000 </v>
          </cell>
        </row>
        <row r="22">
          <cell r="G22" t="str">
            <v xml:space="preserve">CPQ PL8500 </v>
          </cell>
        </row>
        <row r="23">
          <cell r="G23" t="str">
            <v xml:space="preserve">CPQ PS200 </v>
          </cell>
        </row>
        <row r="24">
          <cell r="G24" t="str">
            <v xml:space="preserve">CPQ PS300 </v>
          </cell>
        </row>
        <row r="25">
          <cell r="G25" t="str">
            <v xml:space="preserve">CPQ PS500 </v>
          </cell>
        </row>
        <row r="26">
          <cell r="G26" t="str">
            <v xml:space="preserve">CPQ PS720 </v>
          </cell>
        </row>
        <row r="27">
          <cell r="G27" t="str">
            <v xml:space="preserve">CPQ PS740 </v>
          </cell>
        </row>
        <row r="28">
          <cell r="G28" t="str">
            <v xml:space="preserve">CPQ CL380 </v>
          </cell>
        </row>
        <row r="29">
          <cell r="G29" t="str">
            <v xml:space="preserve">CPQ CL1850 </v>
          </cell>
        </row>
        <row r="30">
          <cell r="G30" t="str">
            <v>HP BL10e G1</v>
          </cell>
        </row>
        <row r="31">
          <cell r="G31" t="str">
            <v>HP BL10e G2</v>
          </cell>
        </row>
        <row r="32">
          <cell r="G32" t="str">
            <v>HP BL20p G1</v>
          </cell>
        </row>
        <row r="33">
          <cell r="G33" t="str">
            <v>HP BL20p G2</v>
          </cell>
        </row>
        <row r="34">
          <cell r="G34" t="str">
            <v>HP BL20p G3</v>
          </cell>
        </row>
        <row r="35">
          <cell r="G35" t="str">
            <v>HP BL20p G4</v>
          </cell>
        </row>
        <row r="36">
          <cell r="G36" t="str">
            <v>HP BL25p G1</v>
          </cell>
        </row>
        <row r="37">
          <cell r="G37" t="str">
            <v>HP BL25p G2</v>
          </cell>
        </row>
        <row r="38">
          <cell r="G38" t="str">
            <v>HP BL30p G1</v>
          </cell>
        </row>
        <row r="39">
          <cell r="G39" t="str">
            <v>HP BL35p G1</v>
          </cell>
        </row>
        <row r="40">
          <cell r="G40" t="str">
            <v>HP BL40p G1</v>
          </cell>
        </row>
        <row r="41">
          <cell r="G41" t="str">
            <v>HP BL45p G1</v>
          </cell>
        </row>
        <row r="42">
          <cell r="G42" t="str">
            <v>HP BL45p G2</v>
          </cell>
        </row>
        <row r="43">
          <cell r="G43" t="str">
            <v>HP BL60p G1</v>
          </cell>
        </row>
        <row r="44">
          <cell r="G44" t="str">
            <v>HP BL460c G1</v>
          </cell>
        </row>
        <row r="45">
          <cell r="G45" t="str">
            <v>HP BL465c G1</v>
          </cell>
        </row>
        <row r="46">
          <cell r="G46" t="str">
            <v>HP BL480c G1</v>
          </cell>
        </row>
        <row r="47">
          <cell r="G47" t="str">
            <v>HP BL685c G1</v>
          </cell>
        </row>
        <row r="48">
          <cell r="G48" t="str">
            <v>HP DL140 G1</v>
          </cell>
        </row>
        <row r="49">
          <cell r="G49" t="str">
            <v>HP DL140 G2</v>
          </cell>
        </row>
        <row r="50">
          <cell r="G50" t="str">
            <v>HP DL140 G3</v>
          </cell>
        </row>
        <row r="51">
          <cell r="G51" t="str">
            <v>HP DL145 G1</v>
          </cell>
        </row>
        <row r="52">
          <cell r="G52" t="str">
            <v>HP DL145 G2</v>
          </cell>
        </row>
        <row r="53">
          <cell r="G53" t="str">
            <v>HP DL145 G3</v>
          </cell>
        </row>
        <row r="54">
          <cell r="G54" t="str">
            <v>HP DL320 G1</v>
          </cell>
        </row>
        <row r="55">
          <cell r="G55" t="str">
            <v>HP DL320 G2</v>
          </cell>
        </row>
        <row r="56">
          <cell r="G56" t="str">
            <v>HP DL320 G3</v>
          </cell>
        </row>
        <row r="57">
          <cell r="G57" t="str">
            <v>HP DL320 G4</v>
          </cell>
        </row>
        <row r="58">
          <cell r="G58" t="str">
            <v>HP DL320 G5</v>
          </cell>
        </row>
        <row r="59">
          <cell r="G59" t="str">
            <v>HP DL320s G1</v>
          </cell>
        </row>
        <row r="60">
          <cell r="G60" t="str">
            <v>HP DL360 G1</v>
          </cell>
        </row>
        <row r="61">
          <cell r="G61" t="str">
            <v>HP DL360 G2</v>
          </cell>
        </row>
        <row r="62">
          <cell r="G62" t="str">
            <v>HP DL360 G3</v>
          </cell>
        </row>
        <row r="63">
          <cell r="G63" t="str">
            <v xml:space="preserve">HP DL360 G4 </v>
          </cell>
        </row>
        <row r="64">
          <cell r="G64" t="str">
            <v>HP DL360 G4P</v>
          </cell>
        </row>
        <row r="65">
          <cell r="G65" t="str">
            <v>HP DL360 G5</v>
          </cell>
        </row>
        <row r="66">
          <cell r="G66" t="str">
            <v>HP DL365 G1</v>
          </cell>
        </row>
        <row r="67">
          <cell r="G67" t="str">
            <v>HP DL380 G1</v>
          </cell>
        </row>
        <row r="68">
          <cell r="G68" t="str">
            <v>HP DL380 G2</v>
          </cell>
        </row>
        <row r="69">
          <cell r="G69" t="str">
            <v>HP DL380 G3</v>
          </cell>
        </row>
        <row r="70">
          <cell r="G70" t="str">
            <v>HP DL380 G4</v>
          </cell>
        </row>
        <row r="71">
          <cell r="G71" t="str">
            <v>HP DL380 G5</v>
          </cell>
        </row>
        <row r="72">
          <cell r="G72" t="str">
            <v>HP DL385 G1</v>
          </cell>
        </row>
        <row r="73">
          <cell r="G73" t="str">
            <v>HP DL385 G2</v>
          </cell>
        </row>
        <row r="74">
          <cell r="G74" t="str">
            <v>HP DL560 G1</v>
          </cell>
        </row>
        <row r="75">
          <cell r="G75" t="str">
            <v>HP DL580 G1</v>
          </cell>
        </row>
        <row r="76">
          <cell r="G76" t="str">
            <v>HP DL580 G2</v>
          </cell>
        </row>
        <row r="77">
          <cell r="G77" t="str">
            <v>HP DL580 G3</v>
          </cell>
        </row>
        <row r="78">
          <cell r="G78" t="str">
            <v>HP DL580 G4</v>
          </cell>
        </row>
        <row r="79">
          <cell r="G79" t="str">
            <v>HP DL585 G1</v>
          </cell>
        </row>
        <row r="80">
          <cell r="G80" t="str">
            <v>HP DL585 G2</v>
          </cell>
        </row>
        <row r="81">
          <cell r="G81" t="str">
            <v>HP DL590 G1</v>
          </cell>
        </row>
        <row r="82">
          <cell r="G82" t="str">
            <v>HP DL740 G1</v>
          </cell>
        </row>
        <row r="83">
          <cell r="G83" t="str">
            <v>HP DL760 G1</v>
          </cell>
        </row>
        <row r="84">
          <cell r="G84" t="str">
            <v>HP DL760 G2</v>
          </cell>
        </row>
        <row r="85">
          <cell r="G85" t="str">
            <v>HP ML110 G1</v>
          </cell>
        </row>
        <row r="86">
          <cell r="G86" t="str">
            <v>HP ML110 G2</v>
          </cell>
        </row>
        <row r="87">
          <cell r="G87" t="str">
            <v>HP ML110 G3</v>
          </cell>
        </row>
        <row r="88">
          <cell r="G88" t="str">
            <v>HP ML110 G4</v>
          </cell>
        </row>
        <row r="89">
          <cell r="G89" t="str">
            <v>HP ML150 G1</v>
          </cell>
        </row>
        <row r="90">
          <cell r="G90" t="str">
            <v>HP ML150 G2</v>
          </cell>
        </row>
        <row r="91">
          <cell r="G91" t="str">
            <v>HP ML150 G3</v>
          </cell>
        </row>
        <row r="92">
          <cell r="G92" t="str">
            <v>HP ML310 G1</v>
          </cell>
        </row>
        <row r="93">
          <cell r="G93" t="str">
            <v>HP ML310 G2</v>
          </cell>
        </row>
        <row r="94">
          <cell r="G94" t="str">
            <v>HP ML310 G3</v>
          </cell>
        </row>
        <row r="95">
          <cell r="G95" t="str">
            <v>HP ML310 G4</v>
          </cell>
        </row>
        <row r="96">
          <cell r="G96" t="str">
            <v>HP ML330 G1</v>
          </cell>
        </row>
        <row r="97">
          <cell r="G97" t="str">
            <v>HP ML330 G2</v>
          </cell>
        </row>
        <row r="98">
          <cell r="G98" t="str">
            <v>HP ML330 G3</v>
          </cell>
        </row>
        <row r="99">
          <cell r="G99" t="str">
            <v>HP ML330e G1</v>
          </cell>
        </row>
        <row r="100">
          <cell r="G100" t="str">
            <v>HP ML350 G1</v>
          </cell>
        </row>
        <row r="101">
          <cell r="G101" t="str">
            <v>HP ML350 G2</v>
          </cell>
        </row>
        <row r="102">
          <cell r="G102" t="str">
            <v>HP ML350 G3</v>
          </cell>
        </row>
        <row r="103">
          <cell r="G103" t="str">
            <v xml:space="preserve">HP ML350 G4 </v>
          </cell>
        </row>
        <row r="104">
          <cell r="G104" t="str">
            <v>HP ML350 G4P</v>
          </cell>
        </row>
        <row r="105">
          <cell r="G105" t="str">
            <v>HP ML350 G5</v>
          </cell>
        </row>
        <row r="106">
          <cell r="G106" t="str">
            <v>HP ML370 G1</v>
          </cell>
        </row>
        <row r="107">
          <cell r="G107" t="str">
            <v>HP ML370 G2</v>
          </cell>
        </row>
        <row r="108">
          <cell r="G108" t="str">
            <v>HP ML370 G3</v>
          </cell>
        </row>
        <row r="109">
          <cell r="G109" t="str">
            <v>HP ML370 G4</v>
          </cell>
        </row>
        <row r="110">
          <cell r="G110" t="str">
            <v>HP ML370 G5</v>
          </cell>
        </row>
        <row r="111">
          <cell r="G111" t="str">
            <v>HP ML530 G1</v>
          </cell>
        </row>
        <row r="112">
          <cell r="G112" t="str">
            <v>HP ML530 G2</v>
          </cell>
        </row>
        <row r="113">
          <cell r="G113" t="str">
            <v>HP ML570 G1</v>
          </cell>
        </row>
        <row r="114">
          <cell r="G114" t="str">
            <v>HP ML570 G2</v>
          </cell>
        </row>
        <row r="115">
          <cell r="G115" t="str">
            <v>HP ML570 G3</v>
          </cell>
        </row>
        <row r="116">
          <cell r="G116" t="str">
            <v>HP ML570 G4</v>
          </cell>
        </row>
        <row r="117">
          <cell r="G117" t="str">
            <v>HP ML750 G1</v>
          </cell>
        </row>
        <row r="118">
          <cell r="G118" t="str">
            <v>HP DL380 P Cluster G2</v>
          </cell>
        </row>
        <row r="119">
          <cell r="G119" t="str">
            <v>HP DL380 P Cluster G3</v>
          </cell>
        </row>
        <row r="120">
          <cell r="G120" t="str">
            <v>HP DL380 P Cluster G3</v>
          </cell>
        </row>
        <row r="121">
          <cell r="G121" t="str">
            <v>HP DL380 P Cluster G4</v>
          </cell>
        </row>
        <row r="122">
          <cell r="G122" t="str">
            <v>HP DL380 P Cluster G4</v>
          </cell>
        </row>
        <row r="123">
          <cell r="G123" t="str">
            <v>HP DL385 P Cluster G2</v>
          </cell>
        </row>
        <row r="124">
          <cell r="G124" t="str">
            <v xml:space="preserve">HP LC  </v>
          </cell>
        </row>
        <row r="125">
          <cell r="G125" t="str">
            <v xml:space="preserve">HP LC2000  </v>
          </cell>
        </row>
        <row r="126">
          <cell r="G126" t="str">
            <v xml:space="preserve">HP LC2000R </v>
          </cell>
        </row>
        <row r="127">
          <cell r="G127" t="str">
            <v xml:space="preserve">HP LC3 </v>
          </cell>
        </row>
        <row r="128">
          <cell r="G128" t="str">
            <v xml:space="preserve">HP LC2 </v>
          </cell>
        </row>
        <row r="129">
          <cell r="G129" t="str">
            <v xml:space="preserve">HP LCPLUS </v>
          </cell>
        </row>
        <row r="130">
          <cell r="G130" t="str">
            <v xml:space="preserve">HP LCPRO </v>
          </cell>
        </row>
        <row r="131">
          <cell r="G131" t="str">
            <v xml:space="preserve">HP LE </v>
          </cell>
        </row>
        <row r="132">
          <cell r="G132" t="str">
            <v xml:space="preserve">HP LF </v>
          </cell>
        </row>
        <row r="133">
          <cell r="G133" t="str">
            <v xml:space="preserve">HP LH  </v>
          </cell>
        </row>
        <row r="134">
          <cell r="G134" t="str">
            <v xml:space="preserve">HP LH3 </v>
          </cell>
        </row>
        <row r="135">
          <cell r="G135" t="str">
            <v xml:space="preserve">HP LH3000  </v>
          </cell>
        </row>
        <row r="136">
          <cell r="G136" t="str">
            <v xml:space="preserve">HP LH3000R </v>
          </cell>
        </row>
        <row r="137">
          <cell r="G137" t="str">
            <v xml:space="preserve">HP LH4 </v>
          </cell>
        </row>
        <row r="138">
          <cell r="G138" t="str">
            <v xml:space="preserve">HP LH6000  </v>
          </cell>
        </row>
        <row r="139">
          <cell r="G139" t="str">
            <v xml:space="preserve">HP LH6000R </v>
          </cell>
        </row>
        <row r="140">
          <cell r="G140" t="str">
            <v xml:space="preserve">HP LH2 </v>
          </cell>
        </row>
        <row r="141">
          <cell r="G141" t="str">
            <v xml:space="preserve">HP LHPLUS </v>
          </cell>
        </row>
        <row r="142">
          <cell r="G142" t="str">
            <v xml:space="preserve">HP LHPRO </v>
          </cell>
        </row>
        <row r="143">
          <cell r="G143" t="str">
            <v xml:space="preserve">HP LM </v>
          </cell>
        </row>
        <row r="144">
          <cell r="G144" t="str">
            <v xml:space="preserve">HP LP1000R </v>
          </cell>
        </row>
        <row r="145">
          <cell r="G145" t="str">
            <v xml:space="preserve">HP LP2000R </v>
          </cell>
        </row>
        <row r="146">
          <cell r="G146" t="str">
            <v xml:space="preserve">HP LPR </v>
          </cell>
        </row>
        <row r="147">
          <cell r="G147" t="str">
            <v xml:space="preserve">HP LS </v>
          </cell>
        </row>
        <row r="148">
          <cell r="G148" t="str">
            <v xml:space="preserve">HP LT6000R </v>
          </cell>
        </row>
        <row r="149">
          <cell r="G149" t="str">
            <v xml:space="preserve">HP LX  </v>
          </cell>
        </row>
        <row r="150">
          <cell r="G150" t="str">
            <v xml:space="preserve">HP LXPRO </v>
          </cell>
        </row>
        <row r="151">
          <cell r="G151" t="str">
            <v xml:space="preserve">HP LXR8000 </v>
          </cell>
        </row>
        <row r="152">
          <cell r="G152" t="str">
            <v xml:space="preserve">HP LXR8500 </v>
          </cell>
        </row>
        <row r="153">
          <cell r="G153" t="str">
            <v xml:space="preserve">HP LXRPRO </v>
          </cell>
        </row>
        <row r="154">
          <cell r="G154" t="str">
            <v xml:space="preserve">HP LXRPRO8 </v>
          </cell>
        </row>
        <row r="155">
          <cell r="G155" t="str">
            <v xml:space="preserve">HP E200 </v>
          </cell>
        </row>
        <row r="156">
          <cell r="G156" t="str">
            <v xml:space="preserve">HP E30 </v>
          </cell>
        </row>
        <row r="157">
          <cell r="G157" t="str">
            <v xml:space="preserve">HP E40 </v>
          </cell>
        </row>
        <row r="158">
          <cell r="G158" t="str">
            <v xml:space="preserve">HP E45 </v>
          </cell>
        </row>
        <row r="159">
          <cell r="G159" t="str">
            <v xml:space="preserve">HP E50 </v>
          </cell>
        </row>
        <row r="160">
          <cell r="G160" t="str">
            <v xml:space="preserve">HP E55 </v>
          </cell>
        </row>
        <row r="161">
          <cell r="G161" t="str">
            <v xml:space="preserve">HP E60 </v>
          </cell>
        </row>
        <row r="162">
          <cell r="G162" t="str">
            <v xml:space="preserve">HP E800 </v>
          </cell>
        </row>
        <row r="163">
          <cell r="G163" t="str">
            <v xml:space="preserve">IBM E326m </v>
          </cell>
        </row>
        <row r="164">
          <cell r="G164" t="str">
            <v xml:space="preserve">IBM E326 </v>
          </cell>
        </row>
        <row r="165">
          <cell r="G165" t="str">
            <v xml:space="preserve">IBM E325 </v>
          </cell>
        </row>
        <row r="166">
          <cell r="G166" t="str">
            <v>IBM ECluster 1350</v>
          </cell>
        </row>
        <row r="167">
          <cell r="G167" t="str">
            <v>IBM XMXE 460</v>
          </cell>
        </row>
        <row r="168">
          <cell r="G168" t="str">
            <v>IBM XRXE 100</v>
          </cell>
        </row>
        <row r="169">
          <cell r="G169" t="str">
            <v xml:space="preserve">IBM X100 </v>
          </cell>
        </row>
        <row r="170">
          <cell r="G170" t="str">
            <v xml:space="preserve">IBM X130 </v>
          </cell>
        </row>
        <row r="171">
          <cell r="G171" t="str">
            <v xml:space="preserve">IBM X135 </v>
          </cell>
        </row>
        <row r="172">
          <cell r="G172" t="str">
            <v xml:space="preserve">IBM X150 </v>
          </cell>
        </row>
        <row r="173">
          <cell r="G173" t="str">
            <v xml:space="preserve">IBM X200 </v>
          </cell>
        </row>
        <row r="174">
          <cell r="G174" t="str">
            <v xml:space="preserve">IBM X205 </v>
          </cell>
        </row>
        <row r="175">
          <cell r="G175" t="str">
            <v xml:space="preserve">IBM X206 </v>
          </cell>
        </row>
        <row r="176">
          <cell r="G176" t="str">
            <v xml:space="preserve">IBM X206m </v>
          </cell>
        </row>
        <row r="177">
          <cell r="G177" t="str">
            <v xml:space="preserve">IBM X220 </v>
          </cell>
        </row>
        <row r="178">
          <cell r="G178" t="str">
            <v xml:space="preserve">IBM X225 </v>
          </cell>
        </row>
        <row r="179">
          <cell r="G179" t="str">
            <v xml:space="preserve">IBM X226 </v>
          </cell>
        </row>
        <row r="180">
          <cell r="G180" t="str">
            <v xml:space="preserve">IBM X230 </v>
          </cell>
        </row>
        <row r="181">
          <cell r="G181" t="str">
            <v xml:space="preserve">IBM X232 </v>
          </cell>
        </row>
        <row r="182">
          <cell r="G182" t="str">
            <v xml:space="preserve">IBM X235 </v>
          </cell>
        </row>
        <row r="183">
          <cell r="G183" t="str">
            <v xml:space="preserve">IBM X236 </v>
          </cell>
        </row>
        <row r="184">
          <cell r="G184" t="str">
            <v xml:space="preserve">IBM X240 </v>
          </cell>
        </row>
        <row r="185">
          <cell r="G185" t="str">
            <v xml:space="preserve">IBM X250 </v>
          </cell>
        </row>
        <row r="186">
          <cell r="G186" t="str">
            <v xml:space="preserve">IBM X255 </v>
          </cell>
        </row>
        <row r="187">
          <cell r="G187" t="str">
            <v xml:space="preserve">IBM X260 </v>
          </cell>
        </row>
        <row r="188">
          <cell r="G188" t="str">
            <v xml:space="preserve">IBM X305 </v>
          </cell>
        </row>
        <row r="189">
          <cell r="G189" t="str">
            <v xml:space="preserve">IBM X306 </v>
          </cell>
        </row>
        <row r="190">
          <cell r="G190" t="str">
            <v xml:space="preserve">IBM X306m </v>
          </cell>
        </row>
        <row r="191">
          <cell r="G191" t="str">
            <v xml:space="preserve">IBM X330 </v>
          </cell>
        </row>
        <row r="192">
          <cell r="G192" t="str">
            <v xml:space="preserve">IBM X335 </v>
          </cell>
        </row>
        <row r="193">
          <cell r="G193" t="str">
            <v xml:space="preserve">IBM X336 </v>
          </cell>
        </row>
        <row r="194">
          <cell r="G194" t="str">
            <v xml:space="preserve">IBM X340 </v>
          </cell>
        </row>
        <row r="195">
          <cell r="G195" t="str">
            <v xml:space="preserve">IBM X342 </v>
          </cell>
        </row>
        <row r="196">
          <cell r="G196" t="str">
            <v xml:space="preserve">IBM X343 </v>
          </cell>
        </row>
        <row r="197">
          <cell r="G197" t="str">
            <v xml:space="preserve">IBM X345 </v>
          </cell>
        </row>
        <row r="198">
          <cell r="G198" t="str">
            <v xml:space="preserve">IBM X346 </v>
          </cell>
        </row>
        <row r="199">
          <cell r="G199" t="str">
            <v xml:space="preserve">IBM X350 </v>
          </cell>
        </row>
        <row r="200">
          <cell r="G200" t="str">
            <v xml:space="preserve">IBM X360 </v>
          </cell>
        </row>
        <row r="201">
          <cell r="G201" t="str">
            <v xml:space="preserve">IBM X365 </v>
          </cell>
        </row>
        <row r="202">
          <cell r="G202" t="str">
            <v xml:space="preserve">IBM X366 </v>
          </cell>
        </row>
        <row r="203">
          <cell r="G203" t="str">
            <v xml:space="preserve">IBM X370 </v>
          </cell>
        </row>
        <row r="204">
          <cell r="G204" t="str">
            <v xml:space="preserve">IBM X380 </v>
          </cell>
        </row>
        <row r="205">
          <cell r="G205" t="str">
            <v xml:space="preserve">IBM X382 </v>
          </cell>
        </row>
        <row r="206">
          <cell r="G206" t="str">
            <v xml:space="preserve">IBM X440 </v>
          </cell>
        </row>
        <row r="207">
          <cell r="G207" t="str">
            <v xml:space="preserve">IBM X445 </v>
          </cell>
        </row>
        <row r="208">
          <cell r="G208" t="str">
            <v xml:space="preserve">IBM X450 </v>
          </cell>
        </row>
        <row r="209">
          <cell r="G209" t="str">
            <v xml:space="preserve">IBM X455 </v>
          </cell>
        </row>
        <row r="210">
          <cell r="G210" t="str">
            <v xml:space="preserve">IBM X460 </v>
          </cell>
        </row>
        <row r="211">
          <cell r="G211" t="str">
            <v xml:space="preserve">IBM X3105 </v>
          </cell>
        </row>
        <row r="212">
          <cell r="G212" t="str">
            <v xml:space="preserve">IBM X3200 </v>
          </cell>
        </row>
        <row r="213">
          <cell r="G213" t="str">
            <v xml:space="preserve">IBM X3250 </v>
          </cell>
        </row>
        <row r="214">
          <cell r="G214" t="str">
            <v xml:space="preserve">IBM X3400 </v>
          </cell>
        </row>
        <row r="215">
          <cell r="G215" t="str">
            <v xml:space="preserve">IBM X3455 </v>
          </cell>
        </row>
        <row r="216">
          <cell r="G216" t="str">
            <v xml:space="preserve">IBM X3500 </v>
          </cell>
        </row>
        <row r="217">
          <cell r="G217" t="str">
            <v xml:space="preserve">IBM X3550 </v>
          </cell>
        </row>
        <row r="218">
          <cell r="G218" t="str">
            <v xml:space="preserve">IBM X3650 </v>
          </cell>
        </row>
        <row r="219">
          <cell r="G219" t="str">
            <v xml:space="preserve">IBM X3650T </v>
          </cell>
        </row>
        <row r="220">
          <cell r="G220" t="str">
            <v xml:space="preserve">IBM X3655 </v>
          </cell>
        </row>
        <row r="221">
          <cell r="G221" t="str">
            <v xml:space="preserve">IBM X3755 </v>
          </cell>
        </row>
        <row r="222">
          <cell r="G222" t="str">
            <v xml:space="preserve">IBM X3800 </v>
          </cell>
        </row>
        <row r="223">
          <cell r="G223" t="str">
            <v xml:space="preserve">IBM X3850 </v>
          </cell>
        </row>
        <row r="224">
          <cell r="G224" t="str">
            <v xml:space="preserve">IBM X3950 </v>
          </cell>
        </row>
        <row r="225">
          <cell r="G225" t="str">
            <v xml:space="preserve">IBM BLADECENTER CHASIS </v>
          </cell>
        </row>
        <row r="226">
          <cell r="G226" t="str">
            <v xml:space="preserve">IBM JS20 </v>
          </cell>
        </row>
        <row r="227">
          <cell r="G227" t="str">
            <v xml:space="preserve">IBM JS21 </v>
          </cell>
        </row>
        <row r="228">
          <cell r="G228" t="str">
            <v xml:space="preserve">IBM HS20 </v>
          </cell>
        </row>
        <row r="229">
          <cell r="G229" t="str">
            <v xml:space="preserve">IBM HS21 </v>
          </cell>
        </row>
        <row r="230">
          <cell r="G230" t="str">
            <v xml:space="preserve">IBM HS40 </v>
          </cell>
        </row>
        <row r="231">
          <cell r="G231" t="str">
            <v xml:space="preserve">IBM LS20 </v>
          </cell>
        </row>
        <row r="232">
          <cell r="G232" t="str">
            <v xml:space="preserve">IBM LS21 </v>
          </cell>
        </row>
        <row r="233">
          <cell r="G233" t="str">
            <v xml:space="preserve">IBM LS41 </v>
          </cell>
        </row>
        <row r="234">
          <cell r="G234" t="str">
            <v xml:space="preserve">IBM QS20 </v>
          </cell>
        </row>
        <row r="235">
          <cell r="G235" t="str">
            <v xml:space="preserve">IBM NF1000 </v>
          </cell>
        </row>
        <row r="236">
          <cell r="G236" t="str">
            <v xml:space="preserve">IBM NF3000 </v>
          </cell>
        </row>
        <row r="237">
          <cell r="G237" t="str">
            <v>IBM NF3500 M10</v>
          </cell>
        </row>
        <row r="238">
          <cell r="G238" t="str">
            <v>IBM NF3500 M20</v>
          </cell>
        </row>
        <row r="239">
          <cell r="G239" t="str">
            <v xml:space="preserve">IBM NF4000 </v>
          </cell>
        </row>
        <row r="240">
          <cell r="G240" t="str">
            <v xml:space="preserve">IBM NF4500 </v>
          </cell>
        </row>
        <row r="241">
          <cell r="G241" t="str">
            <v xml:space="preserve">IBM NF5000 </v>
          </cell>
        </row>
        <row r="242">
          <cell r="G242" t="str">
            <v xml:space="preserve">IBM NF5100 </v>
          </cell>
        </row>
        <row r="243">
          <cell r="G243" t="str">
            <v xml:space="preserve">IBM NF5500 </v>
          </cell>
        </row>
        <row r="244">
          <cell r="G244" t="str">
            <v>IBM NF5500 M10</v>
          </cell>
        </row>
        <row r="245">
          <cell r="G245" t="str">
            <v>IBM NF5500 M20</v>
          </cell>
        </row>
        <row r="246">
          <cell r="G246" t="str">
            <v xml:space="preserve">IBM NF5600 </v>
          </cell>
        </row>
        <row r="247">
          <cell r="G247" t="str">
            <v xml:space="preserve">IBM NF6000 </v>
          </cell>
        </row>
        <row r="248">
          <cell r="G248" t="str">
            <v>IBM NF7000 M10</v>
          </cell>
        </row>
        <row r="249">
          <cell r="G249" t="str">
            <v xml:space="preserve">IBM NF7100 </v>
          </cell>
        </row>
        <row r="250">
          <cell r="G250" t="str">
            <v xml:space="preserve">IBM NF7600 </v>
          </cell>
        </row>
        <row r="251">
          <cell r="G251" t="str">
            <v xml:space="preserve">IBM NF8500 </v>
          </cell>
        </row>
        <row r="252">
          <cell r="G252" t="str">
            <v xml:space="preserve">IBM NFA100 </v>
          </cell>
        </row>
        <row r="253">
          <cell r="G253" t="str">
            <v xml:space="preserve">DELL PE6850 </v>
          </cell>
        </row>
        <row r="254">
          <cell r="G254" t="str">
            <v xml:space="preserve">DELL PE6800 </v>
          </cell>
        </row>
        <row r="255">
          <cell r="G255" t="str">
            <v xml:space="preserve">DELL PE2950 </v>
          </cell>
        </row>
        <row r="256">
          <cell r="G256" t="str">
            <v xml:space="preserve">DELL PE2900 </v>
          </cell>
        </row>
        <row r="257">
          <cell r="G257" t="str">
            <v xml:space="preserve">DELL PE2850 </v>
          </cell>
        </row>
        <row r="258">
          <cell r="G258" t="str">
            <v xml:space="preserve">DELL PE2800 </v>
          </cell>
        </row>
        <row r="259">
          <cell r="G259" t="str">
            <v xml:space="preserve">DELL PE1955 </v>
          </cell>
        </row>
        <row r="260">
          <cell r="G260" t="str">
            <v xml:space="preserve">DELL PE1950 </v>
          </cell>
        </row>
        <row r="261">
          <cell r="G261" t="str">
            <v xml:space="preserve">DELL PE1900 </v>
          </cell>
        </row>
        <row r="262">
          <cell r="G262" t="str">
            <v xml:space="preserve">DELL PE1855 </v>
          </cell>
        </row>
        <row r="263">
          <cell r="G263" t="str">
            <v xml:space="preserve">DELL PE1850 </v>
          </cell>
        </row>
        <row r="264">
          <cell r="G264" t="str">
            <v xml:space="preserve">DELL PE1800 </v>
          </cell>
        </row>
        <row r="265">
          <cell r="G265" t="str">
            <v xml:space="preserve">DELL PE860 </v>
          </cell>
        </row>
        <row r="266">
          <cell r="G266" t="str">
            <v xml:space="preserve">DELL PE850 </v>
          </cell>
        </row>
        <row r="267">
          <cell r="G267" t="str">
            <v xml:space="preserve">DELL PE840 </v>
          </cell>
        </row>
        <row r="268">
          <cell r="G268" t="str">
            <v xml:space="preserve">DELL PE830 </v>
          </cell>
        </row>
        <row r="269">
          <cell r="G269" t="str">
            <v xml:space="preserve">DELL PE800 </v>
          </cell>
        </row>
        <row r="270">
          <cell r="G270" t="str">
            <v xml:space="preserve">DELL PESC1430 </v>
          </cell>
        </row>
        <row r="271">
          <cell r="G271" t="str">
            <v xml:space="preserve">DELL PESC1425  </v>
          </cell>
        </row>
        <row r="272">
          <cell r="G272" t="str">
            <v xml:space="preserve">DELL PESC440  </v>
          </cell>
        </row>
        <row r="273">
          <cell r="G273" t="str">
            <v xml:space="preserve">DELL PESC1420  </v>
          </cell>
        </row>
        <row r="274">
          <cell r="G274" t="str">
            <v xml:space="preserve">DELL PESC430  </v>
          </cell>
        </row>
        <row r="275">
          <cell r="G275" t="str">
            <v xml:space="preserve">DELL PESC420  </v>
          </cell>
        </row>
        <row r="276">
          <cell r="G276" t="str">
            <v xml:space="preserve">DELL PE7250 </v>
          </cell>
        </row>
        <row r="277">
          <cell r="G277" t="str">
            <v xml:space="preserve">DELL PE8450 </v>
          </cell>
        </row>
        <row r="278">
          <cell r="G278" t="str">
            <v xml:space="preserve">DELL PE7150 </v>
          </cell>
        </row>
        <row r="279">
          <cell r="G279" t="str">
            <v xml:space="preserve">DELL PE6650 </v>
          </cell>
        </row>
        <row r="280">
          <cell r="G280" t="str">
            <v xml:space="preserve">DELL PE6600 </v>
          </cell>
        </row>
        <row r="281">
          <cell r="G281" t="str">
            <v xml:space="preserve">DELL PE6450 </v>
          </cell>
        </row>
        <row r="282">
          <cell r="G282" t="str">
            <v xml:space="preserve">DELL PE6400 </v>
          </cell>
        </row>
        <row r="283">
          <cell r="G283" t="str">
            <v xml:space="preserve">DELL PE6350 </v>
          </cell>
        </row>
        <row r="284">
          <cell r="G284" t="str">
            <v xml:space="preserve">DELL PE6300 </v>
          </cell>
        </row>
        <row r="285">
          <cell r="G285" t="str">
            <v xml:space="preserve">DELL PE6100 </v>
          </cell>
        </row>
        <row r="286">
          <cell r="G286" t="str">
            <v xml:space="preserve">DELL PE4600 </v>
          </cell>
        </row>
        <row r="287">
          <cell r="G287" t="str">
            <v xml:space="preserve">DELL PE4400 </v>
          </cell>
        </row>
        <row r="288">
          <cell r="G288" t="str">
            <v xml:space="preserve">DELL PE4350 </v>
          </cell>
        </row>
        <row r="289">
          <cell r="G289" t="str">
            <v xml:space="preserve">DELL PE4300 </v>
          </cell>
        </row>
        <row r="290">
          <cell r="G290" t="str">
            <v xml:space="preserve">DELL PE4200 </v>
          </cell>
        </row>
        <row r="291">
          <cell r="G291" t="str">
            <v xml:space="preserve">DELL PE4100 </v>
          </cell>
        </row>
        <row r="292">
          <cell r="G292" t="str">
            <v xml:space="preserve">DELL PE3250 </v>
          </cell>
        </row>
        <row r="293">
          <cell r="G293" t="str">
            <v xml:space="preserve">DELL PE2600 </v>
          </cell>
        </row>
        <row r="294">
          <cell r="G294" t="str">
            <v xml:space="preserve">DELL PE2650 </v>
          </cell>
        </row>
        <row r="295">
          <cell r="G295" t="str">
            <v xml:space="preserve">DELL PE2550 </v>
          </cell>
        </row>
        <row r="296">
          <cell r="G296" t="str">
            <v>DELL PE2500 SC</v>
          </cell>
        </row>
        <row r="297">
          <cell r="G297" t="str">
            <v xml:space="preserve">DELL PE2500 </v>
          </cell>
        </row>
        <row r="298">
          <cell r="G298" t="str">
            <v xml:space="preserve">DELL PE2450 </v>
          </cell>
        </row>
        <row r="299">
          <cell r="G299" t="str">
            <v xml:space="preserve">DELL PE2400 </v>
          </cell>
        </row>
        <row r="300">
          <cell r="G300" t="str">
            <v xml:space="preserve">DELL PE2300 </v>
          </cell>
        </row>
        <row r="301">
          <cell r="G301" t="str">
            <v xml:space="preserve">DELL PE2200 </v>
          </cell>
        </row>
        <row r="302">
          <cell r="G302" t="str">
            <v xml:space="preserve">DELL PE2100 </v>
          </cell>
        </row>
        <row r="303">
          <cell r="G303" t="str">
            <v xml:space="preserve">DELL PE1750 </v>
          </cell>
        </row>
        <row r="304">
          <cell r="G304" t="str">
            <v>DELL PE1655 MC</v>
          </cell>
        </row>
        <row r="305">
          <cell r="G305" t="str">
            <v xml:space="preserve">DELL PE1650 </v>
          </cell>
        </row>
        <row r="306">
          <cell r="G306" t="str">
            <v>DELL PE1600 SC</v>
          </cell>
        </row>
        <row r="307">
          <cell r="G307" t="str">
            <v xml:space="preserve">DELL PE1550 </v>
          </cell>
        </row>
        <row r="308">
          <cell r="G308" t="str">
            <v>DELL PE1500 SC</v>
          </cell>
        </row>
        <row r="309">
          <cell r="G309" t="str">
            <v>DELL PE1400 SC</v>
          </cell>
        </row>
        <row r="310">
          <cell r="G310" t="str">
            <v xml:space="preserve">DELL PE1400 </v>
          </cell>
        </row>
        <row r="311">
          <cell r="G311" t="str">
            <v xml:space="preserve">DELL PE1300 </v>
          </cell>
        </row>
        <row r="312">
          <cell r="G312" t="str">
            <v xml:space="preserve">DELL PE750 </v>
          </cell>
        </row>
        <row r="313">
          <cell r="G313" t="str">
            <v xml:space="preserve">DELL PE700 </v>
          </cell>
        </row>
        <row r="314">
          <cell r="G314" t="str">
            <v xml:space="preserve">DELL PE650 </v>
          </cell>
        </row>
        <row r="315">
          <cell r="G315" t="str">
            <v>DELL PE600 SC</v>
          </cell>
        </row>
        <row r="316">
          <cell r="G316" t="str">
            <v>DELL PE500 SC</v>
          </cell>
        </row>
        <row r="317">
          <cell r="G317" t="str">
            <v>DELL PE400 SC</v>
          </cell>
        </row>
        <row r="318">
          <cell r="G318" t="str">
            <v xml:space="preserve">DELL PE350 </v>
          </cell>
        </row>
        <row r="319">
          <cell r="G319" t="str">
            <v xml:space="preserve">DELL PE300 </v>
          </cell>
        </row>
        <row r="320">
          <cell r="G320" t="str">
            <v>DELL PE300 SC</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QQ"/>
      <sheetName val="Cover"/>
      <sheetName val="1. Assumptions"/>
      <sheetName val="Appendix_E R_Dec. 05"/>
      <sheetName val="2. Summary-cash"/>
      <sheetName val="3. Summary-accrual"/>
      <sheetName val="4. Rent &amp; CAMF projection"/>
      <sheetName val="5-1.Lease guideline(O)"/>
      <sheetName val="6-1.Lease Plan(O)"/>
      <sheetName val="5-2.Lease guideline(R)"/>
      <sheetName val="6-2.Lease Plan(R)"/>
      <sheetName val="7.SD Buildup"/>
      <sheetName val="8.Occupancy"/>
      <sheetName val="9.Special Area"/>
      <sheetName val="10. Carpark"/>
      <sheetName val="11.Utilities&amp;Recoverable"/>
      <sheetName val="12-1.Taxes"/>
      <sheetName val="12-2.Tax-Details"/>
      <sheetName val="13.repairs &amp; Maintenance"/>
      <sheetName val="14.AM Fee &amp; FM Fee"/>
      <sheetName val="15.Tenants' Relation"/>
      <sheetName val="16. 2006 CAPEX"/>
      <sheetName val="17. 2005 CAPEX"/>
      <sheetName val="18.Corporate income tax"/>
      <sheetName val="19.Interest expense"/>
      <sheetName val="Sheet3"/>
      <sheetName val="Sheet2"/>
      <sheetName val="Attachment_YTD"/>
      <sheetName val="Kolon MFTR"/>
      <sheetName val="12.Repairs &amp; Maintenance   "/>
      <sheetName val="leasing fee"/>
      <sheetName val="1ST"/>
      <sheetName val="anaysis_sheet"/>
      <sheetName val="Contro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0B"/>
      <sheetName val="BM0A"/>
      <sheetName val="REQ PAGE CABLE"/>
      <sheetName val="STAHL (2)"/>
      <sheetName val="#REF"/>
      <sheetName val="Sheet2"/>
      <sheetName val="Sheet1"/>
      <sheetName val="btn"/>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Sheet4"/>
      <sheetName val="Sheet3"/>
      <sheetName val="TT L2"/>
      <sheetName val="TT L1"/>
      <sheetName val="Thue Ngoai"/>
      <sheetName val="KH"/>
      <sheetName val="DM"/>
      <sheetName val="DD&amp;TV"/>
      <sheetName val="CDSL"/>
      <sheetName val="PTSL"/>
      <sheetName val="THCP"/>
      <sheetName val="VT"/>
      <sheetName val="NL"/>
      <sheetName val="SoSanh"/>
      <sheetName val="QTVT"/>
      <sheetName val="QTNC"/>
      <sheetName val="CPV"/>
      <sheetName val="DGCM"/>
      <sheetName val="TL-I"/>
      <sheetName val="chitiet"/>
      <sheetName val="THG"/>
      <sheetName val="Bia"/>
      <sheetName val="DKTT"/>
      <sheetName val="N-luc"/>
      <sheetName val="TH-Tai trong"/>
      <sheetName val="Xamu"/>
      <sheetName val="Than tru"/>
      <sheetName val="Be coc"/>
      <sheetName val="PTDDat-Tru"/>
      <sheetName val="PTDDat-nhip"/>
      <sheetName val="PTDDat-nhipLT"/>
      <sheetName val="thtb"/>
      <sheetName val="thkp cong"/>
      <sheetName val="cuoc"/>
      <sheetName val="gvl"/>
      <sheetName val="pt-cong"/>
      <sheetName val="BS CONG"/>
      <sheetName val="thop-CONG"/>
      <sheetName val="kl cong"/>
      <sheetName val="luong-A6"/>
      <sheetName val="BAO-CAO"/>
      <sheetName val="DORONG-DU+COTLIEU"/>
      <sheetName val="marshall"/>
      <sheetName val="doi CT1"/>
      <sheetName val="doi CT3"/>
      <sheetName val="Chart3"/>
      <sheetName val="Chart2"/>
      <sheetName val="Chart1"/>
      <sheetName val="doi CT4"/>
      <sheetName val="Sheet8"/>
      <sheetName val="Sheet7"/>
      <sheetName val="Sheet6"/>
      <sheetName val="Sheet5"/>
      <sheetName val="00000000"/>
      <sheetName val="IBASE"/>
      <sheetName val="2. Summary-cash"/>
      <sheetName val="damchatdv"/>
      <sheetName val="DAM CHAT dv"/>
      <sheetName val="C.B.R) (3)"/>
      <sheetName val="10"/>
      <sheetName val="30(2)"/>
      <sheetName val="651"/>
      <sheetName val="C.B.R) (2)"/>
      <sheetName val="DAM CHAT"/>
      <sheetName val="C.B.R)"/>
      <sheetName val="65"/>
      <sheetName val=",30"/>
      <sheetName val=",10"/>
      <sheetName val="Hang (2)"/>
      <sheetName val="Cuong"/>
      <sheetName val="Binh"/>
      <sheetName val="Nam"/>
      <sheetName val="Hoan"/>
      <sheetName val="Dan"/>
      <sheetName val="Hung"/>
      <sheetName val="Hien"/>
      <sheetName val="Manh"/>
      <sheetName val="Lai"/>
      <sheetName val="Thuan"/>
      <sheetName val="L.Dung"/>
      <sheetName val="Dung"/>
      <sheetName val="Lan"/>
      <sheetName val="Tho"/>
      <sheetName val="Hang"/>
      <sheetName val="BC_KKTSCD"/>
      <sheetName val="Sheet2 (2)"/>
      <sheetName val="Mau_BC_KKTSCD"/>
      <sheetName val="Chi tiet - Dv lap"/>
      <sheetName val="TH KHTC"/>
      <sheetName val="000"/>
      <sheetName val="304-03"/>
      <sheetName val="Thoi det 304"/>
      <sheetName val="CSD"/>
      <sheetName val="DLC"/>
      <sheetName val="Damchuan"/>
      <sheetName val="CBR"/>
      <sheetName val="BDCBR"/>
      <sheetName val="Thoi det 37.5"/>
      <sheetName val="TPHD37.5"/>
      <sheetName val="Cnhan"/>
      <sheetName val="T2"/>
      <sheetName val="To than Nguyen-12"/>
      <sheetName val="T4"/>
      <sheetName val="T6"/>
      <sheetName val="T7"/>
      <sheetName val="T8"/>
      <sheetName val="T10"/>
      <sheetName val="T9"/>
      <sheetName val="To Quynh -12"/>
      <sheetName val="T.4"/>
      <sheetName val="T1"/>
      <sheetName val="Cn"/>
      <sheetName val="PSinh"/>
      <sheetName val="GTi"/>
      <sheetName val="VLHTXL"/>
      <sheetName val="NC"/>
      <sheetName val="May"/>
      <sheetName val="VuaXM"/>
      <sheetName val="Tno"/>
      <sheetName val="VuaBT"/>
      <sheetName val="CTGVL"/>
      <sheetName val="cat"/>
      <sheetName val="luongSS3"/>
      <sheetName val="mayTC"/>
      <sheetName val="HSluongtho"/>
      <sheetName val="luongTT09"/>
      <sheetName val="CLVL"/>
      <sheetName val="VLDCA"/>
      <sheetName val="khong"/>
      <sheetName val="km248"/>
      <sheetName val="THDT"/>
      <sheetName val="KHDT"/>
      <sheetName val="HP"/>
      <sheetName val="THHP"/>
      <sheetName val="MMTB"/>
      <sheetName val="CDLD"/>
      <sheetName val="TDo"/>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ccdc"/>
      <sheetName val="pbnvlieu"/>
      <sheetName val="NKNVLIEUBSUNG"/>
      <sheetName val="pbcpqlq4"/>
      <sheetName val="pbcpchung"/>
      <sheetName val="pbccdcDUNG"/>
      <sheetName val="NVLQ1+2,03"/>
      <sheetName val="CCDCQ1+2.03"/>
      <sheetName val="1421Q1+2"/>
      <sheetName val="XXXXXXXX"/>
      <sheetName val="XXXXXXX0"/>
      <sheetName val="KL DUONG DC L = 90m"/>
      <sheetName val="CHIT"/>
      <sheetName val="THXH"/>
      <sheetName val="BHXH"/>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ongty"/>
      <sheetName val="VPPN"/>
      <sheetName val="XN74"/>
      <sheetName val="XN54"/>
      <sheetName val="XN33"/>
      <sheetName val="NK96"/>
      <sheetName val="XL4Test5"/>
      <sheetName val="BCGTSX5"/>
      <sheetName val="KHT6"/>
      <sheetName val="BCGTXS6"/>
      <sheetName val="THT6"/>
      <sheetName val="KH Q3"/>
      <sheetName val="BCGTSX7"/>
      <sheetName val="GTSX 8"/>
      <sheetName val="CONTRACT"/>
      <sheetName val="GTSX9"/>
      <sheetName val="KH 10"/>
      <sheetName val="GTSX10"/>
      <sheetName val="KH 11"/>
      <sheetName val="GTSX11"/>
      <sheetName val="KH12"/>
      <sheetName val="GT doi"/>
      <sheetName val="KHSX2002-2006"/>
      <sheetName val="KHvon 2002-2006"/>
      <sheetName val="Gia VL"/>
      <sheetName val="Bang gia ca may"/>
      <sheetName val="Bang luong CB"/>
      <sheetName val="Bang P.tich CT"/>
      <sheetName val="D.toan chi tiet"/>
      <sheetName val="Bang TH Dtoan"/>
      <sheetName val="Q2-03"/>
      <sheetName val="Q3-03"/>
      <sheetName val="20% BHXH"/>
      <sheetName val="TrÝch 2%KPC§"/>
      <sheetName val="TrÝch 3% BHYT"/>
      <sheetName val="SD cac TK"/>
      <sheetName val="TK336"/>
      <sheetName val="chi tiet 131"/>
      <sheetName val="Ke chi"/>
      <sheetName val="DB 1 HT"/>
      <sheetName val="COC KHOAN M1"/>
      <sheetName val="COC KHOAN M2"/>
      <sheetName val="COC KHOAN T1"/>
      <sheetName val="COC KHOAN T5"/>
      <sheetName val="COC KHOAN T4"/>
      <sheetName val="COC DONG"/>
      <sheetName val="BANG"/>
      <sheetName val="VL"/>
      <sheetName val="BTXM"/>
      <sheetName val="PTVL"/>
      <sheetName val="THcong"/>
      <sheetName val="DGCT"/>
      <sheetName val="DK"/>
      <sheetName val="tong hop"/>
      <sheetName val="phan tich DG"/>
      <sheetName val="gia vat lieu"/>
      <sheetName val="gia xe may"/>
      <sheetName val="gia nhan cong"/>
      <sheetName val="T1-04"/>
      <sheetName val="cty tu van"/>
      <sheetName val="cty 874"/>
      <sheetName val="nha o kinh"/>
      <sheetName val="Sheet9"/>
      <sheetName val="Sheet10"/>
      <sheetName val="Sheet11"/>
      <sheetName val="Sheet12"/>
      <sheetName val="Sheet13"/>
      <sheetName val="Sheet14"/>
      <sheetName val="Sheet15"/>
      <sheetName val="Sheet16"/>
      <sheetName val="duong"/>
      <sheetName val="thduong"/>
      <sheetName val="KHOAN LUONG"/>
      <sheetName val="DIEN KHO"/>
      <sheetName val="KP nhaxe"/>
      <sheetName val="kp sannen"/>
      <sheetName val="10000000"/>
      <sheetName val="DNam"/>
      <sheetName val="T3"/>
      <sheetName val="T5"/>
      <sheetName val="T11"/>
      <sheetName val="T12"/>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THUE5"/>
      <sheetName val="THUE 10"/>
      <sheetName val="TTL"/>
      <sheetName val="TVCKHV1"/>
      <sheetName val="tinh LV"/>
      <sheetName val="M03"/>
      <sheetName val="M2"/>
      <sheetName val="TU"/>
      <sheetName val="Phuc"/>
      <sheetName val="QTCT1520G"/>
      <sheetName val="QTCT1520 (2)"/>
      <sheetName val="CTHT"/>
      <sheetName val="KQKD"/>
      <sheetName val="CPGT"/>
      <sheetName val="THTL"/>
      <sheetName val="Bk"/>
      <sheetName val="QT2"/>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sheetData sheetId="71"/>
      <sheetData sheetId="72"/>
      <sheetData sheetId="73"/>
      <sheetData sheetId="74"/>
      <sheetData sheetId="75"/>
      <sheetData sheetId="76" refreshError="1"/>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an1"/>
      <sheetName val="CDFS"/>
      <sheetName val="Sheet2"/>
      <sheetName val="loc"/>
      <sheetName val="Sheet1"/>
      <sheetName val="CDPS PL"/>
      <sheetName val="Dulieu"/>
      <sheetName val="Sheet3"/>
    </sheetNames>
    <sheetDataSet>
      <sheetData sheetId="0"/>
      <sheetData sheetId="1" refreshError="1"/>
      <sheetData sheetId="2" refreshError="1"/>
      <sheetData sheetId="3" refreshError="1"/>
      <sheetData sheetId="4" refreshError="1"/>
      <sheetData sheetId="5" refreshError="1"/>
      <sheetData sheetId="6">
        <row r="1">
          <cell r="K1" t="str">
            <v>USD</v>
          </cell>
        </row>
      </sheetData>
      <sheetData sheetId="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인원계획_미화"/>
      <sheetName val="노무비"/>
      <sheetName val="001"/>
      <sheetName val="Assumptions"/>
      <sheetName val="재무가정"/>
      <sheetName val="Initial Input Variable"/>
      <sheetName val="공사개요"/>
      <sheetName val="Customer Databas"/>
      <sheetName val="일위대가목차"/>
      <sheetName val="MOTOR"/>
      <sheetName val="익월작업계힉"/>
      <sheetName val="Template"/>
      <sheetName val="S&amp;R"/>
      <sheetName val="Instructions"/>
      <sheetName val="1 Cash Flow Analysis"/>
      <sheetName val="조직및_인원계획"/>
      <sheetName val="견적내역-미화_(2)"/>
      <sheetName val="견적내역-보안_(2)"/>
      <sheetName val="Initial_Input_Variable"/>
      <sheetName val="Customer_Databas"/>
      <sheetName val="2004SS"/>
      <sheetName val="2004CJ"/>
      <sheetName val="ASP"/>
      <sheetName val="2. Summary-cash"/>
      <sheetName val="Budget 2005(DW)"/>
      <sheetName val="Id"/>
      <sheetName val="Summary"/>
      <sheetName val="IBASE"/>
      <sheetName val="로담코총괄제안견적3"/>
      <sheetName val="Gui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MTL$-INTER"/>
      <sheetName val="DI-ESTI"/>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400-415.37"/>
      <sheetName val="KL NR2"/>
      <sheetName val="NR2 565 PQ DQ"/>
      <sheetName val="565 DD"/>
      <sheetName val="M2-415.37"/>
      <sheetName val="Cong"/>
      <sheetName val="507 PQ"/>
      <sheetName val="507 DD"/>
      <sheetName val=" Subbase"/>
      <sheetName val="NR2"/>
      <sheetName val="DOAM0654CAS"/>
      <sheetName val="hold5"/>
      <sheetName val="hold6"/>
      <sheetName val="Phu cap"/>
      <sheetName val="phu cap nam"/>
      <sheetName val="Mau 1 PGD"/>
      <sheetName val="Mau 2PGD"/>
      <sheetName val="Mau 3 PGD"/>
      <sheetName val="mau so 01A"/>
      <sheetName val="mau so 2"/>
      <sheetName val="mau so 3"/>
      <sheetName val="PCCM"/>
      <sheetName val="Sheet3"/>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KQHDKD"/>
      <sheetName val="KHOI_DONG"/>
      <sheetName val="Inctiettk"/>
      <sheetName val="cd taikhoan"/>
      <sheetName val="NK_CHUNG"/>
      <sheetName val="CD_PSINH"/>
      <sheetName val="CDKT"/>
      <sheetName val="MAKHACH"/>
      <sheetName val="TH_CNO"/>
      <sheetName val="C/ngty"/>
      <sheetName val=""/>
      <sheetName val="THCP"/>
      <sheetName val="BQT"/>
      <sheetName val="RG"/>
      <sheetName val="BCVT"/>
      <sheetName val="BKHD"/>
      <sheetName val="tienluong"/>
      <sheetName val="인원계획-미화"/>
      <sheetName val="ଶᐭ8"/>
    </sheetNames>
    <sheetDataSet>
      <sheetData sheetId="0" refreshError="1"/>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ong dan"/>
      <sheetName val="00"/>
      <sheetName val="HT"/>
      <sheetName val="NKC"/>
      <sheetName val="VAT01"/>
      <sheetName val="VAT0203"/>
      <sheetName val="HTTK"/>
      <sheetName val="DMHTK"/>
      <sheetName val="TSCD"/>
      <sheetName val="DMDoiTuong"/>
      <sheetName val="SDDK"/>
      <sheetName val="DMTH"/>
      <sheetName val="TAM"/>
      <sheetName val="INTC"/>
      <sheetName val="INTK"/>
      <sheetName val="XEMTONKHO"/>
      <sheetName val="SCTH"/>
      <sheetName val="SCCT"/>
      <sheetName val="THCN"/>
      <sheetName val="So CT vat tu"/>
      <sheetName val="Sheet1"/>
      <sheetName val="NXT"/>
      <sheetName val="Ket chuyen"/>
      <sheetName val="CDPS2"/>
      <sheetName val="CDKT"/>
      <sheetName val="KQKD"/>
      <sheetName val="TMBCTC"/>
      <sheetName val="LCTT"/>
      <sheetName val="Template"/>
    </sheetNames>
    <sheetDataSet>
      <sheetData sheetId="0" refreshError="1"/>
      <sheetData sheetId="1" refreshError="1"/>
      <sheetData sheetId="2">
        <row r="4">
          <cell r="C4" t="str">
            <v>Cty CP ABC</v>
          </cell>
        </row>
      </sheetData>
      <sheetData sheetId="3">
        <row r="3">
          <cell r="BC3" t="str">
            <v>PC/05/0002</v>
          </cell>
        </row>
      </sheetData>
      <sheetData sheetId="4">
        <row r="5">
          <cell r="N5">
            <v>39264</v>
          </cell>
        </row>
      </sheetData>
      <sheetData sheetId="5">
        <row r="1">
          <cell r="R1" t="str">
            <v>02</v>
          </cell>
        </row>
      </sheetData>
      <sheetData sheetId="6">
        <row r="5">
          <cell r="B5" t="str">
            <v>111</v>
          </cell>
        </row>
      </sheetData>
      <sheetData sheetId="7">
        <row r="4">
          <cell r="G4" t="str">
            <v>HH</v>
          </cell>
        </row>
      </sheetData>
      <sheetData sheetId="8" refreshError="1"/>
      <sheetData sheetId="9">
        <row r="6">
          <cell r="B6" t="str">
            <v>142-HAM</v>
          </cell>
        </row>
      </sheetData>
      <sheetData sheetId="10">
        <row r="6">
          <cell r="A6" t="str">
            <v>111</v>
          </cell>
        </row>
      </sheetData>
      <sheetData sheetId="11">
        <row r="2">
          <cell r="L2" t="str">
            <v>MH</v>
          </cell>
        </row>
      </sheetData>
      <sheetData sheetId="12"/>
      <sheetData sheetId="13">
        <row r="2">
          <cell r="L2" t="str">
            <v>PT/01/0001</v>
          </cell>
        </row>
      </sheetData>
      <sheetData sheetId="14" refreshError="1"/>
      <sheetData sheetId="15">
        <row r="3">
          <cell r="B3" t="str">
            <v>XAN-XA92</v>
          </cell>
        </row>
      </sheetData>
      <sheetData sheetId="16">
        <row r="1">
          <cell r="D1" t="str">
            <v>142</v>
          </cell>
        </row>
      </sheetData>
      <sheetData sheetId="17">
        <row r="1">
          <cell r="G1">
            <v>38838</v>
          </cell>
        </row>
      </sheetData>
      <sheetData sheetId="18">
        <row r="1">
          <cell r="C1" t="str">
            <v>154</v>
          </cell>
        </row>
      </sheetData>
      <sheetData sheetId="19">
        <row r="1">
          <cell r="G1">
            <v>38869</v>
          </cell>
        </row>
      </sheetData>
      <sheetData sheetId="20" refreshError="1"/>
      <sheetData sheetId="21"/>
      <sheetData sheetId="22"/>
      <sheetData sheetId="23">
        <row r="1">
          <cell r="L1">
            <v>39203</v>
          </cell>
        </row>
      </sheetData>
      <sheetData sheetId="24">
        <row r="1">
          <cell r="E1">
            <v>39052</v>
          </cell>
        </row>
      </sheetData>
      <sheetData sheetId="25" refreshError="1"/>
      <sheetData sheetId="26" refreshError="1"/>
      <sheetData sheetId="27" refreshError="1"/>
      <sheetData sheetId="2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ND BUDGET 12-13"/>
      <sheetName val="USD BUDGET 12-13"/>
      <sheetName val="Agency"/>
      <sheetName val="Staff Cost"/>
      <sheetName val="Outsourced Contractor"/>
      <sheetName val="Outsourced Services"/>
      <sheetName val="Admin _ Mngmt"/>
      <sheetName val="Property"/>
      <sheetName val="Energy Consumption"/>
      <sheetName val="Graphs"/>
      <sheetName val="Template"/>
    </sheetNames>
    <sheetDataSet>
      <sheetData sheetId="0"/>
      <sheetData sheetId="1">
        <row r="8">
          <cell r="B8" t="str">
            <v>RIVIERA COVE OPERATING BUDGET</v>
          </cell>
        </row>
      </sheetData>
      <sheetData sheetId="2"/>
      <sheetData sheetId="3"/>
      <sheetData sheetId="4"/>
      <sheetData sheetId="5"/>
      <sheetData sheetId="6"/>
      <sheetData sheetId="7"/>
      <sheetData sheetId="8"/>
      <sheetData sheetId="9"/>
      <sheetData sheetId="1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KLHT"/>
      <sheetName val="THKP"/>
      <sheetName val="KL XL2000"/>
      <sheetName val="KLXL2001"/>
      <sheetName val="THKP2001"/>
      <sheetName val="KLphanbo"/>
      <sheetName val="Chiet tinh"/>
      <sheetName val="XL4Poppy"/>
      <sheetName val="Van chuyen"/>
      <sheetName val="THKP (2)"/>
      <sheetName val="T.Bi"/>
      <sheetName val="Thiet ke"/>
      <sheetName val="Sheet2"/>
      <sheetName val="Sheet1"/>
      <sheetName val="CT"/>
      <sheetName val="K.luong"/>
      <sheetName val="Sheet4"/>
      <sheetName val="Sheet3"/>
      <sheetName val="TT L2"/>
      <sheetName val="TT L1"/>
      <sheetName val="Thue Ngoai"/>
      <sheetName val="KH"/>
      <sheetName val="DM"/>
      <sheetName val="DD&amp;TV"/>
      <sheetName val="CDSL"/>
      <sheetName val="PTSL"/>
      <sheetName val="THCP"/>
      <sheetName val="VT"/>
      <sheetName val="NL"/>
      <sheetName val="SoSanh"/>
      <sheetName val="QTVT"/>
      <sheetName val="QTNC"/>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BC_KKTSCD"/>
      <sheetName val="Chitiet"/>
      <sheetName val="Sheet2 (2)"/>
      <sheetName val="Mau_BC_KKTSCD"/>
      <sheetName val="KH 2003 (moi max)"/>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DTHH"/>
      <sheetName val="Bang1"/>
      <sheetName val="TAI TRONG"/>
      <sheetName val="NOI LUC"/>
      <sheetName val="TINH DUYET THTT CHINH"/>
      <sheetName val="TDUYET THTT PHU"/>
      <sheetName val="TINH DAO DONG VA DO VONG"/>
      <sheetName val="TINH NEO"/>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00000000"/>
      <sheetName val="1"/>
      <sheetName val="MD"/>
      <sheetName val="ND"/>
      <sheetName val="CONG"/>
      <sheetName val="DGCT"/>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sent to"/>
      <sheetName val="Chi tiet - Dv lap"/>
      <sheetName val="TH KHTC"/>
      <sheetName val="000"/>
      <sheetName val="Dong Dau"/>
      <sheetName val="Dong Dau (2)"/>
      <sheetName val="Sau dong"/>
      <sheetName val="Ma xa"/>
      <sheetName val="My dinh"/>
      <sheetName val="Tong cong"/>
      <sheetName val="DT"/>
      <sheetName val="THND"/>
      <sheetName val="klcong"/>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binh do"/>
      <sheetName val="cot lieu"/>
      <sheetName val="van khuon"/>
      <sheetName val="CT BT"/>
      <sheetName val="lay mau"/>
      <sheetName val="mat ngoai goi"/>
      <sheetName val="coc tram-bt"/>
      <sheetName val="KH12"/>
      <sheetName val="CN12"/>
      <sheetName val="HD12"/>
      <sheetName val="KH1"/>
      <sheetName val="Congty"/>
      <sheetName val="VPPN"/>
      <sheetName val="XN74"/>
      <sheetName val="XN54"/>
      <sheetName val="XN33"/>
      <sheetName val="NK96"/>
      <sheetName val="XL4Test5"/>
      <sheetName val="Chart2"/>
      <sheetName val="be tong"/>
      <sheetName val="Thep"/>
      <sheetName val="Tong hop thep"/>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PTCT"/>
      <sheetName val="CDghino"/>
      <sheetName val="Tonghop"/>
      <sheetName val="TH (T1-6)"/>
      <sheetName val="ThueTB"/>
      <sheetName val="SCD5"/>
      <sheetName val=" NL"/>
      <sheetName val="CPVL-CPM"/>
      <sheetName val="PTVL"/>
      <sheetName val="CD1"/>
      <sheetName val=" NL (2)"/>
      <sheetName val="CDTHCT"/>
      <sheetName val="CDTHCT (3)"/>
      <sheetName val="THCT"/>
      <sheetName val="cap cho cac DT"/>
      <sheetName val="Ung - hoan"/>
      <sheetName val="CP may"/>
      <sheetName val="SS"/>
      <sheetName val="NVL"/>
      <sheetName val="10000000"/>
      <sheetName val="TM"/>
      <sheetName val="Bia"/>
      <sheetName val="BU-gian"/>
      <sheetName val="Bu-Ha"/>
      <sheetName val="PTVT"/>
      <sheetName val="Gia DAN"/>
      <sheetName val="Dan"/>
      <sheetName val="Cuoc"/>
      <sheetName val="Bugia"/>
      <sheetName val="KL57"/>
      <sheetName val="VL"/>
      <sheetName val="CTXD"/>
      <sheetName val=".."/>
      <sheetName val="CTDN"/>
      <sheetName val="san vuon"/>
      <sheetName val="khu phu tro"/>
      <sheetName val="Phu luc"/>
      <sheetName val="Gia trÞ"/>
      <sheetName val="Thuyet minh"/>
      <sheetName val="CQ-HQ"/>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Thep "/>
      <sheetName val="Chi tiet Khoi luong"/>
      <sheetName val="TH khoi luong"/>
      <sheetName val="Chiet tinh vat lieu "/>
      <sheetName val="TH KL VL"/>
      <sheetName val="phan tich DG"/>
      <sheetName val="gia vat lieu"/>
      <sheetName val="gia xe may"/>
      <sheetName val="gia nhan cong"/>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tscd"/>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ang Tri"/>
      <sheetName val="TTHue"/>
      <sheetName val="Da Nang"/>
      <sheetName val="Quang Nam"/>
      <sheetName val="Quang Ngai"/>
      <sheetName val="TH DH-QN"/>
      <sheetName val="KP HD"/>
      <sheetName val="DB HD"/>
      <sheetName val="CHIT"/>
      <sheetName val="THXH"/>
      <sheetName val="BHXH"/>
      <sheetName val="Quyet toan"/>
      <sheetName val="Thu hoi"/>
      <sheetName val="Lai vay"/>
      <sheetName val="Tien vay"/>
      <sheetName val="Cong no"/>
      <sheetName val="Cop pha"/>
      <sheetName val="20000000"/>
      <sheetName val="KM"/>
      <sheetName val="KHOANMUC"/>
      <sheetName val="CPQL"/>
      <sheetName val="SANLUONG"/>
      <sheetName val="SSCP-SL"/>
      <sheetName val="CPSX"/>
      <sheetName val="KQKD"/>
      <sheetName val="CDSL (2)"/>
      <sheetName val="00000001"/>
      <sheetName val="00000002"/>
      <sheetName val="00000003"/>
      <sheetName val="00000004"/>
      <sheetName val="9"/>
      <sheetName val="10"/>
      <sheetName val="KL VL"/>
      <sheetName val="KHCTiet"/>
      <sheetName val="QT 9-6"/>
      <sheetName val="Thuong luu HB"/>
      <sheetName val="QT03"/>
      <sheetName val="QT"/>
      <sheetName val="PTmay"/>
      <sheetName val="KK"/>
      <sheetName val="QT Ky T"/>
      <sheetName val="BCKT"/>
      <sheetName val="bc vt TON BAI"/>
      <sheetName val="XXXXXXX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H-2001"/>
      <sheetName val="KH-2002"/>
      <sheetName val="KH-2003"/>
      <sheetName val="DGTL"/>
      <sheetName val="®¬ngi¸"/>
      <sheetName val="dongle"/>
      <sheetName val="Phu luc HD"/>
      <sheetName val="Gia du thau"/>
      <sheetName val="PTDG"/>
      <sheetName val="Ca xe"/>
      <sheetName val="T1(T1)04"/>
      <sheetName val="XE DAU"/>
      <sheetName val="XE XANG"/>
      <sheetName val="gvl"/>
      <sheetName val="Q1-02"/>
      <sheetName val="Q2-02"/>
      <sheetName val="Q3-02"/>
      <sheetName val="Caodo"/>
      <sheetName val="Dat"/>
      <sheetName val="KL-CTTK"/>
      <sheetName val="BTH"/>
      <sheetName val="VAT TU NHAN TXQN"/>
      <sheetName val="bang tong ke khoi luong vat tu"/>
      <sheetName val="hcong tkhe"/>
      <sheetName val="VAT TU NHAN TKHE"/>
      <sheetName val="hcong qn"/>
      <sheetName val="VAT TU NHAN (2)"/>
      <sheetName val="C45A-BH"/>
      <sheetName val="C46A-BH"/>
      <sheetName val="C47A-BH"/>
      <sheetName val="C48A-BH"/>
      <sheetName val="S-53-1"/>
      <sheetName val="XN79"/>
      <sheetName val="CTMT"/>
      <sheetName val="HTSD6LD"/>
      <sheetName val="HTSDDNN"/>
      <sheetName val="HTSDKT"/>
      <sheetName val="BD"/>
      <sheetName val="HTNT"/>
      <sheetName val="CHART"/>
      <sheetName val="HTDT"/>
      <sheetName val="HTSDD"/>
      <sheetName val="Tien ung"/>
      <sheetName val="phi luong3"/>
      <sheetName val="TH mau moi tu T10"/>
      <sheetName val="Tong hop Quy IV"/>
      <sheetName val="tc"/>
      <sheetName val="TDT"/>
      <sheetName val="xl"/>
      <sheetName val="NN"/>
      <sheetName val="Tralaivay"/>
      <sheetName val="TBTN"/>
      <sheetName val="CPTV"/>
      <sheetName val="Assumptions"/>
      <sheetName val="MD03-4"/>
      <sheetName val="clvl"/>
      <sheetName val="Chenh lech"/>
      <sheetName val="Kinh phí"/>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PXuat"/>
      <sheetName val="THVT.T5"/>
      <sheetName val="XL1.t5"/>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DEBT"/>
      <sheetName val="FEES"/>
      <sheetName val="Chart2"/>
      <sheetName val="FORECAST "/>
      <sheetName val="PLAN9899"/>
      <sheetName val="199899"/>
      <sheetName val="FEE ANALYSIS"/>
      <sheetName val="ARWIP"/>
      <sheetName val="Chart1"/>
      <sheetName val="ARBILL"/>
      <sheetName val="GRAPH"/>
      <sheetName val="DEBTGPH"/>
      <sheetName val="ARSTAFF"/>
      <sheetName val="Module1"/>
      <sheetName val="Area"/>
      <sheetName val="인원계획-미화"/>
      <sheetName val="Control"/>
      <sheetName val="DI-ESTI"/>
      <sheetName val="L&amp;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ự án BU6"/>
      <sheetName val="Xếp hạng đối thủ"/>
      <sheetName val="Phân tích đối thủ"/>
      <sheetName val="Kế hoạch KD"/>
      <sheetName val="Kế hoạch DS"/>
      <sheetName val="Bảng tính chi phí"/>
      <sheetName val="Chi phí lương"/>
      <sheetName val="BangLuong"/>
      <sheetName val="Tai khoan"/>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P&amp;L"/>
      <sheetName val="P&amp;L Ha Noi"/>
      <sheetName val="BS Ha Noi"/>
      <sheetName val="SCH 7-Notes to SoFP"/>
      <sheetName val="Tai khoan"/>
      <sheetName val="Bảng tính chi phí"/>
    </sheetNames>
    <sheetDataSet>
      <sheetData sheetId="0">
        <row r="3">
          <cell r="B3">
            <v>8</v>
          </cell>
        </row>
      </sheetData>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 luong CMC Soft"/>
      <sheetName val="Skills"/>
      <sheetName val="Danh sach 1-2001"/>
      <sheetName val="Luong thang10-2000"/>
      <sheetName val="Luong thang10_2000"/>
      <sheetName val="Consolidated P&amp;L"/>
    </sheetNames>
    <sheetDataSet>
      <sheetData sheetId="0"/>
      <sheetData sheetId="1"/>
      <sheetData sheetId="2"/>
      <sheetData sheetId="3">
        <row r="5">
          <cell r="A5" t="str">
            <v>NguyÔn Kim C­¬ng</v>
          </cell>
        </row>
      </sheetData>
      <sheetData sheetId="4"/>
      <sheetData sheetId="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English"/>
      <sheetName val="BO"/>
      <sheetName val="TongDT"/>
      <sheetName val="CUOCVL"/>
      <sheetName val="BUVL"/>
      <sheetName val="NCONG"/>
      <sheetName val="MAY"/>
      <sheetName val="dthsen1"/>
      <sheetName val="dthsen2"/>
      <sheetName val="khehoi"/>
      <sheetName val="Dongxung "/>
      <sheetName val="vandiem1"/>
      <sheetName val="vandiem2"/>
      <sheetName val="Thuc thanh"/>
      <sheetName val="Tongke"/>
      <sheetName val="Consolidated P&amp;L"/>
      <sheetName val="Tai khoan"/>
      <sheetName val="Luong thang10-2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BO"/>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DTCT"/>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ai khoan"/>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Thuc thanh"/>
      <sheetName val="00000000"/>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onghp"/>
      <sheetName val="Loading"/>
      <sheetName val="Check C"/>
      <sheetName val="gVL"/>
      <sheetName val="_x000c__x0000__x0001__x0000__x0000__x0000__x0001_ý"/>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gia vat_x0000_lie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 - USD"/>
      <sheetName val="USD"/>
      <sheetName val="PR - VND"/>
      <sheetName val="HSBC-VND"/>
      <sheetName val="TIMESHEET"/>
      <sheetName val="COM sale"/>
      <sheetName val="SALARY"/>
      <sheetName val="PAYSLIP"/>
      <sheetName val="COM LEASING"/>
      <sheetName val="COM SALES"/>
      <sheetName val="COM PAYROLL"/>
      <sheetName val="BANK TRANSFER - HO"/>
      <sheetName val="BANK TRANSFER - PM"/>
      <sheetName val="BANK TRANSFER - RESIGNED"/>
      <sheetName val="HOLD (2)"/>
      <sheetName val="HOLD"/>
      <sheetName val="PAYMENT - PROJECT"/>
      <sheetName val="PAYMENT - HO"/>
      <sheetName val="PAYMENT - RESIGNED"/>
      <sheetName val="TRADE UNION"/>
      <sheetName val="CHECK BALANCE"/>
      <sheetName val="TONG HOP"/>
      <sheetName val="Dulieu"/>
    </sheetNames>
    <sheetDataSet>
      <sheetData sheetId="0"/>
      <sheetData sheetId="1"/>
      <sheetData sheetId="2"/>
      <sheetData sheetId="3"/>
      <sheetData sheetId="4">
        <row r="7">
          <cell r="C7" t="str">
            <v>0431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 val="THU-TIEN"/>
      <sheetName val="CONG-NO"/>
      <sheetName val="XL4Poppy"/>
      <sheetName val="dg-VTu"/>
      <sheetName val="CDKT"/>
      <sheetName val="CDPS2"/>
      <sheetName val="NKC"/>
      <sheetName val="HT"/>
      <sheetName val="DMDoiTuong"/>
      <sheetName val="DMHTK"/>
      <sheetName val="DMTH"/>
      <sheetName val="HTTK"/>
      <sheetName val="INTC"/>
      <sheetName val="Ket chuyen"/>
      <sheetName val="XEMTONKHO"/>
      <sheetName val="SCCT"/>
      <sheetName val="SCTH"/>
      <sheetName val="SDDK"/>
      <sheetName val="So CT vat tu"/>
      <sheetName val="TAM"/>
      <sheetName val="THCN"/>
      <sheetName val="VAT01"/>
      <sheetName val="VAT0203"/>
      <sheetName val="780215 Mar"/>
      <sheetName val="Detail C R&amp;M"/>
      <sheetName val="Profit"/>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Tai khoan"/>
      <sheetName val="Tra_bang"/>
      <sheetName val="BO"/>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ungphan"/>
      <sheetName val="th"/>
      <sheetName val="KSTK"/>
      <sheetName val="HLM"/>
      <sheetName val="denbu"/>
      <sheetName val="trabang"/>
      <sheetName val="VCTbi"/>
      <sheetName val="hephao"/>
      <sheetName val="Sheet1"/>
      <sheetName val="TVL"/>
      <sheetName val="Tra_ba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GĐI"/>
      <sheetName val="DV GĐI"/>
      <sheetName val="DV GD2"/>
      <sheetName val="Expense"/>
      <sheetName val="ThietbiKhac"/>
      <sheetName val="XL4Poppy"/>
      <sheetName val="T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anh thu 2005"/>
      <sheetName val="Accounts"/>
      <sheetName val="doanh số xuân"/>
      <sheetName val="doanh số thủy)"/>
      <sheetName val="Tong hop 03 Oct 05"/>
      <sheetName val="Phat trien 2005"/>
      <sheetName val="00000000"/>
      <sheetName val="Expense"/>
    </sheetNames>
    <sheetDataSet>
      <sheetData sheetId="0"/>
      <sheetData sheetId="1"/>
      <sheetData sheetId="2"/>
      <sheetData sheetId="3"/>
      <sheetData sheetId="4"/>
      <sheetData sheetId="5"/>
      <sheetData sheetId="6"/>
      <sheetData sheetId="7"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hung"/>
      <sheetName val="PA Kinh DoanhPhong"/>
      <sheetName val="Chiphi"/>
      <sheetName val="Luong"/>
      <sheetName val="Chedo"/>
      <sheetName val="DanhgiaCongViec"/>
      <sheetName val="Utilization"/>
      <sheetName val="Bieudo"/>
      <sheetName val="Accounts"/>
    </sheetNames>
    <sheetDataSet>
      <sheetData sheetId="0"/>
      <sheetData sheetId="1"/>
      <sheetData sheetId="2">
        <row r="35">
          <cell r="C35">
            <v>15400</v>
          </cell>
        </row>
      </sheetData>
      <sheetData sheetId="3"/>
      <sheetData sheetId="4"/>
      <sheetData sheetId="5"/>
      <sheetData sheetId="6"/>
      <sheetData sheetId="7"/>
      <sheetData sheetId="8"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Control sheet"/>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Chiphi"/>
      <sheetName val="NXT T.bi"/>
      <sheetName val="BC NXT phone"/>
      <sheetName val="KHAI THUE"/>
      <sheetName val="BC TH SD HOA DON"/>
      <sheetName val="Mua vào HD TT"/>
      <sheetName val="Mua vao 5%"/>
      <sheetName val="BK MUA VAO 10%"/>
      <sheetName val="BK BAN RA"/>
      <sheetName val="dtct cong"/>
      <sheetName val="THCT"/>
      <sheetName val="Thuc thanh"/>
      <sheetName val="TT04"/>
    </sheetNames>
    <sheetDataSet>
      <sheetData sheetId="0"/>
      <sheetData sheetId="1"/>
      <sheetData sheetId="2"/>
      <sheetData sheetId="3" refreshError="1"/>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Count Matrix"/>
      <sheetName val="User Type Defination"/>
      <sheetName val="SHK"/>
      <sheetName val="User Count History"/>
    </sheetNames>
    <sheetDataSet>
      <sheetData sheetId="0">
        <row r="2">
          <cell r="C2" t="str">
            <v>MSL</v>
          </cell>
          <cell r="D2" t="str">
            <v>HKL</v>
          </cell>
          <cell r="E2" t="str">
            <v>VPSL</v>
          </cell>
          <cell r="F2" t="str">
            <v>RL</v>
          </cell>
          <cell r="G2" t="str">
            <v>SPML</v>
          </cell>
          <cell r="H2" t="str">
            <v>GPML</v>
          </cell>
          <cell r="I2" t="str">
            <v>SH</v>
          </cell>
          <cell r="J2" t="str">
            <v>BJ</v>
          </cell>
          <cell r="K2" t="str">
            <v>BJ Val</v>
          </cell>
          <cell r="L2" t="str">
            <v>SZ</v>
          </cell>
          <cell r="M2" t="str">
            <v>GZ</v>
          </cell>
          <cell r="N2" t="str">
            <v>GZ Val</v>
          </cell>
          <cell r="O2" t="str">
            <v>CD</v>
          </cell>
          <cell r="P2" t="str">
            <v>TJ</v>
          </cell>
          <cell r="Q2" t="str">
            <v>DL</v>
          </cell>
          <cell r="R2" t="str">
            <v>CQ</v>
          </cell>
          <cell r="S2" t="str">
            <v>HZ</v>
          </cell>
          <cell r="T2" t="str">
            <v>XM</v>
          </cell>
          <cell r="U2" t="str">
            <v>SY</v>
          </cell>
          <cell r="V2" t="str">
            <v>ZH</v>
          </cell>
          <cell r="W2" t="str">
            <v>QD</v>
          </cell>
          <cell r="X2" t="str">
            <v>NJ</v>
          </cell>
          <cell r="Y2" t="str">
            <v>XN</v>
          </cell>
          <cell r="Z2" t="str">
            <v>MO</v>
          </cell>
          <cell r="AA2" t="str">
            <v>JP</v>
          </cell>
          <cell r="AB2" t="str">
            <v>KR</v>
          </cell>
          <cell r="AC2" t="str">
            <v>SG</v>
          </cell>
          <cell r="AD2" t="str">
            <v>TH</v>
          </cell>
          <cell r="AE2" t="str">
            <v>TW</v>
          </cell>
          <cell r="AF2" t="str">
            <v>VN</v>
          </cell>
          <cell r="AG2" t="str">
            <v>IN</v>
          </cell>
          <cell r="AH2" t="str">
            <v>ID</v>
          </cell>
          <cell r="AI2" t="str">
            <v>PH</v>
          </cell>
          <cell r="AJ2" t="str">
            <v>MY</v>
          </cell>
        </row>
        <row r="3">
          <cell r="C3">
            <v>52</v>
          </cell>
          <cell r="D3">
            <v>259</v>
          </cell>
          <cell r="E3">
            <v>74</v>
          </cell>
          <cell r="F3">
            <v>62</v>
          </cell>
          <cell r="G3">
            <v>209</v>
          </cell>
          <cell r="H3">
            <v>161</v>
          </cell>
          <cell r="I3">
            <v>293</v>
          </cell>
          <cell r="J3">
            <v>180</v>
          </cell>
          <cell r="K3">
            <v>44</v>
          </cell>
          <cell r="L3">
            <v>79</v>
          </cell>
          <cell r="M3">
            <v>117</v>
          </cell>
          <cell r="N3">
            <v>24</v>
          </cell>
          <cell r="O3">
            <v>109</v>
          </cell>
          <cell r="P3">
            <v>47</v>
          </cell>
          <cell r="Q3">
            <v>11</v>
          </cell>
          <cell r="R3">
            <v>41</v>
          </cell>
          <cell r="S3">
            <v>11</v>
          </cell>
          <cell r="T3">
            <v>24</v>
          </cell>
          <cell r="U3">
            <v>12</v>
          </cell>
          <cell r="V3">
            <v>9</v>
          </cell>
          <cell r="W3">
            <v>3</v>
          </cell>
          <cell r="X3">
            <v>10</v>
          </cell>
          <cell r="Y3">
            <v>4</v>
          </cell>
          <cell r="Z3">
            <v>38</v>
          </cell>
          <cell r="AA3">
            <v>70</v>
          </cell>
          <cell r="AB3">
            <v>100</v>
          </cell>
          <cell r="AC3">
            <v>199</v>
          </cell>
          <cell r="AD3">
            <v>63</v>
          </cell>
          <cell r="AE3">
            <v>75</v>
          </cell>
          <cell r="AF3">
            <v>146</v>
          </cell>
          <cell r="AG3">
            <v>37</v>
          </cell>
          <cell r="AJ3">
            <v>123</v>
          </cell>
        </row>
        <row r="4">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AA4">
            <v>0</v>
          </cell>
          <cell r="AB4">
            <v>0</v>
          </cell>
          <cell r="AC4">
            <v>29</v>
          </cell>
          <cell r="AD4">
            <v>0</v>
          </cell>
          <cell r="AE4">
            <v>0</v>
          </cell>
          <cell r="AF4">
            <v>6</v>
          </cell>
          <cell r="AJ4">
            <v>21</v>
          </cell>
        </row>
        <row r="5">
          <cell r="D5">
            <v>7</v>
          </cell>
          <cell r="G5">
            <v>166</v>
          </cell>
          <cell r="H5">
            <v>172</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31</v>
          </cell>
          <cell r="AA5">
            <v>0</v>
          </cell>
          <cell r="AB5">
            <v>45</v>
          </cell>
          <cell r="AC5">
            <v>0</v>
          </cell>
          <cell r="AD5">
            <v>0</v>
          </cell>
          <cell r="AE5">
            <v>0</v>
          </cell>
          <cell r="AF5">
            <v>0</v>
          </cell>
        </row>
        <row r="6">
          <cell r="F6">
            <v>26</v>
          </cell>
          <cell r="G6" t="str">
            <v/>
          </cell>
          <cell r="H6">
            <v>252</v>
          </cell>
          <cell r="I6">
            <v>459</v>
          </cell>
          <cell r="J6">
            <v>993</v>
          </cell>
          <cell r="K6">
            <v>0</v>
          </cell>
          <cell r="L6">
            <v>0</v>
          </cell>
          <cell r="M6">
            <v>88</v>
          </cell>
          <cell r="N6">
            <v>0</v>
          </cell>
          <cell r="O6">
            <v>0</v>
          </cell>
          <cell r="P6">
            <v>86</v>
          </cell>
          <cell r="Q6">
            <v>12</v>
          </cell>
          <cell r="R6">
            <v>0</v>
          </cell>
          <cell r="S6">
            <v>5</v>
          </cell>
          <cell r="T6">
            <v>0</v>
          </cell>
          <cell r="U6">
            <v>15</v>
          </cell>
          <cell r="V6">
            <v>0</v>
          </cell>
          <cell r="W6">
            <v>0</v>
          </cell>
          <cell r="X6">
            <v>6</v>
          </cell>
          <cell r="Y6">
            <v>0</v>
          </cell>
          <cell r="Z6">
            <v>6</v>
          </cell>
          <cell r="AA6">
            <v>0</v>
          </cell>
          <cell r="AB6">
            <v>7</v>
          </cell>
          <cell r="AC6">
            <v>0</v>
          </cell>
          <cell r="AD6">
            <v>0</v>
          </cell>
          <cell r="AE6">
            <v>0</v>
          </cell>
          <cell r="AF6">
            <v>6</v>
          </cell>
        </row>
        <row r="7">
          <cell r="F7">
            <v>19</v>
          </cell>
          <cell r="G7">
            <v>20</v>
          </cell>
          <cell r="H7">
            <v>16</v>
          </cell>
          <cell r="I7">
            <v>268</v>
          </cell>
          <cell r="J7">
            <v>48</v>
          </cell>
          <cell r="K7">
            <v>0</v>
          </cell>
          <cell r="L7">
            <v>0</v>
          </cell>
          <cell r="M7">
            <v>19</v>
          </cell>
          <cell r="N7">
            <v>0</v>
          </cell>
          <cell r="O7">
            <v>17</v>
          </cell>
          <cell r="P7">
            <v>28</v>
          </cell>
          <cell r="Q7">
            <v>0</v>
          </cell>
          <cell r="R7">
            <v>0</v>
          </cell>
          <cell r="S7">
            <v>5</v>
          </cell>
          <cell r="T7">
            <v>0</v>
          </cell>
          <cell r="U7">
            <v>14</v>
          </cell>
          <cell r="V7">
            <v>0</v>
          </cell>
          <cell r="W7">
            <v>0</v>
          </cell>
          <cell r="X7">
            <v>0</v>
          </cell>
          <cell r="Y7">
            <v>0</v>
          </cell>
          <cell r="AA7">
            <v>0</v>
          </cell>
          <cell r="AB7">
            <v>0</v>
          </cell>
          <cell r="AC7">
            <v>35</v>
          </cell>
          <cell r="AD7">
            <v>75</v>
          </cell>
          <cell r="AE7">
            <v>46</v>
          </cell>
          <cell r="AF7">
            <v>274</v>
          </cell>
          <cell r="AH7">
            <v>34</v>
          </cell>
          <cell r="AI7">
            <v>4</v>
          </cell>
        </row>
        <row r="8">
          <cell r="AA8">
            <v>0</v>
          </cell>
          <cell r="AB8">
            <v>5</v>
          </cell>
          <cell r="AC8">
            <v>805</v>
          </cell>
          <cell r="AD8">
            <v>227</v>
          </cell>
          <cell r="AE8">
            <v>0</v>
          </cell>
          <cell r="AF8">
            <v>0</v>
          </cell>
        </row>
      </sheetData>
      <sheetData sheetId="1"/>
      <sheetData sheetId="2"/>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인원계획_미화"/>
      <sheetName val="노무비"/>
      <sheetName val="ARDEBT"/>
      <sheetName val="Sheet1"/>
      <sheetName val="DTCT"/>
      <sheetName val="Chi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견적"/>
      <sheetName val="견적서"/>
      <sheetName val="견적내역"/>
      <sheetName val="산출기준"/>
      <sheetName val="인건"/>
      <sheetName val="근무"/>
      <sheetName val="인원계획-미화"/>
      <sheetName val="회사정보"/>
      <sheetName val="Invoices"/>
      <sheetName val="한국중공업시설"/>
      <sheetName val="DTCT"/>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회사정보"/>
      <sheetName val="anaysis_sheet"/>
      <sheetName val="노무비"/>
      <sheetName val="Initial Input Variable"/>
      <sheetName val="Assumptions"/>
      <sheetName val="로담코총괄제안견적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sheetData sheetId="13"/>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XUAT"/>
      <sheetName val="THU-TIEN"/>
      <sheetName val="CONG-NO"/>
      <sheetName val="XL4Poppy"/>
      <sheetName val="dg-VTu"/>
      <sheetName val="GENERAL DATA - 2015"/>
    </sheetNames>
    <sheetDataSet>
      <sheetData sheetId="0"/>
      <sheetData sheetId="1"/>
      <sheetData sheetId="2"/>
      <sheetData sheetId="3"/>
      <sheetData sheetId="4" refreshError="1"/>
      <sheetData sheetId="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Assumptions"/>
      <sheetName val="SCH03"/>
      <sheetName val="Control"/>
      <sheetName val="로담코총괄제안견적3"/>
      <sheetName val="노무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배정"/>
      <sheetName val="인원산출"/>
      <sheetName val="노무비"/>
      <sheetName val="운영"/>
      <sheetName val="장비"/>
      <sheetName val="견적"/>
      <sheetName val="견적서"/>
      <sheetName val="견적내역"/>
      <sheetName val="산출기준"/>
      <sheetName val="인건"/>
      <sheetName val="근무"/>
      <sheetName val="賃料等一覧"/>
      <sheetName val="상가매매0115"/>
      <sheetName val="상가임대0115"/>
      <sheetName val="받을어음"/>
      <sheetName val="인원계획-미화"/>
      <sheetName val="GVL"/>
      <sheetName val="한국중공업시설"/>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견적서"/>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익월작업계힉"/>
      <sheetName val="リスト"/>
      <sheetName val="회사정보"/>
      <sheetName val="Sheet1"/>
      <sheetName val="98지급계획"/>
      <sheetName val="전체손익"/>
      <sheetName val="Template"/>
      <sheetName val="LIST"/>
      <sheetName val="Data&amp;Result"/>
      <sheetName val="노무비"/>
      <sheetName val="총무팀"/>
      <sheetName val="마포-임현"/>
      <sheetName val="管理見積(ｶﾅｻﾞﾜ)"/>
      <sheetName val="지급어음(일별)"/>
      <sheetName val="현금흐름Ⅰ"/>
      <sheetName val="요율"/>
      <sheetName val="기준정보"/>
      <sheetName val="로담코총괄제안견적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 DETAILS IN"/>
      <sheetName val="2016 DETAILS IN (1)"/>
      <sheetName val="2016-Salary IN"/>
      <sheetName val="NOTE IN"/>
      <sheetName val="Comparison"/>
      <sheetName val="Comparison (2)"/>
      <sheetName val="인원계획-미화"/>
    </sheetNames>
    <sheetDataSet>
      <sheetData sheetId="0"/>
      <sheetData sheetId="1">
        <row r="6">
          <cell r="D6">
            <v>226338</v>
          </cell>
        </row>
      </sheetData>
      <sheetData sheetId="2"/>
      <sheetData sheetId="3">
        <row r="128">
          <cell r="E128">
            <v>1666.6666666666667</v>
          </cell>
        </row>
      </sheetData>
      <sheetData sheetId="4"/>
      <sheetData sheetId="5"/>
      <sheetData sheetId="6"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NCC"/>
      <sheetName val="NKC"/>
      <sheetName val="Sheet1"/>
      <sheetName val="Sheet2"/>
      <sheetName val="Sheet3"/>
      <sheetName val="Accrual Sep'17"/>
      <sheetName val="SC"/>
      <sheetName val="SCT"/>
      <sheetName val="BCDPS"/>
      <sheetName val="Budget Fro Aug To Dec2017"/>
      <sheetName val="131"/>
      <sheetName val="DMKH"/>
      <sheetName val="1311-MF"/>
      <sheetName val="1313-Water"/>
      <sheetName val="13881"/>
      <sheetName val="131-Other"/>
      <sheetName val="331 v2-Detail2"/>
      <sheetName val="VAT input recon"/>
      <sheetName val="VAT 31.07.17"/>
      <sheetName val="Need ajd"/>
      <sheetName val="MF_Staff cost"/>
      <sheetName val="Accrual"/>
      <sheetName val="Water"/>
      <sheetName val="133"/>
      <sheetName val="3331"/>
      <sheetName val="331-1"/>
      <sheetName val="331-2"/>
      <sheetName val="331-2015.2016"/>
      <sheetName val="1388-1"/>
      <sheetName val="331-2016"/>
      <sheetName val="331"/>
      <sheetName val="338821"/>
      <sheetName val="33882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0">
          <cell r="O30">
            <v>1019801780.72</v>
          </cell>
        </row>
        <row r="61">
          <cell r="O61">
            <v>0</v>
          </cell>
        </row>
        <row r="62">
          <cell r="O62">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Name val="Form PV"/>
      <sheetName val="VCB"/>
      <sheetName val="FD VCB"/>
      <sheetName val="HSBC"/>
      <sheetName val="FD HSBC"/>
      <sheetName val="Sheet1"/>
      <sheetName val="Sheet3"/>
    </sheetNames>
    <sheetDataSet>
      <sheetData sheetId="0"/>
      <sheetData sheetId="1"/>
      <sheetData sheetId="2"/>
      <sheetData sheetId="3"/>
      <sheetData sheetId="4"/>
      <sheetData sheetId="5">
        <row r="7">
          <cell r="M7">
            <v>186027778</v>
          </cell>
        </row>
        <row r="8">
          <cell r="M8">
            <v>186027778</v>
          </cell>
        </row>
        <row r="9">
          <cell r="M9">
            <v>187055556</v>
          </cell>
        </row>
        <row r="10">
          <cell r="M10">
            <v>186027778</v>
          </cell>
        </row>
        <row r="11">
          <cell r="M11">
            <v>249626667</v>
          </cell>
        </row>
        <row r="12">
          <cell r="M12">
            <v>313194444</v>
          </cell>
        </row>
        <row r="13">
          <cell r="M13">
            <v>317750000</v>
          </cell>
        </row>
        <row r="14">
          <cell r="M14">
            <v>313194444</v>
          </cell>
        </row>
        <row r="15">
          <cell r="M15">
            <v>312055556</v>
          </cell>
        </row>
        <row r="16">
          <cell r="M16">
            <v>15190000</v>
          </cell>
        </row>
        <row r="21">
          <cell r="E21">
            <v>6000000000</v>
          </cell>
        </row>
        <row r="22">
          <cell r="E22">
            <v>10000000000</v>
          </cell>
        </row>
        <row r="23">
          <cell r="E23">
            <v>10000000000</v>
          </cell>
        </row>
        <row r="24">
          <cell r="E24">
            <v>10000000000</v>
          </cell>
        </row>
        <row r="25">
          <cell r="E25">
            <v>10000000000</v>
          </cell>
        </row>
        <row r="26">
          <cell r="E26">
            <v>1500000000</v>
          </cell>
        </row>
        <row r="27">
          <cell r="E27">
            <v>2100000000</v>
          </cell>
        </row>
        <row r="28">
          <cell r="E28">
            <v>2500000000</v>
          </cell>
        </row>
        <row r="29">
          <cell r="E29">
            <v>1700000000</v>
          </cell>
        </row>
        <row r="30">
          <cell r="E30">
            <v>3000000000</v>
          </cell>
        </row>
        <row r="31">
          <cell r="E31">
            <v>3500000000</v>
          </cell>
        </row>
        <row r="39">
          <cell r="K39">
            <v>0</v>
          </cell>
        </row>
      </sheetData>
      <sheetData sheetId="6"/>
      <sheetData sheetId="7"/>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cation - MF"/>
      <sheetName val=" 2018"/>
      <sheetName val="2019"/>
      <sheetName val="2020"/>
      <sheetName val="2021"/>
      <sheetName val="2018-2022"/>
      <sheetName val="2022"/>
      <sheetName val="Allocation - SF"/>
      <sheetName val="Engineering - Breakdown - SF 20"/>
      <sheetName val=" SF 2019"/>
      <sheetName val="SF 2020"/>
      <sheetName val="SF 2021"/>
      <sheetName val="SF 202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9">
          <cell r="D9">
            <v>165000000</v>
          </cell>
        </row>
        <row r="10">
          <cell r="D10">
            <v>500000000</v>
          </cell>
        </row>
        <row r="14">
          <cell r="D14">
            <v>1560000000</v>
          </cell>
        </row>
        <row r="15">
          <cell r="D15">
            <v>2400000000</v>
          </cell>
        </row>
        <row r="17">
          <cell r="D17">
            <v>300000000</v>
          </cell>
        </row>
        <row r="21">
          <cell r="D21">
            <v>280000000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ge 1"/>
      <sheetName val="page 2"/>
      <sheetName val="page 3"/>
      <sheetName val="page 4"/>
      <sheetName val="page 5"/>
      <sheetName val="page 6"/>
      <sheetName val="page 7"/>
      <sheetName val="page 8-10"/>
      <sheetName val="page 11"/>
      <sheetName val="MTO REV.2(ARMOR)"/>
      <sheetName val="Training"/>
      <sheetName val="Facility Information"/>
      <sheetName val="General"/>
      <sheetName val="Instructions"/>
      <sheetName val="People"/>
      <sheetName val="Quality"/>
      <sheetName val="Risk"/>
      <sheetName val="Total Company"/>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U46"/>
  <sheetViews>
    <sheetView view="pageBreakPreview" zoomScale="85" zoomScaleNormal="100" zoomScaleSheetLayoutView="85" workbookViewId="0"/>
  </sheetViews>
  <sheetFormatPr defaultRowHeight="14.5" x14ac:dyDescent="0.35"/>
  <sheetData>
    <row r="23" spans="1:21" ht="38.5" x14ac:dyDescent="0.85">
      <c r="A23" s="1288" t="s">
        <v>1066</v>
      </c>
      <c r="B23" s="1289"/>
      <c r="C23" s="1289"/>
      <c r="D23" s="1289"/>
      <c r="E23" s="1289"/>
      <c r="F23" s="1289"/>
      <c r="G23" s="1289"/>
      <c r="H23" s="1289"/>
      <c r="I23" s="1289"/>
      <c r="J23" s="1289"/>
      <c r="K23" s="1289"/>
      <c r="L23" s="1289"/>
      <c r="M23" s="1289"/>
      <c r="N23" s="1289"/>
      <c r="O23" s="1289"/>
      <c r="P23" s="1289"/>
      <c r="Q23" s="1289"/>
      <c r="R23" s="1289"/>
      <c r="S23" s="1289"/>
      <c r="T23" s="1289"/>
      <c r="U23" s="1289"/>
    </row>
    <row r="24" spans="1:21" ht="38.5" x14ac:dyDescent="0.85">
      <c r="A24" s="1288" t="s">
        <v>1067</v>
      </c>
      <c r="B24" s="1289"/>
      <c r="C24" s="1289"/>
      <c r="D24" s="1289"/>
      <c r="E24" s="1289"/>
      <c r="F24" s="1289"/>
      <c r="G24" s="1289"/>
      <c r="H24" s="1289"/>
      <c r="I24" s="1289"/>
      <c r="J24" s="1289"/>
      <c r="K24" s="1289"/>
      <c r="L24" s="1289"/>
      <c r="M24" s="1289"/>
      <c r="N24" s="1289"/>
      <c r="O24" s="1289"/>
      <c r="P24" s="1289"/>
      <c r="Q24" s="1289"/>
      <c r="R24" s="1289"/>
      <c r="S24" s="1289"/>
      <c r="T24" s="1289"/>
      <c r="U24" s="1289"/>
    </row>
    <row r="25" spans="1:21" x14ac:dyDescent="0.35">
      <c r="A25" s="294"/>
      <c r="B25" s="294"/>
      <c r="C25" s="294"/>
      <c r="D25" s="294"/>
      <c r="E25" s="294"/>
      <c r="F25" s="294"/>
      <c r="G25" s="294"/>
      <c r="H25" s="294"/>
      <c r="I25" s="294"/>
      <c r="J25" s="294"/>
      <c r="K25" s="294"/>
      <c r="L25" s="294"/>
      <c r="M25" s="294"/>
      <c r="N25" s="294"/>
      <c r="O25" s="294"/>
      <c r="P25" s="294"/>
      <c r="Q25" s="294"/>
      <c r="R25" s="294"/>
      <c r="S25" s="294"/>
      <c r="T25" s="294"/>
      <c r="U25" s="294"/>
    </row>
    <row r="26" spans="1:21" ht="15.5" x14ac:dyDescent="0.35">
      <c r="A26" s="1290"/>
      <c r="B26" s="294"/>
      <c r="C26" s="294"/>
      <c r="D26" s="294"/>
      <c r="E26" s="294"/>
      <c r="F26" s="294"/>
      <c r="G26" s="294"/>
      <c r="H26" s="294"/>
      <c r="I26" s="294"/>
      <c r="J26" s="294"/>
      <c r="K26" s="294"/>
      <c r="L26" s="294"/>
      <c r="M26" s="294"/>
      <c r="N26" s="294"/>
      <c r="O26" s="294"/>
      <c r="P26" s="294"/>
      <c r="Q26" s="294"/>
      <c r="R26" s="294"/>
      <c r="S26" s="294"/>
      <c r="T26" s="294"/>
      <c r="U26" s="294"/>
    </row>
    <row r="29" spans="1:21" ht="19.5" x14ac:dyDescent="0.45">
      <c r="I29" s="1291" t="s">
        <v>163</v>
      </c>
      <c r="J29" s="1292" t="s">
        <v>1068</v>
      </c>
      <c r="K29" s="1293"/>
    </row>
    <row r="30" spans="1:21" ht="19.5" x14ac:dyDescent="0.45">
      <c r="I30" s="1291" t="s">
        <v>118</v>
      </c>
      <c r="J30" s="1292" t="s">
        <v>1069</v>
      </c>
      <c r="K30" s="1293"/>
    </row>
    <row r="46" spans="1:21" ht="19.5" x14ac:dyDescent="0.45">
      <c r="A46" s="1294" t="s">
        <v>1091</v>
      </c>
      <c r="B46" s="1295"/>
      <c r="C46" s="1295"/>
      <c r="D46" s="1295"/>
      <c r="E46" s="1295"/>
      <c r="F46" s="1295"/>
      <c r="G46" s="1295"/>
      <c r="H46" s="1295"/>
      <c r="I46" s="1295"/>
      <c r="J46" s="1294"/>
      <c r="K46" s="1295"/>
      <c r="L46" s="1295"/>
      <c r="M46" s="1295"/>
      <c r="N46" s="1295"/>
      <c r="O46" s="1295"/>
      <c r="P46" s="1295"/>
      <c r="Q46" s="1295"/>
      <c r="R46" s="1295"/>
      <c r="S46" s="1295"/>
      <c r="T46" s="1295"/>
      <c r="U46" s="1295"/>
    </row>
  </sheetData>
  <pageMargins left="0.7" right="0.7" top="0.75" bottom="0.75" header="0.3" footer="0.3"/>
  <pageSetup paperSize="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U159"/>
  <sheetViews>
    <sheetView zoomScaleNormal="100" workbookViewId="0">
      <pane xSplit="3" ySplit="6" topLeftCell="L93" activePane="bottomRight" state="frozen"/>
      <selection pane="topRight" activeCell="D1" sqref="D1"/>
      <selection pane="bottomLeft" activeCell="A12" sqref="A12"/>
      <selection pane="bottomRight" activeCell="T148" sqref="T148"/>
    </sheetView>
  </sheetViews>
  <sheetFormatPr defaultColWidth="9.1796875" defaultRowHeight="13" x14ac:dyDescent="0.3"/>
  <cols>
    <col min="1" max="1" width="6.26953125" style="681" customWidth="1"/>
    <col min="2" max="2" width="5" style="658" customWidth="1"/>
    <col min="3" max="3" width="36.26953125" style="121" customWidth="1"/>
    <col min="4" max="4" width="11.7265625" style="130" customWidth="1"/>
    <col min="5" max="5" width="9.1796875" style="130"/>
    <col min="6" max="6" width="14.81640625" style="130" customWidth="1"/>
    <col min="7" max="7" width="11.81640625" style="130" customWidth="1"/>
    <col min="8" max="20" width="14.81640625" style="130" customWidth="1"/>
    <col min="21" max="16384" width="9.1796875" style="121"/>
  </cols>
  <sheetData>
    <row r="1" spans="1:21" ht="17.25" customHeight="1" x14ac:dyDescent="0.3"/>
    <row r="2" spans="1:21" ht="29.25" customHeight="1" x14ac:dyDescent="0.5">
      <c r="A2" s="1045" t="s">
        <v>1044</v>
      </c>
      <c r="B2" s="1045"/>
      <c r="C2" s="1119"/>
      <c r="D2" s="1120"/>
      <c r="E2" s="1120"/>
      <c r="F2" s="1120"/>
      <c r="G2" s="1120"/>
      <c r="H2" s="1120"/>
      <c r="I2" s="1120"/>
      <c r="J2" s="1120"/>
      <c r="K2" s="1120"/>
      <c r="L2" s="1120"/>
      <c r="M2" s="1120"/>
      <c r="N2" s="1120"/>
      <c r="O2" s="1120"/>
      <c r="P2" s="1120"/>
      <c r="Q2" s="1120"/>
      <c r="R2" s="1120"/>
      <c r="S2" s="1120"/>
      <c r="T2" s="1120"/>
    </row>
    <row r="3" spans="1:21" ht="19" x14ac:dyDescent="0.4">
      <c r="A3" s="1121" t="s">
        <v>1064</v>
      </c>
      <c r="B3" s="1047"/>
      <c r="C3" s="1048"/>
      <c r="D3" s="1049"/>
      <c r="E3" s="1049"/>
      <c r="F3" s="1049"/>
      <c r="G3" s="1049"/>
      <c r="H3" s="1049"/>
      <c r="I3" s="1049"/>
      <c r="J3" s="1049"/>
      <c r="K3" s="1049"/>
      <c r="L3" s="1049"/>
      <c r="M3" s="1049"/>
      <c r="N3" s="1049"/>
      <c r="O3" s="1049"/>
      <c r="P3" s="1049"/>
      <c r="Q3" s="1049"/>
      <c r="R3" s="1049"/>
      <c r="S3" s="1049"/>
      <c r="T3" s="1049"/>
    </row>
    <row r="4" spans="1:21" ht="5.15" customHeight="1" x14ac:dyDescent="0.4">
      <c r="A4" s="1121"/>
      <c r="B4" s="1047"/>
      <c r="C4" s="1048"/>
      <c r="D4" s="1049"/>
      <c r="E4" s="1049"/>
      <c r="F4" s="1049"/>
      <c r="G4" s="1049"/>
      <c r="H4" s="1049"/>
      <c r="I4" s="1049"/>
      <c r="J4" s="1049"/>
      <c r="K4" s="1049"/>
      <c r="L4" s="1049"/>
      <c r="M4" s="1049"/>
      <c r="N4" s="1049"/>
      <c r="O4" s="1049"/>
      <c r="P4" s="1049"/>
      <c r="Q4" s="1049"/>
      <c r="R4" s="1049"/>
      <c r="S4" s="1049"/>
      <c r="T4" s="1049"/>
    </row>
    <row r="5" spans="1:21" ht="14.25" customHeight="1" x14ac:dyDescent="0.3"/>
    <row r="6" spans="1:21" s="657" customFormat="1" ht="26" x14ac:dyDescent="0.35">
      <c r="A6" s="683" t="s">
        <v>459</v>
      </c>
      <c r="B6" s="653"/>
      <c r="C6" s="653" t="s">
        <v>538</v>
      </c>
      <c r="D6" s="654" t="s">
        <v>539</v>
      </c>
      <c r="E6" s="654" t="s">
        <v>540</v>
      </c>
      <c r="F6" s="654" t="s">
        <v>542</v>
      </c>
      <c r="G6" s="654" t="s">
        <v>543</v>
      </c>
      <c r="H6" s="655">
        <v>43101</v>
      </c>
      <c r="I6" s="655">
        <f t="shared" ref="I6:S6" si="0">H6+31</f>
        <v>43132</v>
      </c>
      <c r="J6" s="655">
        <f t="shared" si="0"/>
        <v>43163</v>
      </c>
      <c r="K6" s="655">
        <f t="shared" si="0"/>
        <v>43194</v>
      </c>
      <c r="L6" s="655">
        <f t="shared" si="0"/>
        <v>43225</v>
      </c>
      <c r="M6" s="656">
        <f t="shared" si="0"/>
        <v>43256</v>
      </c>
      <c r="N6" s="656">
        <f t="shared" si="0"/>
        <v>43287</v>
      </c>
      <c r="O6" s="656">
        <f t="shared" si="0"/>
        <v>43318</v>
      </c>
      <c r="P6" s="656">
        <f t="shared" si="0"/>
        <v>43349</v>
      </c>
      <c r="Q6" s="656">
        <f t="shared" si="0"/>
        <v>43380</v>
      </c>
      <c r="R6" s="656">
        <f t="shared" si="0"/>
        <v>43411</v>
      </c>
      <c r="S6" s="656">
        <f t="shared" si="0"/>
        <v>43442</v>
      </c>
      <c r="T6" s="654" t="s">
        <v>616</v>
      </c>
    </row>
    <row r="7" spans="1:21" s="665" customFormat="1" ht="40" customHeight="1" x14ac:dyDescent="0.35">
      <c r="A7" s="659" t="s">
        <v>77</v>
      </c>
      <c r="B7" s="660" t="s">
        <v>77</v>
      </c>
      <c r="C7" s="661" t="s">
        <v>557</v>
      </c>
      <c r="D7" s="662"/>
      <c r="E7" s="662"/>
      <c r="F7" s="682"/>
      <c r="G7" s="663"/>
      <c r="H7" s="662"/>
      <c r="I7" s="662"/>
      <c r="J7" s="662"/>
      <c r="K7" s="662"/>
      <c r="L7" s="662"/>
      <c r="M7" s="662"/>
      <c r="N7" s="662"/>
      <c r="O7" s="662"/>
      <c r="P7" s="662"/>
      <c r="Q7" s="662"/>
      <c r="R7" s="662"/>
      <c r="S7" s="662"/>
      <c r="T7" s="1277"/>
    </row>
    <row r="8" spans="1:21" s="665" customFormat="1" ht="40" customHeight="1" x14ac:dyDescent="0.35">
      <c r="A8" s="659" t="s">
        <v>77</v>
      </c>
      <c r="B8" s="660" t="s">
        <v>249</v>
      </c>
      <c r="C8" s="666" t="s">
        <v>493</v>
      </c>
      <c r="D8" s="662"/>
      <c r="E8" s="662"/>
      <c r="F8" s="682">
        <f>'Depreciation - MF'!F8*1.1</f>
        <v>1320000</v>
      </c>
      <c r="G8" s="663">
        <f>'Depreciation - MF'!G8</f>
        <v>12</v>
      </c>
      <c r="H8" s="662"/>
      <c r="I8" s="662"/>
      <c r="J8" s="662">
        <f>600000*1.1</f>
        <v>660000</v>
      </c>
      <c r="K8" s="662"/>
      <c r="L8" s="662"/>
      <c r="M8" s="662"/>
      <c r="N8" s="662"/>
      <c r="O8" s="662"/>
      <c r="P8" s="662">
        <f>600000*1.1</f>
        <v>660000</v>
      </c>
      <c r="Q8" s="662"/>
      <c r="R8" s="662"/>
      <c r="S8" s="662"/>
      <c r="T8" s="1277">
        <f>SUM(H8:S8)</f>
        <v>1320000</v>
      </c>
      <c r="U8" s="708"/>
    </row>
    <row r="9" spans="1:21" s="665" customFormat="1" ht="40" customHeight="1" x14ac:dyDescent="0.35">
      <c r="A9" s="659" t="s">
        <v>77</v>
      </c>
      <c r="B9" s="660" t="s">
        <v>251</v>
      </c>
      <c r="C9" s="666" t="s">
        <v>494</v>
      </c>
      <c r="D9" s="662"/>
      <c r="E9" s="662"/>
      <c r="F9" s="682">
        <f>'Depreciation - MF'!F9*1.1</f>
        <v>11000000</v>
      </c>
      <c r="G9" s="663">
        <f>'Depreciation - MF'!G9</f>
        <v>12</v>
      </c>
      <c r="H9" s="662"/>
      <c r="I9" s="662"/>
      <c r="J9" s="662">
        <f>5000000*1.1</f>
        <v>5500000</v>
      </c>
      <c r="K9" s="662"/>
      <c r="L9" s="662"/>
      <c r="M9" s="662"/>
      <c r="N9" s="662"/>
      <c r="O9" s="662"/>
      <c r="P9" s="662">
        <f>5000000*1.1</f>
        <v>5500000</v>
      </c>
      <c r="Q9" s="662"/>
      <c r="R9" s="662"/>
      <c r="S9" s="662"/>
      <c r="T9" s="1277">
        <f>SUM(H9:S9)</f>
        <v>11000000</v>
      </c>
    </row>
    <row r="10" spans="1:21" s="665" customFormat="1" ht="40" customHeight="1" x14ac:dyDescent="0.35">
      <c r="A10" s="659" t="s">
        <v>77</v>
      </c>
      <c r="B10" s="660">
        <v>3</v>
      </c>
      <c r="C10" s="666" t="s">
        <v>238</v>
      </c>
      <c r="D10" s="662"/>
      <c r="E10" s="662"/>
      <c r="F10" s="682">
        <f>'Depreciation - MF'!F10*1.1</f>
        <v>22000000</v>
      </c>
      <c r="G10" s="663">
        <f>'Depreciation - MF'!G10</f>
        <v>12</v>
      </c>
      <c r="H10" s="662"/>
      <c r="I10" s="662"/>
      <c r="J10" s="662"/>
      <c r="K10" s="662"/>
      <c r="L10" s="662"/>
      <c r="M10" s="662">
        <f>10000000*1.1</f>
        <v>11000000</v>
      </c>
      <c r="N10" s="662"/>
      <c r="O10" s="662"/>
      <c r="P10" s="662"/>
      <c r="Q10" s="662"/>
      <c r="R10" s="662"/>
      <c r="S10" s="662">
        <f>10000000*1.1</f>
        <v>11000000</v>
      </c>
      <c r="T10" s="1277">
        <f>SUM(H10:S10)</f>
        <v>22000000</v>
      </c>
    </row>
    <row r="11" spans="1:21" s="665" customFormat="1" ht="40" customHeight="1" x14ac:dyDescent="0.35">
      <c r="A11" s="667" t="s">
        <v>597</v>
      </c>
      <c r="B11" s="668"/>
      <c r="C11" s="669" t="s">
        <v>557</v>
      </c>
      <c r="D11" s="670"/>
      <c r="E11" s="670"/>
      <c r="F11" s="670">
        <f>SUBTOTAL(9,F7:F10)</f>
        <v>34320000</v>
      </c>
      <c r="G11" s="670"/>
      <c r="H11" s="670">
        <f>SUBTOTAL(9,H7:H10)</f>
        <v>0</v>
      </c>
      <c r="I11" s="670">
        <f t="shared" ref="I11:S11" si="1">SUBTOTAL(9,I7:I10)</f>
        <v>0</v>
      </c>
      <c r="J11" s="670">
        <f t="shared" si="1"/>
        <v>6160000</v>
      </c>
      <c r="K11" s="670">
        <f t="shared" si="1"/>
        <v>0</v>
      </c>
      <c r="L11" s="670">
        <f t="shared" si="1"/>
        <v>0</v>
      </c>
      <c r="M11" s="670">
        <f t="shared" si="1"/>
        <v>11000000</v>
      </c>
      <c r="N11" s="670">
        <f t="shared" si="1"/>
        <v>0</v>
      </c>
      <c r="O11" s="670">
        <f t="shared" si="1"/>
        <v>0</v>
      </c>
      <c r="P11" s="670">
        <f t="shared" si="1"/>
        <v>6160000</v>
      </c>
      <c r="Q11" s="670">
        <f t="shared" si="1"/>
        <v>0</v>
      </c>
      <c r="R11" s="670">
        <f t="shared" si="1"/>
        <v>0</v>
      </c>
      <c r="S11" s="670">
        <f t="shared" si="1"/>
        <v>11000000</v>
      </c>
      <c r="T11" s="670">
        <f>SUBTOTAL(9,T7:T10)</f>
        <v>34320000</v>
      </c>
    </row>
    <row r="12" spans="1:21" s="665" customFormat="1" ht="40" customHeight="1" x14ac:dyDescent="0.35">
      <c r="A12" s="659" t="s">
        <v>75</v>
      </c>
      <c r="B12" s="660" t="s">
        <v>75</v>
      </c>
      <c r="C12" s="661" t="s">
        <v>551</v>
      </c>
      <c r="D12" s="662"/>
      <c r="E12" s="662"/>
      <c r="F12" s="682"/>
      <c r="G12" s="663"/>
      <c r="H12" s="662"/>
      <c r="I12" s="662"/>
      <c r="J12" s="662"/>
      <c r="K12" s="662"/>
      <c r="L12" s="662"/>
      <c r="M12" s="662"/>
      <c r="N12" s="662"/>
      <c r="O12" s="662"/>
      <c r="P12" s="662"/>
      <c r="Q12" s="662"/>
      <c r="R12" s="662"/>
      <c r="S12" s="662"/>
      <c r="T12" s="1277"/>
    </row>
    <row r="13" spans="1:21" s="665" customFormat="1" ht="40" customHeight="1" x14ac:dyDescent="0.35">
      <c r="A13" s="659" t="s">
        <v>75</v>
      </c>
      <c r="B13" s="660">
        <v>1</v>
      </c>
      <c r="C13" s="666" t="s">
        <v>281</v>
      </c>
      <c r="D13" s="662"/>
      <c r="E13" s="662"/>
      <c r="F13" s="682">
        <f>'Depreciation - MF'!F13*1.1</f>
        <v>1840740000.0000002</v>
      </c>
      <c r="G13" s="663">
        <f>'Depreciation - MF'!G13</f>
        <v>12</v>
      </c>
      <c r="H13" s="662">
        <f>1578360000/12*1.1</f>
        <v>144683000</v>
      </c>
      <c r="I13" s="662">
        <f t="shared" ref="I13:S13" si="2">H13</f>
        <v>144683000</v>
      </c>
      <c r="J13" s="662">
        <f t="shared" si="2"/>
        <v>144683000</v>
      </c>
      <c r="K13" s="662">
        <f>1705080000/12*1.1</f>
        <v>156299000</v>
      </c>
      <c r="L13" s="662">
        <f t="shared" si="2"/>
        <v>156299000</v>
      </c>
      <c r="M13" s="662">
        <f t="shared" si="2"/>
        <v>156299000</v>
      </c>
      <c r="N13" s="662">
        <f t="shared" si="2"/>
        <v>156299000</v>
      </c>
      <c r="O13" s="662">
        <f t="shared" si="2"/>
        <v>156299000</v>
      </c>
      <c r="P13" s="662">
        <f t="shared" si="2"/>
        <v>156299000</v>
      </c>
      <c r="Q13" s="662">
        <f t="shared" si="2"/>
        <v>156299000</v>
      </c>
      <c r="R13" s="662">
        <f t="shared" si="2"/>
        <v>156299000</v>
      </c>
      <c r="S13" s="662">
        <f t="shared" si="2"/>
        <v>156299000</v>
      </c>
      <c r="T13" s="1277">
        <f>SUM(H13:S13)</f>
        <v>1840740000</v>
      </c>
    </row>
    <row r="14" spans="1:21" s="665" customFormat="1" ht="40" customHeight="1" x14ac:dyDescent="0.35">
      <c r="A14" s="667" t="s">
        <v>599</v>
      </c>
      <c r="B14" s="668"/>
      <c r="C14" s="669" t="s">
        <v>551</v>
      </c>
      <c r="D14" s="670"/>
      <c r="E14" s="670"/>
      <c r="F14" s="670">
        <f>SUBTOTAL(9,F13:F13)</f>
        <v>1840740000.0000002</v>
      </c>
      <c r="G14" s="670"/>
      <c r="H14" s="670">
        <f t="shared" ref="H14:T14" si="3">SUBTOTAL(9,H13:H13)</f>
        <v>144683000</v>
      </c>
      <c r="I14" s="670">
        <f t="shared" si="3"/>
        <v>144683000</v>
      </c>
      <c r="J14" s="670">
        <f t="shared" si="3"/>
        <v>144683000</v>
      </c>
      <c r="K14" s="670">
        <f t="shared" si="3"/>
        <v>156299000</v>
      </c>
      <c r="L14" s="670">
        <f t="shared" si="3"/>
        <v>156299000</v>
      </c>
      <c r="M14" s="670">
        <f t="shared" si="3"/>
        <v>156299000</v>
      </c>
      <c r="N14" s="670">
        <f t="shared" si="3"/>
        <v>156299000</v>
      </c>
      <c r="O14" s="670">
        <f t="shared" si="3"/>
        <v>156299000</v>
      </c>
      <c r="P14" s="670">
        <f t="shared" si="3"/>
        <v>156299000</v>
      </c>
      <c r="Q14" s="670">
        <f t="shared" si="3"/>
        <v>156299000</v>
      </c>
      <c r="R14" s="670">
        <f t="shared" si="3"/>
        <v>156299000</v>
      </c>
      <c r="S14" s="670">
        <f t="shared" si="3"/>
        <v>156299000</v>
      </c>
      <c r="T14" s="670">
        <f t="shared" si="3"/>
        <v>1840740000</v>
      </c>
    </row>
    <row r="15" spans="1:21" s="665" customFormat="1" ht="40" customHeight="1" x14ac:dyDescent="0.35">
      <c r="A15" s="659" t="s">
        <v>73</v>
      </c>
      <c r="B15" s="660" t="s">
        <v>73</v>
      </c>
      <c r="C15" s="661" t="s">
        <v>559</v>
      </c>
      <c r="D15" s="662"/>
      <c r="E15" s="662"/>
      <c r="F15" s="682"/>
      <c r="G15" s="663"/>
      <c r="H15" s="662"/>
      <c r="I15" s="662"/>
      <c r="J15" s="662"/>
      <c r="K15" s="662"/>
      <c r="L15" s="662"/>
      <c r="M15" s="662"/>
      <c r="N15" s="662"/>
      <c r="O15" s="662"/>
      <c r="P15" s="662"/>
      <c r="Q15" s="662"/>
      <c r="R15" s="662"/>
      <c r="S15" s="662"/>
      <c r="T15" s="1277"/>
    </row>
    <row r="16" spans="1:21" s="665" customFormat="1" ht="40" customHeight="1" x14ac:dyDescent="0.35">
      <c r="A16" s="659" t="s">
        <v>73</v>
      </c>
      <c r="B16" s="660">
        <v>1</v>
      </c>
      <c r="C16" s="666" t="s">
        <v>285</v>
      </c>
      <c r="D16" s="662"/>
      <c r="E16" s="662"/>
      <c r="F16" s="682">
        <f>'Depreciation - MF'!F16*1.1</f>
        <v>78408000</v>
      </c>
      <c r="G16" s="663">
        <f>'Depreciation - MF'!G16</f>
        <v>12</v>
      </c>
      <c r="H16" s="662"/>
      <c r="I16" s="662"/>
      <c r="J16" s="662">
        <f>17820000*1.1</f>
        <v>19602000</v>
      </c>
      <c r="K16" s="662"/>
      <c r="L16" s="662"/>
      <c r="M16" s="662">
        <f>17820000*1.1</f>
        <v>19602000</v>
      </c>
      <c r="N16" s="662"/>
      <c r="O16" s="662"/>
      <c r="P16" s="662">
        <f>17820000*1.1</f>
        <v>19602000</v>
      </c>
      <c r="Q16" s="662"/>
      <c r="R16" s="662"/>
      <c r="S16" s="662">
        <f>17820000*1.1</f>
        <v>19602000</v>
      </c>
      <c r="T16" s="1277">
        <f t="shared" ref="T16:T21" si="4">SUM(H16:S16)</f>
        <v>78408000</v>
      </c>
    </row>
    <row r="17" spans="1:20" s="665" customFormat="1" ht="40" customHeight="1" x14ac:dyDescent="0.35">
      <c r="A17" s="659" t="s">
        <v>73</v>
      </c>
      <c r="B17" s="660">
        <v>2.1</v>
      </c>
      <c r="C17" s="666" t="s">
        <v>239</v>
      </c>
      <c r="D17" s="662"/>
      <c r="E17" s="662"/>
      <c r="F17" s="682">
        <f>'Depreciation - MF'!F17*1.1</f>
        <v>19800000</v>
      </c>
      <c r="G17" s="663">
        <f>'Depreciation - MF'!G17</f>
        <v>24</v>
      </c>
      <c r="H17" s="662"/>
      <c r="I17" s="662"/>
      <c r="J17" s="662"/>
      <c r="K17" s="662">
        <f>18000000*1.1</f>
        <v>19800000</v>
      </c>
      <c r="L17" s="662"/>
      <c r="M17" s="662"/>
      <c r="N17" s="662"/>
      <c r="O17" s="662"/>
      <c r="P17" s="662"/>
      <c r="Q17" s="662"/>
      <c r="R17" s="662"/>
      <c r="S17" s="662"/>
      <c r="T17" s="1277">
        <f t="shared" si="4"/>
        <v>19800000</v>
      </c>
    </row>
    <row r="18" spans="1:20" s="665" customFormat="1" ht="40" customHeight="1" x14ac:dyDescent="0.35">
      <c r="A18" s="659" t="s">
        <v>73</v>
      </c>
      <c r="B18" s="660">
        <v>2.2000000000000002</v>
      </c>
      <c r="C18" s="666" t="s">
        <v>241</v>
      </c>
      <c r="D18" s="662"/>
      <c r="E18" s="662"/>
      <c r="F18" s="682">
        <f>'Depreciation - MF'!F18*1.1</f>
        <v>6600000.0000000009</v>
      </c>
      <c r="G18" s="663">
        <f>'Depreciation - MF'!G18</f>
        <v>12</v>
      </c>
      <c r="H18" s="662"/>
      <c r="I18" s="662"/>
      <c r="J18" s="662"/>
      <c r="K18" s="662">
        <f>6000000*1.1</f>
        <v>6600000.0000000009</v>
      </c>
      <c r="L18" s="662"/>
      <c r="M18" s="662"/>
      <c r="N18" s="662"/>
      <c r="O18" s="662"/>
      <c r="P18" s="662"/>
      <c r="Q18" s="662"/>
      <c r="R18" s="662"/>
      <c r="S18" s="662"/>
      <c r="T18" s="1277">
        <f t="shared" si="4"/>
        <v>6600000.0000000009</v>
      </c>
    </row>
    <row r="19" spans="1:20" s="665" customFormat="1" ht="40" customHeight="1" x14ac:dyDescent="0.35">
      <c r="A19" s="659" t="s">
        <v>73</v>
      </c>
      <c r="B19" s="660">
        <v>2.2999999999999998</v>
      </c>
      <c r="C19" s="666" t="s">
        <v>243</v>
      </c>
      <c r="D19" s="662"/>
      <c r="E19" s="662"/>
      <c r="F19" s="682">
        <f>'Depreciation - MF'!F19*1.1</f>
        <v>3300000.0000000005</v>
      </c>
      <c r="G19" s="663">
        <f>'Depreciation - MF'!G19</f>
        <v>12</v>
      </c>
      <c r="H19" s="662"/>
      <c r="I19" s="662"/>
      <c r="J19" s="662"/>
      <c r="K19" s="662"/>
      <c r="L19" s="662"/>
      <c r="M19" s="662"/>
      <c r="N19" s="662"/>
      <c r="O19" s="662"/>
      <c r="P19" s="662"/>
      <c r="Q19" s="662">
        <f>3000000*1.1</f>
        <v>3300000.0000000005</v>
      </c>
      <c r="R19" s="662"/>
      <c r="S19" s="662"/>
      <c r="T19" s="1277">
        <f t="shared" si="4"/>
        <v>3300000.0000000005</v>
      </c>
    </row>
    <row r="20" spans="1:20" s="665" customFormat="1" ht="40" customHeight="1" x14ac:dyDescent="0.35">
      <c r="A20" s="659" t="s">
        <v>73</v>
      </c>
      <c r="B20" s="660">
        <v>2.4</v>
      </c>
      <c r="C20" s="666" t="s">
        <v>463</v>
      </c>
      <c r="D20" s="662"/>
      <c r="E20" s="662"/>
      <c r="F20" s="682">
        <f>'Depreciation - MF'!F20*1.1</f>
        <v>44550000</v>
      </c>
      <c r="G20" s="663">
        <f>'Depreciation - MF'!G20</f>
        <v>12</v>
      </c>
      <c r="H20" s="662"/>
      <c r="I20" s="662"/>
      <c r="J20" s="662"/>
      <c r="K20" s="662"/>
      <c r="L20" s="662"/>
      <c r="M20" s="662">
        <f>40500000*1.1</f>
        <v>44550000</v>
      </c>
      <c r="N20" s="662"/>
      <c r="O20" s="662"/>
      <c r="P20" s="662"/>
      <c r="Q20" s="662"/>
      <c r="R20" s="662"/>
      <c r="S20" s="662"/>
      <c r="T20" s="1277">
        <f t="shared" si="4"/>
        <v>44550000</v>
      </c>
    </row>
    <row r="21" spans="1:20" s="665" customFormat="1" ht="40" customHeight="1" x14ac:dyDescent="0.35">
      <c r="A21" s="659" t="s">
        <v>73</v>
      </c>
      <c r="B21" s="660">
        <v>2.5</v>
      </c>
      <c r="C21" s="666" t="s">
        <v>464</v>
      </c>
      <c r="D21" s="662"/>
      <c r="E21" s="662"/>
      <c r="F21" s="682">
        <f>'Depreciation - MF'!F21*1.1</f>
        <v>94050000.000000015</v>
      </c>
      <c r="G21" s="663">
        <f>'Depreciation - MF'!G21</f>
        <v>12</v>
      </c>
      <c r="H21" s="662"/>
      <c r="I21" s="662"/>
      <c r="J21" s="662"/>
      <c r="K21" s="662"/>
      <c r="L21" s="662"/>
      <c r="M21" s="662">
        <f>85500000*1.1</f>
        <v>94050000.000000015</v>
      </c>
      <c r="N21" s="662"/>
      <c r="O21" s="662"/>
      <c r="P21" s="662"/>
      <c r="Q21" s="662"/>
      <c r="R21" s="662"/>
      <c r="S21" s="662"/>
      <c r="T21" s="1277">
        <f t="shared" si="4"/>
        <v>94050000.000000015</v>
      </c>
    </row>
    <row r="22" spans="1:20" s="665" customFormat="1" ht="40" customHeight="1" x14ac:dyDescent="0.35">
      <c r="A22" s="659" t="s">
        <v>73</v>
      </c>
      <c r="B22" s="660">
        <v>2.6</v>
      </c>
      <c r="C22" s="666" t="s">
        <v>465</v>
      </c>
      <c r="D22" s="662"/>
      <c r="E22" s="662"/>
      <c r="F22" s="682">
        <f>'Depreciation - MF'!F22*1.1</f>
        <v>66000000.000000007</v>
      </c>
      <c r="G22" s="663">
        <f>'Depreciation - MF'!G22</f>
        <v>12</v>
      </c>
      <c r="H22" s="662"/>
      <c r="I22" s="662"/>
      <c r="J22" s="662"/>
      <c r="K22" s="662"/>
      <c r="L22" s="662"/>
      <c r="M22" s="662">
        <f>60000000*1.1</f>
        <v>66000000.000000007</v>
      </c>
      <c r="N22" s="662"/>
      <c r="O22" s="662"/>
      <c r="P22" s="662"/>
      <c r="Q22" s="662"/>
      <c r="R22" s="662"/>
      <c r="S22" s="662"/>
      <c r="T22" s="1277">
        <f>SUM(H22:S22)</f>
        <v>66000000.000000007</v>
      </c>
    </row>
    <row r="23" spans="1:20" s="665" customFormat="1" ht="40" customHeight="1" x14ac:dyDescent="0.35">
      <c r="A23" s="667" t="s">
        <v>600</v>
      </c>
      <c r="B23" s="668"/>
      <c r="C23" s="669" t="s">
        <v>559</v>
      </c>
      <c r="D23" s="670"/>
      <c r="E23" s="670"/>
      <c r="F23" s="670">
        <f>SUBTOTAL(9,F15:F22)</f>
        <v>312708000</v>
      </c>
      <c r="G23" s="670"/>
      <c r="H23" s="670">
        <f t="shared" ref="H23:T23" si="5">SUBTOTAL(9,H15:H22)</f>
        <v>0</v>
      </c>
      <c r="I23" s="670">
        <f t="shared" si="5"/>
        <v>0</v>
      </c>
      <c r="J23" s="670">
        <f t="shared" si="5"/>
        <v>19602000</v>
      </c>
      <c r="K23" s="670">
        <f t="shared" si="5"/>
        <v>26400000</v>
      </c>
      <c r="L23" s="670">
        <f t="shared" si="5"/>
        <v>0</v>
      </c>
      <c r="M23" s="670">
        <f t="shared" si="5"/>
        <v>224202000</v>
      </c>
      <c r="N23" s="670">
        <f t="shared" si="5"/>
        <v>0</v>
      </c>
      <c r="O23" s="670">
        <f t="shared" si="5"/>
        <v>0</v>
      </c>
      <c r="P23" s="670">
        <f t="shared" si="5"/>
        <v>19602000</v>
      </c>
      <c r="Q23" s="670">
        <f t="shared" si="5"/>
        <v>3300000.0000000005</v>
      </c>
      <c r="R23" s="670">
        <f t="shared" si="5"/>
        <v>0</v>
      </c>
      <c r="S23" s="670">
        <f t="shared" si="5"/>
        <v>19602000</v>
      </c>
      <c r="T23" s="670">
        <f t="shared" si="5"/>
        <v>312708000</v>
      </c>
    </row>
    <row r="24" spans="1:20" s="665" customFormat="1" ht="40" customHeight="1" x14ac:dyDescent="0.35">
      <c r="A24" s="659" t="s">
        <v>67</v>
      </c>
      <c r="B24" s="660" t="s">
        <v>67</v>
      </c>
      <c r="C24" s="661" t="s">
        <v>561</v>
      </c>
      <c r="D24" s="662"/>
      <c r="E24" s="662"/>
      <c r="F24" s="682"/>
      <c r="G24" s="663"/>
      <c r="H24" s="662"/>
      <c r="I24" s="662"/>
      <c r="J24" s="662"/>
      <c r="K24" s="662"/>
      <c r="L24" s="662"/>
      <c r="M24" s="662"/>
      <c r="N24" s="662"/>
      <c r="O24" s="662"/>
      <c r="P24" s="662"/>
      <c r="Q24" s="662"/>
      <c r="R24" s="662"/>
      <c r="S24" s="662"/>
      <c r="T24" s="1277"/>
    </row>
    <row r="25" spans="1:20" s="665" customFormat="1" ht="40" customHeight="1" x14ac:dyDescent="0.35">
      <c r="A25" s="659" t="s">
        <v>67</v>
      </c>
      <c r="B25" s="660">
        <v>1</v>
      </c>
      <c r="C25" s="666" t="s">
        <v>285</v>
      </c>
      <c r="D25" s="662"/>
      <c r="E25" s="662"/>
      <c r="F25" s="682">
        <f>'Depreciation - MF'!F25*1.1</f>
        <v>275000000</v>
      </c>
      <c r="G25" s="663">
        <f>'Depreciation - MF'!G25</f>
        <v>12</v>
      </c>
      <c r="H25" s="662">
        <f>125000000*1.1</f>
        <v>137500000</v>
      </c>
      <c r="I25" s="662"/>
      <c r="J25" s="662"/>
      <c r="K25" s="662"/>
      <c r="L25" s="662"/>
      <c r="M25" s="662">
        <f>125000000*1.1</f>
        <v>137500000</v>
      </c>
      <c r="N25" s="662"/>
      <c r="O25" s="662"/>
      <c r="P25" s="662"/>
      <c r="Q25" s="662"/>
      <c r="R25" s="662"/>
      <c r="S25" s="662"/>
      <c r="T25" s="1277">
        <f t="shared" ref="T25:T33" si="6">SUM(H25:S25)</f>
        <v>275000000</v>
      </c>
    </row>
    <row r="26" spans="1:20" s="665" customFormat="1" ht="40" customHeight="1" x14ac:dyDescent="0.35">
      <c r="A26" s="659" t="s">
        <v>67</v>
      </c>
      <c r="B26" s="660">
        <v>2.1</v>
      </c>
      <c r="C26" s="666" t="s">
        <v>244</v>
      </c>
      <c r="D26" s="662"/>
      <c r="E26" s="662"/>
      <c r="F26" s="682">
        <f>'Depreciation - MF'!F26*1.1</f>
        <v>33000000.000000004</v>
      </c>
      <c r="G26" s="663">
        <f>'Depreciation - MF'!G26</f>
        <v>12</v>
      </c>
      <c r="H26" s="662"/>
      <c r="I26" s="662"/>
      <c r="J26" s="662"/>
      <c r="K26" s="662"/>
      <c r="L26" s="662">
        <f>30000000*1.1</f>
        <v>33000000.000000004</v>
      </c>
      <c r="M26" s="662"/>
      <c r="N26" s="662"/>
      <c r="O26" s="662"/>
      <c r="P26" s="662"/>
      <c r="Q26" s="662"/>
      <c r="R26" s="662"/>
      <c r="S26" s="662"/>
      <c r="T26" s="1277">
        <f t="shared" si="6"/>
        <v>33000000.000000004</v>
      </c>
    </row>
    <row r="27" spans="1:20" s="665" customFormat="1" ht="40" customHeight="1" x14ac:dyDescent="0.35">
      <c r="A27" s="659" t="s">
        <v>67</v>
      </c>
      <c r="B27" s="660">
        <v>2.2000000000000002</v>
      </c>
      <c r="C27" s="666" t="s">
        <v>325</v>
      </c>
      <c r="D27" s="662"/>
      <c r="E27" s="662"/>
      <c r="F27" s="682">
        <f>'Depreciation - MF'!F27*1.1</f>
        <v>80625600</v>
      </c>
      <c r="G27" s="663">
        <f>'Depreciation - MF'!G27</f>
        <v>12</v>
      </c>
      <c r="H27" s="662"/>
      <c r="I27" s="662"/>
      <c r="J27" s="662"/>
      <c r="K27" s="662"/>
      <c r="L27" s="662"/>
      <c r="M27" s="662"/>
      <c r="N27" s="662"/>
      <c r="O27" s="662"/>
      <c r="P27" s="662"/>
      <c r="Q27" s="662">
        <f>F27</f>
        <v>80625600</v>
      </c>
      <c r="R27" s="662"/>
      <c r="S27" s="662"/>
      <c r="T27" s="1277">
        <f t="shared" si="6"/>
        <v>80625600</v>
      </c>
    </row>
    <row r="28" spans="1:20" s="665" customFormat="1" ht="40" customHeight="1" x14ac:dyDescent="0.35">
      <c r="A28" s="659" t="s">
        <v>67</v>
      </c>
      <c r="B28" s="660">
        <v>2.2999999999999998</v>
      </c>
      <c r="C28" s="666" t="s">
        <v>487</v>
      </c>
      <c r="D28" s="662"/>
      <c r="E28" s="662"/>
      <c r="F28" s="682">
        <f>'Depreciation - MF'!F28*1.1</f>
        <v>42900000</v>
      </c>
      <c r="G28" s="663">
        <f>'Depreciation - MF'!G28</f>
        <v>12</v>
      </c>
      <c r="H28" s="662"/>
      <c r="I28" s="662"/>
      <c r="J28" s="662"/>
      <c r="K28" s="662"/>
      <c r="L28" s="662">
        <f>19500000*1.1</f>
        <v>21450000</v>
      </c>
      <c r="M28" s="662"/>
      <c r="N28" s="662"/>
      <c r="O28" s="662"/>
      <c r="P28" s="662"/>
      <c r="Q28" s="662"/>
      <c r="R28" s="662">
        <f>19500000*1.1</f>
        <v>21450000</v>
      </c>
      <c r="S28" s="662"/>
      <c r="T28" s="1277">
        <f t="shared" si="6"/>
        <v>42900000</v>
      </c>
    </row>
    <row r="29" spans="1:20" s="665" customFormat="1" ht="40" customHeight="1" x14ac:dyDescent="0.35">
      <c r="A29" s="659" t="s">
        <v>67</v>
      </c>
      <c r="B29" s="660">
        <v>2.4</v>
      </c>
      <c r="C29" s="666" t="s">
        <v>488</v>
      </c>
      <c r="D29" s="662"/>
      <c r="E29" s="662"/>
      <c r="F29" s="682">
        <f>'Depreciation - MF'!F29*1.1</f>
        <v>11000000</v>
      </c>
      <c r="G29" s="663">
        <f>'Depreciation - MF'!G29</f>
        <v>12</v>
      </c>
      <c r="H29" s="662"/>
      <c r="I29" s="662"/>
      <c r="J29" s="662"/>
      <c r="K29" s="662"/>
      <c r="L29" s="662">
        <f>5000000*1.1</f>
        <v>5500000</v>
      </c>
      <c r="M29" s="662"/>
      <c r="N29" s="662"/>
      <c r="O29" s="662"/>
      <c r="P29" s="662"/>
      <c r="Q29" s="662"/>
      <c r="R29" s="662">
        <f>5000000*1.1</f>
        <v>5500000</v>
      </c>
      <c r="S29" s="662"/>
      <c r="T29" s="1277">
        <f t="shared" si="6"/>
        <v>11000000</v>
      </c>
    </row>
    <row r="30" spans="1:20" s="665" customFormat="1" ht="40" customHeight="1" x14ac:dyDescent="0.35">
      <c r="A30" s="659" t="s">
        <v>67</v>
      </c>
      <c r="B30" s="660">
        <v>2.5</v>
      </c>
      <c r="C30" s="666" t="s">
        <v>489</v>
      </c>
      <c r="D30" s="662"/>
      <c r="E30" s="662"/>
      <c r="F30" s="682">
        <f>'Depreciation - MF'!F30*1.1</f>
        <v>21560000</v>
      </c>
      <c r="G30" s="663">
        <f>'Depreciation - MF'!G30</f>
        <v>12</v>
      </c>
      <c r="H30" s="662"/>
      <c r="I30" s="662"/>
      <c r="J30" s="662"/>
      <c r="K30" s="662"/>
      <c r="L30" s="662">
        <f>9800000*1.1</f>
        <v>10780000</v>
      </c>
      <c r="M30" s="662"/>
      <c r="N30" s="662"/>
      <c r="O30" s="662"/>
      <c r="P30" s="662"/>
      <c r="Q30" s="662"/>
      <c r="R30" s="662">
        <f>9800000*1.1</f>
        <v>10780000</v>
      </c>
      <c r="S30" s="662"/>
      <c r="T30" s="1277">
        <f t="shared" si="6"/>
        <v>21560000</v>
      </c>
    </row>
    <row r="31" spans="1:20" s="665" customFormat="1" ht="40" customHeight="1" x14ac:dyDescent="0.35">
      <c r="A31" s="659" t="s">
        <v>67</v>
      </c>
      <c r="B31" s="660">
        <v>2.6</v>
      </c>
      <c r="C31" s="666" t="s">
        <v>490</v>
      </c>
      <c r="D31" s="662"/>
      <c r="E31" s="662"/>
      <c r="F31" s="682">
        <f>'Depreciation - MF'!F31*1.1</f>
        <v>660000</v>
      </c>
      <c r="G31" s="663">
        <f>'Depreciation - MF'!G31</f>
        <v>12</v>
      </c>
      <c r="H31" s="662"/>
      <c r="I31" s="662"/>
      <c r="J31" s="662"/>
      <c r="K31" s="662"/>
      <c r="L31" s="662"/>
      <c r="M31" s="662">
        <f>600000*1.1</f>
        <v>660000</v>
      </c>
      <c r="N31" s="662"/>
      <c r="O31" s="662"/>
      <c r="P31" s="662"/>
      <c r="Q31" s="662"/>
      <c r="R31" s="662"/>
      <c r="S31" s="662"/>
      <c r="T31" s="1277">
        <f t="shared" si="6"/>
        <v>660000</v>
      </c>
    </row>
    <row r="32" spans="1:20" s="665" customFormat="1" ht="40" customHeight="1" x14ac:dyDescent="0.35">
      <c r="A32" s="659" t="s">
        <v>67</v>
      </c>
      <c r="B32" s="660">
        <v>2.7</v>
      </c>
      <c r="C32" s="666" t="s">
        <v>491</v>
      </c>
      <c r="D32" s="662"/>
      <c r="E32" s="662"/>
      <c r="F32" s="682">
        <f>'Depreciation - MF'!F32*1.1</f>
        <v>2750000</v>
      </c>
      <c r="G32" s="663">
        <f>'Depreciation - MF'!G32</f>
        <v>12</v>
      </c>
      <c r="H32" s="662"/>
      <c r="I32" s="662"/>
      <c r="J32" s="662"/>
      <c r="K32" s="662"/>
      <c r="L32" s="662"/>
      <c r="M32" s="662">
        <f>2500000*1.1</f>
        <v>2750000</v>
      </c>
      <c r="N32" s="662"/>
      <c r="O32" s="662"/>
      <c r="P32" s="662"/>
      <c r="Q32" s="662"/>
      <c r="R32" s="662"/>
      <c r="S32" s="662"/>
      <c r="T32" s="1277">
        <f t="shared" si="6"/>
        <v>2750000</v>
      </c>
    </row>
    <row r="33" spans="1:20" s="665" customFormat="1" ht="40" customHeight="1" x14ac:dyDescent="0.35">
      <c r="A33" s="659" t="s">
        <v>67</v>
      </c>
      <c r="B33" s="660">
        <v>2.8</v>
      </c>
      <c r="C33" s="666" t="s">
        <v>246</v>
      </c>
      <c r="D33" s="662"/>
      <c r="E33" s="662"/>
      <c r="F33" s="682">
        <f>'Depreciation - MF'!F33*1.1</f>
        <v>22000000</v>
      </c>
      <c r="G33" s="663">
        <f>'Depreciation - MF'!G33</f>
        <v>12</v>
      </c>
      <c r="H33" s="662"/>
      <c r="I33" s="662"/>
      <c r="J33" s="662"/>
      <c r="K33" s="662"/>
      <c r="L33" s="662"/>
      <c r="M33" s="662"/>
      <c r="N33" s="662"/>
      <c r="O33" s="662"/>
      <c r="P33" s="662"/>
      <c r="Q33" s="662"/>
      <c r="R33" s="662"/>
      <c r="S33" s="662">
        <f>20000000*1.1</f>
        <v>22000000</v>
      </c>
      <c r="T33" s="1277">
        <f t="shared" si="6"/>
        <v>22000000</v>
      </c>
    </row>
    <row r="34" spans="1:20" s="665" customFormat="1" ht="40" customHeight="1" x14ac:dyDescent="0.35">
      <c r="A34" s="667" t="s">
        <v>601</v>
      </c>
      <c r="B34" s="668"/>
      <c r="C34" s="669" t="s">
        <v>561</v>
      </c>
      <c r="D34" s="670"/>
      <c r="E34" s="670"/>
      <c r="F34" s="670">
        <f>SUBTOTAL(9,F24:F33)</f>
        <v>489495600</v>
      </c>
      <c r="G34" s="670"/>
      <c r="H34" s="670">
        <f t="shared" ref="H34:T34" si="7">SUBTOTAL(9,H24:H33)</f>
        <v>137500000</v>
      </c>
      <c r="I34" s="670">
        <f t="shared" si="7"/>
        <v>0</v>
      </c>
      <c r="J34" s="670">
        <f t="shared" si="7"/>
        <v>0</v>
      </c>
      <c r="K34" s="670">
        <f t="shared" si="7"/>
        <v>0</v>
      </c>
      <c r="L34" s="670">
        <f t="shared" si="7"/>
        <v>70730000</v>
      </c>
      <c r="M34" s="670">
        <f t="shared" si="7"/>
        <v>140910000</v>
      </c>
      <c r="N34" s="670">
        <f t="shared" si="7"/>
        <v>0</v>
      </c>
      <c r="O34" s="670">
        <f t="shared" si="7"/>
        <v>0</v>
      </c>
      <c r="P34" s="670">
        <f t="shared" si="7"/>
        <v>0</v>
      </c>
      <c r="Q34" s="670">
        <f t="shared" si="7"/>
        <v>80625600</v>
      </c>
      <c r="R34" s="670">
        <f t="shared" si="7"/>
        <v>37730000</v>
      </c>
      <c r="S34" s="670">
        <f t="shared" si="7"/>
        <v>22000000</v>
      </c>
      <c r="T34" s="670">
        <f t="shared" si="7"/>
        <v>489495600</v>
      </c>
    </row>
    <row r="35" spans="1:20" s="665" customFormat="1" ht="40" customHeight="1" x14ac:dyDescent="0.35">
      <c r="A35" s="659" t="s">
        <v>61</v>
      </c>
      <c r="B35" s="660" t="s">
        <v>61</v>
      </c>
      <c r="C35" s="661" t="s">
        <v>564</v>
      </c>
      <c r="D35" s="662"/>
      <c r="E35" s="662"/>
      <c r="F35" s="682"/>
      <c r="G35" s="663"/>
      <c r="H35" s="662"/>
      <c r="I35" s="662"/>
      <c r="J35" s="662"/>
      <c r="K35" s="662"/>
      <c r="L35" s="662"/>
      <c r="M35" s="662"/>
      <c r="N35" s="662"/>
      <c r="O35" s="662"/>
      <c r="P35" s="662"/>
      <c r="Q35" s="662"/>
      <c r="R35" s="662"/>
      <c r="S35" s="662"/>
      <c r="T35" s="1277"/>
    </row>
    <row r="36" spans="1:20" s="665" customFormat="1" ht="40" customHeight="1" x14ac:dyDescent="0.35">
      <c r="A36" s="659" t="s">
        <v>61</v>
      </c>
      <c r="B36" s="660">
        <v>1</v>
      </c>
      <c r="C36" s="666" t="s">
        <v>466</v>
      </c>
      <c r="D36" s="662"/>
      <c r="E36" s="662"/>
      <c r="F36" s="682">
        <f>'Depreciation - MF'!F36*1.1</f>
        <v>20900000</v>
      </c>
      <c r="G36" s="663">
        <f>'Depreciation - MF'!G36</f>
        <v>12</v>
      </c>
      <c r="H36" s="662"/>
      <c r="I36" s="662"/>
      <c r="J36" s="662"/>
      <c r="K36" s="662"/>
      <c r="L36" s="662"/>
      <c r="M36" s="662">
        <f>F36</f>
        <v>20900000</v>
      </c>
      <c r="N36" s="662"/>
      <c r="O36" s="662"/>
      <c r="P36" s="662"/>
      <c r="Q36" s="662"/>
      <c r="R36" s="662"/>
      <c r="S36" s="662"/>
      <c r="T36" s="1277">
        <f t="shared" ref="T36:T42" si="8">SUM(H36:S36)</f>
        <v>20900000</v>
      </c>
    </row>
    <row r="37" spans="1:20" s="665" customFormat="1" ht="40" customHeight="1" x14ac:dyDescent="0.35">
      <c r="A37" s="659" t="s">
        <v>61</v>
      </c>
      <c r="B37" s="660">
        <v>2</v>
      </c>
      <c r="C37" s="666" t="s">
        <v>467</v>
      </c>
      <c r="D37" s="662"/>
      <c r="E37" s="662"/>
      <c r="F37" s="682">
        <f>'Depreciation - MF'!F37*1.1</f>
        <v>11000000</v>
      </c>
      <c r="G37" s="663">
        <f>'Depreciation - MF'!G37</f>
        <v>12</v>
      </c>
      <c r="H37" s="662"/>
      <c r="I37" s="662"/>
      <c r="J37" s="662"/>
      <c r="K37" s="662"/>
      <c r="L37" s="662">
        <f>F37</f>
        <v>11000000</v>
      </c>
      <c r="M37" s="662"/>
      <c r="N37" s="662"/>
      <c r="O37" s="662"/>
      <c r="P37" s="662"/>
      <c r="Q37" s="662"/>
      <c r="R37" s="662"/>
      <c r="S37" s="662"/>
      <c r="T37" s="1277">
        <f t="shared" si="8"/>
        <v>11000000</v>
      </c>
    </row>
    <row r="38" spans="1:20" s="665" customFormat="1" ht="40" customHeight="1" x14ac:dyDescent="0.35">
      <c r="A38" s="659" t="s">
        <v>61</v>
      </c>
      <c r="B38" s="660">
        <v>3</v>
      </c>
      <c r="C38" s="666" t="s">
        <v>468</v>
      </c>
      <c r="D38" s="662"/>
      <c r="E38" s="662"/>
      <c r="F38" s="682">
        <f>'Depreciation - MF'!F38*1.1</f>
        <v>2750000</v>
      </c>
      <c r="G38" s="663">
        <f>'Depreciation - MF'!G38</f>
        <v>12</v>
      </c>
      <c r="H38" s="662"/>
      <c r="I38" s="662"/>
      <c r="J38" s="662"/>
      <c r="K38" s="662"/>
      <c r="L38" s="662"/>
      <c r="M38" s="662"/>
      <c r="N38" s="662">
        <f>F38</f>
        <v>2750000</v>
      </c>
      <c r="O38" s="662"/>
      <c r="P38" s="662"/>
      <c r="Q38" s="662"/>
      <c r="R38" s="662"/>
      <c r="S38" s="662"/>
      <c r="T38" s="1277">
        <f t="shared" si="8"/>
        <v>2750000</v>
      </c>
    </row>
    <row r="39" spans="1:20" s="665" customFormat="1" ht="40" customHeight="1" x14ac:dyDescent="0.35">
      <c r="A39" s="659" t="s">
        <v>61</v>
      </c>
      <c r="B39" s="660">
        <v>4</v>
      </c>
      <c r="C39" s="666" t="s">
        <v>469</v>
      </c>
      <c r="D39" s="662"/>
      <c r="E39" s="662"/>
      <c r="F39" s="682">
        <f>'Depreciation - MF'!F39*1.1</f>
        <v>7480000.0000000009</v>
      </c>
      <c r="G39" s="663">
        <f>'Depreciation - MF'!G39</f>
        <v>12</v>
      </c>
      <c r="H39" s="662"/>
      <c r="I39" s="662"/>
      <c r="J39" s="662"/>
      <c r="K39" s="662"/>
      <c r="L39" s="662"/>
      <c r="M39" s="662"/>
      <c r="N39" s="662"/>
      <c r="O39" s="662"/>
      <c r="P39" s="662"/>
      <c r="Q39" s="662">
        <f>6800000*1.1</f>
        <v>7480000.0000000009</v>
      </c>
      <c r="R39" s="662"/>
      <c r="S39" s="662"/>
      <c r="T39" s="1277">
        <f t="shared" si="8"/>
        <v>7480000.0000000009</v>
      </c>
    </row>
    <row r="40" spans="1:20" s="665" customFormat="1" ht="40" customHeight="1" x14ac:dyDescent="0.35">
      <c r="A40" s="659" t="s">
        <v>61</v>
      </c>
      <c r="B40" s="660">
        <v>5</v>
      </c>
      <c r="C40" s="666" t="s">
        <v>292</v>
      </c>
      <c r="D40" s="662"/>
      <c r="E40" s="662"/>
      <c r="F40" s="682">
        <f>'Depreciation - MF'!F40*1.1</f>
        <v>13200000.000000002</v>
      </c>
      <c r="G40" s="663">
        <f>'Depreciation - MF'!G40</f>
        <v>12</v>
      </c>
      <c r="H40" s="662">
        <f>12000000*1.1</f>
        <v>13200000.000000002</v>
      </c>
      <c r="I40" s="662"/>
      <c r="J40" s="662"/>
      <c r="K40" s="662"/>
      <c r="L40" s="662"/>
      <c r="M40" s="662"/>
      <c r="N40" s="662"/>
      <c r="O40" s="662"/>
      <c r="P40" s="662"/>
      <c r="Q40" s="662"/>
      <c r="R40" s="662"/>
      <c r="S40" s="662"/>
      <c r="T40" s="1277">
        <f t="shared" si="8"/>
        <v>13200000.000000002</v>
      </c>
    </row>
    <row r="41" spans="1:20" s="665" customFormat="1" ht="40" customHeight="1" x14ac:dyDescent="0.35">
      <c r="A41" s="659" t="s">
        <v>61</v>
      </c>
      <c r="B41" s="660">
        <v>6</v>
      </c>
      <c r="C41" s="666" t="s">
        <v>294</v>
      </c>
      <c r="D41" s="662"/>
      <c r="E41" s="662"/>
      <c r="F41" s="682">
        <f>'Depreciation - MF'!F41*1.1</f>
        <v>660000000</v>
      </c>
      <c r="G41" s="663">
        <f>'Depreciation - MF'!G41</f>
        <v>60</v>
      </c>
      <c r="H41" s="662"/>
      <c r="I41" s="662">
        <f>F41</f>
        <v>660000000</v>
      </c>
      <c r="J41" s="662"/>
      <c r="K41" s="662"/>
      <c r="L41" s="662"/>
      <c r="M41" s="662"/>
      <c r="N41" s="662"/>
      <c r="O41" s="662"/>
      <c r="P41" s="662"/>
      <c r="Q41" s="662"/>
      <c r="R41" s="662"/>
      <c r="S41" s="662"/>
      <c r="T41" s="1277">
        <f t="shared" si="8"/>
        <v>660000000</v>
      </c>
    </row>
    <row r="42" spans="1:20" s="665" customFormat="1" ht="40" customHeight="1" x14ac:dyDescent="0.35">
      <c r="A42" s="659" t="s">
        <v>61</v>
      </c>
      <c r="B42" s="660">
        <v>7</v>
      </c>
      <c r="C42" s="666" t="s">
        <v>247</v>
      </c>
      <c r="D42" s="662"/>
      <c r="E42" s="662"/>
      <c r="F42" s="682">
        <f>'Depreciation - MF'!F42*1.1</f>
        <v>22000000</v>
      </c>
      <c r="G42" s="663">
        <f>'Depreciation - MF'!G42</f>
        <v>12</v>
      </c>
      <c r="H42" s="662"/>
      <c r="I42" s="662"/>
      <c r="J42" s="662">
        <f>F42</f>
        <v>22000000</v>
      </c>
      <c r="K42" s="662"/>
      <c r="L42" s="662"/>
      <c r="M42" s="662"/>
      <c r="N42" s="662"/>
      <c r="O42" s="662"/>
      <c r="P42" s="662"/>
      <c r="Q42" s="662"/>
      <c r="R42" s="662"/>
      <c r="S42" s="662"/>
      <c r="T42" s="1277">
        <f t="shared" si="8"/>
        <v>22000000</v>
      </c>
    </row>
    <row r="43" spans="1:20" s="665" customFormat="1" ht="40" customHeight="1" x14ac:dyDescent="0.35">
      <c r="A43" s="667" t="s">
        <v>602</v>
      </c>
      <c r="B43" s="668"/>
      <c r="C43" s="669" t="s">
        <v>564</v>
      </c>
      <c r="D43" s="670"/>
      <c r="E43" s="670"/>
      <c r="F43" s="670">
        <f>SUBTOTAL(9,F35:F42)</f>
        <v>737330000</v>
      </c>
      <c r="G43" s="670"/>
      <c r="H43" s="670">
        <f t="shared" ref="H43:S43" si="9">SUBTOTAL(9,H35:H42)</f>
        <v>13200000.000000002</v>
      </c>
      <c r="I43" s="670">
        <f t="shared" si="9"/>
        <v>660000000</v>
      </c>
      <c r="J43" s="670">
        <f t="shared" si="9"/>
        <v>22000000</v>
      </c>
      <c r="K43" s="670">
        <f t="shared" si="9"/>
        <v>0</v>
      </c>
      <c r="L43" s="670">
        <f t="shared" si="9"/>
        <v>11000000</v>
      </c>
      <c r="M43" s="670">
        <f t="shared" si="9"/>
        <v>20900000</v>
      </c>
      <c r="N43" s="670">
        <f t="shared" si="9"/>
        <v>2750000</v>
      </c>
      <c r="O43" s="670">
        <f t="shared" si="9"/>
        <v>0</v>
      </c>
      <c r="P43" s="670">
        <f t="shared" si="9"/>
        <v>0</v>
      </c>
      <c r="Q43" s="670">
        <f t="shared" si="9"/>
        <v>7480000.0000000009</v>
      </c>
      <c r="R43" s="670">
        <f t="shared" si="9"/>
        <v>0</v>
      </c>
      <c r="S43" s="670">
        <f t="shared" si="9"/>
        <v>0</v>
      </c>
      <c r="T43" s="670">
        <f>SUBTOTAL(9,T35:T42)</f>
        <v>737330000</v>
      </c>
    </row>
    <row r="44" spans="1:20" s="665" customFormat="1" ht="40" customHeight="1" x14ac:dyDescent="0.35">
      <c r="A44" s="659" t="s">
        <v>59</v>
      </c>
      <c r="B44" s="660" t="s">
        <v>59</v>
      </c>
      <c r="C44" s="661" t="s">
        <v>301</v>
      </c>
      <c r="D44" s="662"/>
      <c r="E44" s="662"/>
      <c r="F44" s="682"/>
      <c r="G44" s="663"/>
      <c r="H44" s="662"/>
      <c r="I44" s="662"/>
      <c r="J44" s="662"/>
      <c r="K44" s="662"/>
      <c r="L44" s="662"/>
      <c r="M44" s="662"/>
      <c r="N44" s="662"/>
      <c r="O44" s="662"/>
      <c r="P44" s="662"/>
      <c r="Q44" s="662"/>
      <c r="R44" s="662"/>
      <c r="S44" s="662"/>
      <c r="T44" s="1277"/>
    </row>
    <row r="45" spans="1:20" s="665" customFormat="1" ht="40" customHeight="1" x14ac:dyDescent="0.35">
      <c r="A45" s="659" t="s">
        <v>59</v>
      </c>
      <c r="B45" s="660">
        <v>1</v>
      </c>
      <c r="C45" s="666" t="s">
        <v>285</v>
      </c>
      <c r="D45" s="662"/>
      <c r="E45" s="662"/>
      <c r="F45" s="682">
        <f>'Depreciation - MF'!F45*1.1</f>
        <v>218405000.00000003</v>
      </c>
      <c r="G45" s="663">
        <f>'Depreciation - MF'!G45</f>
        <v>12</v>
      </c>
      <c r="H45" s="671">
        <f>F45/12</f>
        <v>18200416.666666668</v>
      </c>
      <c r="I45" s="662">
        <f>H45</f>
        <v>18200416.666666668</v>
      </c>
      <c r="J45" s="662">
        <f t="shared" ref="J45:S45" si="10">I45</f>
        <v>18200416.666666668</v>
      </c>
      <c r="K45" s="662">
        <f t="shared" si="10"/>
        <v>18200416.666666668</v>
      </c>
      <c r="L45" s="662">
        <f t="shared" si="10"/>
        <v>18200416.666666668</v>
      </c>
      <c r="M45" s="662">
        <f t="shared" si="10"/>
        <v>18200416.666666668</v>
      </c>
      <c r="N45" s="662">
        <f t="shared" si="10"/>
        <v>18200416.666666668</v>
      </c>
      <c r="O45" s="662">
        <f t="shared" si="10"/>
        <v>18200416.666666668</v>
      </c>
      <c r="P45" s="662">
        <f t="shared" si="10"/>
        <v>18200416.666666668</v>
      </c>
      <c r="Q45" s="662">
        <f t="shared" si="10"/>
        <v>18200416.666666668</v>
      </c>
      <c r="R45" s="662">
        <f t="shared" si="10"/>
        <v>18200416.666666668</v>
      </c>
      <c r="S45" s="662">
        <f t="shared" si="10"/>
        <v>18200416.666666668</v>
      </c>
      <c r="T45" s="1277">
        <f t="shared" ref="T45:T54" si="11">SUM(H45:S45)</f>
        <v>218404999.99999997</v>
      </c>
    </row>
    <row r="46" spans="1:20" s="665" customFormat="1" ht="40" customHeight="1" x14ac:dyDescent="0.35">
      <c r="A46" s="659" t="s">
        <v>59</v>
      </c>
      <c r="B46" s="660">
        <v>2.1</v>
      </c>
      <c r="C46" s="666" t="s">
        <v>303</v>
      </c>
      <c r="D46" s="662"/>
      <c r="E46" s="662"/>
      <c r="F46" s="682">
        <f>'Depreciation - MF'!F46*1.1</f>
        <v>82500000</v>
      </c>
      <c r="G46" s="663">
        <f>'Depreciation - MF'!G46</f>
        <v>12</v>
      </c>
      <c r="H46" s="662"/>
      <c r="I46" s="662"/>
      <c r="J46" s="662">
        <f>F46/4</f>
        <v>20625000</v>
      </c>
      <c r="K46" s="662"/>
      <c r="L46" s="662"/>
      <c r="M46" s="662">
        <f>J46</f>
        <v>20625000</v>
      </c>
      <c r="N46" s="662"/>
      <c r="O46" s="662"/>
      <c r="P46" s="662">
        <f>M46</f>
        <v>20625000</v>
      </c>
      <c r="Q46" s="662"/>
      <c r="R46" s="662"/>
      <c r="S46" s="662">
        <f>P46</f>
        <v>20625000</v>
      </c>
      <c r="T46" s="1277">
        <f t="shared" si="11"/>
        <v>82500000</v>
      </c>
    </row>
    <row r="47" spans="1:20" s="665" customFormat="1" ht="40" customHeight="1" x14ac:dyDescent="0.35">
      <c r="A47" s="659" t="s">
        <v>59</v>
      </c>
      <c r="B47" s="660">
        <v>2.2000000000000002</v>
      </c>
      <c r="C47" s="666" t="s">
        <v>471</v>
      </c>
      <c r="D47" s="662"/>
      <c r="E47" s="662"/>
      <c r="F47" s="682">
        <f>'Depreciation - MF'!F47*1.1</f>
        <v>5500000</v>
      </c>
      <c r="G47" s="663">
        <f>'Depreciation - MF'!G47</f>
        <v>12</v>
      </c>
      <c r="H47" s="662"/>
      <c r="I47" s="662"/>
      <c r="J47" s="662">
        <f>F47</f>
        <v>5500000</v>
      </c>
      <c r="K47" s="662"/>
      <c r="L47" s="662"/>
      <c r="M47" s="662"/>
      <c r="N47" s="662"/>
      <c r="O47" s="662"/>
      <c r="P47" s="662"/>
      <c r="Q47" s="662"/>
      <c r="R47" s="662"/>
      <c r="S47" s="662"/>
      <c r="T47" s="1277">
        <f t="shared" si="11"/>
        <v>5500000</v>
      </c>
    </row>
    <row r="48" spans="1:20" s="665" customFormat="1" ht="40" customHeight="1" x14ac:dyDescent="0.35">
      <c r="A48" s="659" t="s">
        <v>59</v>
      </c>
      <c r="B48" s="660">
        <v>2.2999999999999998</v>
      </c>
      <c r="C48" s="666" t="s">
        <v>472</v>
      </c>
      <c r="D48" s="662"/>
      <c r="E48" s="662"/>
      <c r="F48" s="682">
        <f>'Depreciation - MF'!F48*1.1</f>
        <v>22000000</v>
      </c>
      <c r="G48" s="663">
        <f>'Depreciation - MF'!G48</f>
        <v>12</v>
      </c>
      <c r="H48" s="662"/>
      <c r="I48" s="662"/>
      <c r="J48" s="662"/>
      <c r="K48" s="662">
        <f>F48</f>
        <v>22000000</v>
      </c>
      <c r="L48" s="662"/>
      <c r="M48" s="662"/>
      <c r="N48" s="662"/>
      <c r="O48" s="662"/>
      <c r="P48" s="662"/>
      <c r="Q48" s="662"/>
      <c r="R48" s="662"/>
      <c r="S48" s="662"/>
      <c r="T48" s="1277">
        <f t="shared" si="11"/>
        <v>22000000</v>
      </c>
    </row>
    <row r="49" spans="1:20" s="665" customFormat="1" ht="40" customHeight="1" x14ac:dyDescent="0.35">
      <c r="A49" s="659" t="s">
        <v>59</v>
      </c>
      <c r="B49" s="660">
        <v>2.4</v>
      </c>
      <c r="C49" s="666" t="s">
        <v>473</v>
      </c>
      <c r="D49" s="662"/>
      <c r="E49" s="662"/>
      <c r="F49" s="682">
        <f>'Depreciation - MF'!F49*1.1</f>
        <v>1100000</v>
      </c>
      <c r="G49" s="663">
        <f>'Depreciation - MF'!G49</f>
        <v>12</v>
      </c>
      <c r="H49" s="662"/>
      <c r="I49" s="662"/>
      <c r="J49" s="662"/>
      <c r="K49" s="662">
        <f>F49</f>
        <v>1100000</v>
      </c>
      <c r="L49" s="662"/>
      <c r="M49" s="662"/>
      <c r="N49" s="662"/>
      <c r="O49" s="662"/>
      <c r="P49" s="662"/>
      <c r="Q49" s="662"/>
      <c r="R49" s="662"/>
      <c r="S49" s="662"/>
      <c r="T49" s="1277">
        <f t="shared" si="11"/>
        <v>1100000</v>
      </c>
    </row>
    <row r="50" spans="1:20" s="665" customFormat="1" ht="67.5" customHeight="1" x14ac:dyDescent="0.35">
      <c r="A50" s="659" t="s">
        <v>59</v>
      </c>
      <c r="B50" s="660">
        <v>2.5</v>
      </c>
      <c r="C50" s="666" t="s">
        <v>474</v>
      </c>
      <c r="D50" s="662"/>
      <c r="E50" s="662"/>
      <c r="F50" s="682">
        <f>'Depreciation - MF'!F50*1.1</f>
        <v>4400000</v>
      </c>
      <c r="G50" s="663">
        <f>'Depreciation - MF'!G50</f>
        <v>12</v>
      </c>
      <c r="H50" s="662"/>
      <c r="I50" s="662"/>
      <c r="J50" s="662"/>
      <c r="K50" s="662"/>
      <c r="L50" s="662"/>
      <c r="M50" s="662"/>
      <c r="N50" s="662"/>
      <c r="O50" s="662"/>
      <c r="P50" s="662"/>
      <c r="Q50" s="662">
        <f>F50</f>
        <v>4400000</v>
      </c>
      <c r="R50" s="662"/>
      <c r="S50" s="662"/>
      <c r="T50" s="1277">
        <f t="shared" si="11"/>
        <v>4400000</v>
      </c>
    </row>
    <row r="51" spans="1:20" s="665" customFormat="1" ht="48.75" customHeight="1" x14ac:dyDescent="0.35">
      <c r="A51" s="659" t="s">
        <v>59</v>
      </c>
      <c r="B51" s="660">
        <v>2.6</v>
      </c>
      <c r="C51" s="666" t="s">
        <v>476</v>
      </c>
      <c r="D51" s="662"/>
      <c r="E51" s="662"/>
      <c r="F51" s="682">
        <f>'Depreciation - MF'!F51*1.1</f>
        <v>13750000.000000002</v>
      </c>
      <c r="G51" s="663">
        <f>'Depreciation - MF'!G51</f>
        <v>12</v>
      </c>
      <c r="H51" s="662"/>
      <c r="I51" s="662"/>
      <c r="J51" s="662"/>
      <c r="K51" s="662"/>
      <c r="L51" s="662"/>
      <c r="M51" s="662"/>
      <c r="N51" s="662"/>
      <c r="O51" s="662"/>
      <c r="P51" s="662"/>
      <c r="Q51" s="662">
        <f>F51</f>
        <v>13750000.000000002</v>
      </c>
      <c r="R51" s="662"/>
      <c r="S51" s="662"/>
      <c r="T51" s="1277">
        <f>SUM(H51:S51)</f>
        <v>13750000.000000002</v>
      </c>
    </row>
    <row r="52" spans="1:20" s="665" customFormat="1" ht="40" customHeight="1" x14ac:dyDescent="0.35">
      <c r="A52" s="659" t="s">
        <v>59</v>
      </c>
      <c r="B52" s="660">
        <v>2.7</v>
      </c>
      <c r="C52" s="666" t="s">
        <v>898</v>
      </c>
      <c r="D52" s="662"/>
      <c r="E52" s="662"/>
      <c r="F52" s="682">
        <f>'Depreciation - MF'!F52*1.1</f>
        <v>46200000.000000007</v>
      </c>
      <c r="G52" s="663">
        <f>'Depreciation - MF'!G52</f>
        <v>12</v>
      </c>
      <c r="H52" s="662"/>
      <c r="I52" s="662"/>
      <c r="J52" s="662"/>
      <c r="K52" s="662"/>
      <c r="L52" s="662"/>
      <c r="M52" s="662"/>
      <c r="N52" s="662"/>
      <c r="O52" s="662"/>
      <c r="P52" s="662">
        <f>F52</f>
        <v>46200000.000000007</v>
      </c>
      <c r="Q52" s="662"/>
      <c r="R52" s="662"/>
      <c r="S52" s="662"/>
      <c r="T52" s="1277">
        <f>SUM(H52:S52)</f>
        <v>46200000.000000007</v>
      </c>
    </row>
    <row r="53" spans="1:20" s="665" customFormat="1" ht="40" customHeight="1" x14ac:dyDescent="0.35">
      <c r="A53" s="659" t="s">
        <v>59</v>
      </c>
      <c r="B53" s="660">
        <v>2.8</v>
      </c>
      <c r="C53" s="666" t="s">
        <v>470</v>
      </c>
      <c r="D53" s="662"/>
      <c r="E53" s="662"/>
      <c r="F53" s="682">
        <f>'Depreciation - MF'!F53*1.1</f>
        <v>11000000</v>
      </c>
      <c r="G53" s="663">
        <f>'Depreciation - MF'!G53</f>
        <v>12</v>
      </c>
      <c r="H53" s="662"/>
      <c r="I53" s="662"/>
      <c r="J53" s="662"/>
      <c r="K53" s="662"/>
      <c r="L53" s="662"/>
      <c r="M53" s="662"/>
      <c r="N53" s="662"/>
      <c r="O53" s="662"/>
      <c r="P53" s="662"/>
      <c r="Q53" s="662"/>
      <c r="R53" s="662"/>
      <c r="S53" s="662">
        <f>F53</f>
        <v>11000000</v>
      </c>
      <c r="T53" s="1277">
        <f t="shared" si="11"/>
        <v>11000000</v>
      </c>
    </row>
    <row r="54" spans="1:20" s="665" customFormat="1" ht="40" customHeight="1" x14ac:dyDescent="0.35">
      <c r="A54" s="659" t="s">
        <v>59</v>
      </c>
      <c r="B54" s="660" t="s">
        <v>566</v>
      </c>
      <c r="C54" s="666" t="s">
        <v>248</v>
      </c>
      <c r="D54" s="662"/>
      <c r="E54" s="662"/>
      <c r="F54" s="682">
        <f>'Depreciation - MF'!F54*1.1</f>
        <v>22000000</v>
      </c>
      <c r="G54" s="663">
        <f>'Depreciation - MF'!G54</f>
        <v>12</v>
      </c>
      <c r="H54" s="662"/>
      <c r="I54" s="662"/>
      <c r="J54" s="662"/>
      <c r="K54" s="662">
        <f>F54/2</f>
        <v>11000000</v>
      </c>
      <c r="L54" s="662"/>
      <c r="M54" s="662"/>
      <c r="N54" s="662"/>
      <c r="O54" s="662"/>
      <c r="P54" s="662"/>
      <c r="Q54" s="662">
        <f>K54</f>
        <v>11000000</v>
      </c>
      <c r="R54" s="662"/>
      <c r="S54" s="662"/>
      <c r="T54" s="1277">
        <f t="shared" si="11"/>
        <v>22000000</v>
      </c>
    </row>
    <row r="55" spans="1:20" s="665" customFormat="1" ht="40" customHeight="1" x14ac:dyDescent="0.35">
      <c r="A55" s="667" t="s">
        <v>603</v>
      </c>
      <c r="B55" s="668"/>
      <c r="C55" s="669" t="s">
        <v>301</v>
      </c>
      <c r="D55" s="670"/>
      <c r="E55" s="670"/>
      <c r="F55" s="670">
        <f>SUBTOTAL(9,F44:F54)</f>
        <v>426855000</v>
      </c>
      <c r="G55" s="670"/>
      <c r="H55" s="670">
        <f t="shared" ref="H55:T55" si="12">SUBTOTAL(9,H44:H54)</f>
        <v>18200416.666666668</v>
      </c>
      <c r="I55" s="670">
        <f t="shared" si="12"/>
        <v>18200416.666666668</v>
      </c>
      <c r="J55" s="670">
        <f t="shared" si="12"/>
        <v>44325416.666666672</v>
      </c>
      <c r="K55" s="670">
        <f t="shared" si="12"/>
        <v>52300416.666666672</v>
      </c>
      <c r="L55" s="670">
        <f t="shared" si="12"/>
        <v>18200416.666666668</v>
      </c>
      <c r="M55" s="670">
        <f t="shared" si="12"/>
        <v>38825416.666666672</v>
      </c>
      <c r="N55" s="670">
        <f t="shared" si="12"/>
        <v>18200416.666666668</v>
      </c>
      <c r="O55" s="670">
        <f t="shared" si="12"/>
        <v>18200416.666666668</v>
      </c>
      <c r="P55" s="670">
        <f t="shared" si="12"/>
        <v>85025416.666666687</v>
      </c>
      <c r="Q55" s="670">
        <f t="shared" si="12"/>
        <v>47350416.666666672</v>
      </c>
      <c r="R55" s="670">
        <f t="shared" si="12"/>
        <v>18200416.666666668</v>
      </c>
      <c r="S55" s="670">
        <f t="shared" si="12"/>
        <v>49825416.666666672</v>
      </c>
      <c r="T55" s="670">
        <f t="shared" si="12"/>
        <v>426855000</v>
      </c>
    </row>
    <row r="56" spans="1:20" s="665" customFormat="1" ht="40" customHeight="1" x14ac:dyDescent="0.35">
      <c r="A56" s="659" t="s">
        <v>57</v>
      </c>
      <c r="B56" s="660" t="s">
        <v>57</v>
      </c>
      <c r="C56" s="661" t="s">
        <v>567</v>
      </c>
      <c r="D56" s="662"/>
      <c r="E56" s="662"/>
      <c r="F56" s="682"/>
      <c r="G56" s="663"/>
      <c r="H56" s="662"/>
      <c r="I56" s="662"/>
      <c r="J56" s="662"/>
      <c r="K56" s="662"/>
      <c r="L56" s="662"/>
      <c r="M56" s="662"/>
      <c r="N56" s="662"/>
      <c r="O56" s="662"/>
      <c r="P56" s="662"/>
      <c r="Q56" s="662"/>
      <c r="R56" s="662"/>
      <c r="S56" s="662"/>
      <c r="T56" s="1277"/>
    </row>
    <row r="57" spans="1:20" s="665" customFormat="1" ht="40" customHeight="1" x14ac:dyDescent="0.35">
      <c r="A57" s="659" t="s">
        <v>57</v>
      </c>
      <c r="B57" s="660">
        <v>2.1</v>
      </c>
      <c r="C57" s="666" t="s">
        <v>250</v>
      </c>
      <c r="D57" s="662"/>
      <c r="E57" s="662"/>
      <c r="F57" s="682">
        <f>'Depreciation - MF'!F57*1.1</f>
        <v>264000000.00000003</v>
      </c>
      <c r="G57" s="663">
        <f>'Depreciation - MF'!G57</f>
        <v>12</v>
      </c>
      <c r="H57" s="662">
        <f>40000000*1.1</f>
        <v>44000000</v>
      </c>
      <c r="I57" s="662"/>
      <c r="J57" s="662">
        <f>H57</f>
        <v>44000000</v>
      </c>
      <c r="K57" s="662"/>
      <c r="L57" s="662">
        <f>J57</f>
        <v>44000000</v>
      </c>
      <c r="M57" s="662"/>
      <c r="N57" s="662">
        <f>L57</f>
        <v>44000000</v>
      </c>
      <c r="O57" s="662"/>
      <c r="P57" s="662">
        <f>N57</f>
        <v>44000000</v>
      </c>
      <c r="Q57" s="662"/>
      <c r="R57" s="662">
        <f>P57</f>
        <v>44000000</v>
      </c>
      <c r="S57" s="662"/>
      <c r="T57" s="1277">
        <f t="shared" ref="T57:T68" si="13">SUM(H57:S57)</f>
        <v>264000000</v>
      </c>
    </row>
    <row r="58" spans="1:20" s="665" customFormat="1" ht="40" customHeight="1" x14ac:dyDescent="0.35">
      <c r="A58" s="659" t="s">
        <v>57</v>
      </c>
      <c r="B58" s="660">
        <v>2.4</v>
      </c>
      <c r="C58" s="666" t="s">
        <v>308</v>
      </c>
      <c r="D58" s="662"/>
      <c r="E58" s="662"/>
      <c r="F58" s="682">
        <f>'Depreciation - MF'!F58*1.1</f>
        <v>16500000.000000002</v>
      </c>
      <c r="G58" s="663">
        <f>'Depreciation - MF'!G58</f>
        <v>12</v>
      </c>
      <c r="H58" s="662">
        <f>5000000*1.1</f>
        <v>5500000</v>
      </c>
      <c r="I58" s="662"/>
      <c r="J58" s="662"/>
      <c r="K58" s="662"/>
      <c r="L58" s="662">
        <f>5000000*1.1</f>
        <v>5500000</v>
      </c>
      <c r="M58" s="662"/>
      <c r="N58" s="662"/>
      <c r="O58" s="662"/>
      <c r="P58" s="662">
        <f>5000000*1.1</f>
        <v>5500000</v>
      </c>
      <c r="Q58" s="662"/>
      <c r="R58" s="662"/>
      <c r="S58" s="662"/>
      <c r="T58" s="1277">
        <f t="shared" si="13"/>
        <v>16500000</v>
      </c>
    </row>
    <row r="59" spans="1:20" s="665" customFormat="1" ht="40" customHeight="1" x14ac:dyDescent="0.35">
      <c r="A59" s="659" t="s">
        <v>57</v>
      </c>
      <c r="B59" s="660">
        <v>2.5</v>
      </c>
      <c r="C59" s="666" t="s">
        <v>477</v>
      </c>
      <c r="D59" s="662"/>
      <c r="E59" s="662"/>
      <c r="F59" s="682">
        <f>'Depreciation - MF'!F59*1.1</f>
        <v>38500000</v>
      </c>
      <c r="G59" s="663">
        <f>'Depreciation - MF'!G59</f>
        <v>48</v>
      </c>
      <c r="H59" s="662">
        <f>F59</f>
        <v>38500000</v>
      </c>
      <c r="I59" s="662"/>
      <c r="J59" s="662"/>
      <c r="K59" s="662"/>
      <c r="L59" s="662"/>
      <c r="M59" s="662"/>
      <c r="N59" s="662"/>
      <c r="O59" s="662"/>
      <c r="P59" s="662"/>
      <c r="Q59" s="662"/>
      <c r="R59" s="662"/>
      <c r="S59" s="662"/>
      <c r="T59" s="1277">
        <f t="shared" si="13"/>
        <v>38500000</v>
      </c>
    </row>
    <row r="60" spans="1:20" s="665" customFormat="1" ht="40" customHeight="1" x14ac:dyDescent="0.35">
      <c r="A60" s="659" t="s">
        <v>57</v>
      </c>
      <c r="B60" s="660">
        <v>2.6</v>
      </c>
      <c r="C60" s="666" t="s">
        <v>478</v>
      </c>
      <c r="D60" s="662"/>
      <c r="E60" s="662"/>
      <c r="F60" s="682">
        <f>'Depreciation - MF'!F60*1.1</f>
        <v>24200000.000000004</v>
      </c>
      <c r="G60" s="663">
        <f>'Depreciation - MF'!G60</f>
        <v>48</v>
      </c>
      <c r="H60" s="662"/>
      <c r="I60" s="662">
        <f>F60</f>
        <v>24200000.000000004</v>
      </c>
      <c r="J60" s="662"/>
      <c r="K60" s="662"/>
      <c r="L60" s="662"/>
      <c r="M60" s="662"/>
      <c r="N60" s="662"/>
      <c r="O60" s="662"/>
      <c r="P60" s="662"/>
      <c r="Q60" s="662"/>
      <c r="R60" s="662"/>
      <c r="S60" s="662"/>
      <c r="T60" s="1277">
        <f t="shared" si="13"/>
        <v>24200000.000000004</v>
      </c>
    </row>
    <row r="61" spans="1:20" s="665" customFormat="1" ht="40" customHeight="1" x14ac:dyDescent="0.35">
      <c r="A61" s="659" t="s">
        <v>57</v>
      </c>
      <c r="B61" s="660">
        <v>2.7</v>
      </c>
      <c r="C61" s="666" t="s">
        <v>479</v>
      </c>
      <c r="D61" s="662"/>
      <c r="E61" s="662"/>
      <c r="F61" s="682">
        <f>'Depreciation - MF'!F61*1.1</f>
        <v>17600000</v>
      </c>
      <c r="G61" s="663">
        <f>'Depreciation - MF'!G61</f>
        <v>48</v>
      </c>
      <c r="H61" s="662"/>
      <c r="I61" s="662"/>
      <c r="J61" s="662">
        <f>F61</f>
        <v>17600000</v>
      </c>
      <c r="K61" s="662"/>
      <c r="L61" s="662"/>
      <c r="M61" s="662"/>
      <c r="N61" s="662"/>
      <c r="O61" s="662"/>
      <c r="P61" s="662"/>
      <c r="Q61" s="662"/>
      <c r="R61" s="662"/>
      <c r="S61" s="662"/>
      <c r="T61" s="1277">
        <f t="shared" si="13"/>
        <v>17600000</v>
      </c>
    </row>
    <row r="62" spans="1:20" s="665" customFormat="1" ht="40" customHeight="1" x14ac:dyDescent="0.35">
      <c r="A62" s="659" t="s">
        <v>59</v>
      </c>
      <c r="B62" s="660">
        <v>2.7</v>
      </c>
      <c r="C62" s="666" t="s">
        <v>475</v>
      </c>
      <c r="D62" s="662"/>
      <c r="E62" s="662"/>
      <c r="F62" s="682">
        <f>'Depreciation - MF'!F62*1.1</f>
        <v>66000000.000000007</v>
      </c>
      <c r="G62" s="663">
        <f>'Depreciation - MF'!G62</f>
        <v>24</v>
      </c>
      <c r="H62" s="662"/>
      <c r="I62" s="662"/>
      <c r="J62" s="662"/>
      <c r="K62" s="662"/>
      <c r="L62" s="662">
        <f>F62/2</f>
        <v>33000000.000000004</v>
      </c>
      <c r="M62" s="662"/>
      <c r="N62" s="662"/>
      <c r="O62" s="662"/>
      <c r="P62" s="662"/>
      <c r="Q62" s="662"/>
      <c r="R62" s="662">
        <f>L62</f>
        <v>33000000.000000004</v>
      </c>
      <c r="S62" s="662"/>
      <c r="T62" s="1277">
        <f>SUM(H62:S62)</f>
        <v>66000000.000000007</v>
      </c>
    </row>
    <row r="63" spans="1:20" s="665" customFormat="1" ht="40" customHeight="1" x14ac:dyDescent="0.35">
      <c r="A63" s="659" t="s">
        <v>57</v>
      </c>
      <c r="B63" s="660">
        <v>2.8</v>
      </c>
      <c r="C63" s="666" t="s">
        <v>480</v>
      </c>
      <c r="D63" s="662"/>
      <c r="E63" s="662"/>
      <c r="F63" s="682">
        <f>'Depreciation - MF'!F63*1.1</f>
        <v>3300000.0000000005</v>
      </c>
      <c r="G63" s="663">
        <f>'Depreciation - MF'!G63</f>
        <v>12</v>
      </c>
      <c r="H63" s="662"/>
      <c r="I63" s="662"/>
      <c r="J63" s="662">
        <f>F63</f>
        <v>3300000.0000000005</v>
      </c>
      <c r="K63" s="662"/>
      <c r="L63" s="662"/>
      <c r="M63" s="662"/>
      <c r="N63" s="662"/>
      <c r="O63" s="662"/>
      <c r="P63" s="662"/>
      <c r="Q63" s="662"/>
      <c r="R63" s="662"/>
      <c r="S63" s="662"/>
      <c r="T63" s="1277">
        <f t="shared" si="13"/>
        <v>3300000.0000000005</v>
      </c>
    </row>
    <row r="64" spans="1:20" s="665" customFormat="1" ht="40" customHeight="1" x14ac:dyDescent="0.35">
      <c r="A64" s="659" t="s">
        <v>57</v>
      </c>
      <c r="B64" s="660">
        <v>2.9</v>
      </c>
      <c r="C64" s="666" t="s">
        <v>481</v>
      </c>
      <c r="D64" s="662"/>
      <c r="E64" s="662"/>
      <c r="F64" s="682">
        <f>'Depreciation - MF'!F64*1.1</f>
        <v>6600000.0000000009</v>
      </c>
      <c r="G64" s="663">
        <f>'Depreciation - MF'!G64</f>
        <v>12</v>
      </c>
      <c r="H64" s="662"/>
      <c r="I64" s="662"/>
      <c r="J64" s="662"/>
      <c r="K64" s="662"/>
      <c r="L64" s="662">
        <f>3000000*1.1</f>
        <v>3300000.0000000005</v>
      </c>
      <c r="M64" s="662"/>
      <c r="N64" s="662"/>
      <c r="O64" s="662"/>
      <c r="P64" s="662"/>
      <c r="Q64" s="662"/>
      <c r="R64" s="662">
        <f>L64</f>
        <v>3300000.0000000005</v>
      </c>
      <c r="S64" s="662"/>
      <c r="T64" s="1277">
        <f t="shared" si="13"/>
        <v>6600000.0000000009</v>
      </c>
    </row>
    <row r="65" spans="1:20" s="665" customFormat="1" ht="40" customHeight="1" x14ac:dyDescent="0.35">
      <c r="A65" s="659" t="s">
        <v>57</v>
      </c>
      <c r="B65" s="660" t="s">
        <v>569</v>
      </c>
      <c r="C65" s="666" t="s">
        <v>482</v>
      </c>
      <c r="D65" s="662"/>
      <c r="E65" s="662"/>
      <c r="F65" s="682">
        <f>'Depreciation - MF'!F65*1.1</f>
        <v>16500000.000000002</v>
      </c>
      <c r="G65" s="663">
        <f>'Depreciation - MF'!G65</f>
        <v>12</v>
      </c>
      <c r="H65" s="662"/>
      <c r="I65" s="662"/>
      <c r="J65" s="662"/>
      <c r="K65" s="662"/>
      <c r="L65" s="662">
        <f>F65/2</f>
        <v>8250000.0000000009</v>
      </c>
      <c r="M65" s="662"/>
      <c r="N65" s="662"/>
      <c r="O65" s="662"/>
      <c r="P65" s="662"/>
      <c r="Q65" s="662"/>
      <c r="R65" s="662">
        <f>L65</f>
        <v>8250000.0000000009</v>
      </c>
      <c r="S65" s="662"/>
      <c r="T65" s="1277">
        <f t="shared" si="13"/>
        <v>16500000.000000002</v>
      </c>
    </row>
    <row r="66" spans="1:20" s="665" customFormat="1" ht="40" customHeight="1" x14ac:dyDescent="0.35">
      <c r="A66" s="659" t="s">
        <v>57</v>
      </c>
      <c r="B66" s="660" t="s">
        <v>570</v>
      </c>
      <c r="C66" s="666" t="s">
        <v>483</v>
      </c>
      <c r="D66" s="662"/>
      <c r="E66" s="662"/>
      <c r="F66" s="682">
        <f>'Depreciation - MF'!F66*1.1</f>
        <v>2200000</v>
      </c>
      <c r="G66" s="663">
        <f>'Depreciation - MF'!G66</f>
        <v>12</v>
      </c>
      <c r="H66" s="662"/>
      <c r="I66" s="662"/>
      <c r="J66" s="662">
        <f>F66</f>
        <v>2200000</v>
      </c>
      <c r="K66" s="662"/>
      <c r="L66" s="662"/>
      <c r="M66" s="662"/>
      <c r="N66" s="662"/>
      <c r="O66" s="662"/>
      <c r="P66" s="662"/>
      <c r="Q66" s="662"/>
      <c r="R66" s="662"/>
      <c r="S66" s="662"/>
      <c r="T66" s="1277">
        <f t="shared" si="13"/>
        <v>2200000</v>
      </c>
    </row>
    <row r="67" spans="1:20" s="665" customFormat="1" ht="40" customHeight="1" x14ac:dyDescent="0.35">
      <c r="A67" s="659" t="s">
        <v>57</v>
      </c>
      <c r="B67" s="660" t="s">
        <v>571</v>
      </c>
      <c r="C67" s="666" t="s">
        <v>484</v>
      </c>
      <c r="D67" s="662"/>
      <c r="E67" s="662"/>
      <c r="F67" s="682">
        <f>'Depreciation - MF'!F67*1.1</f>
        <v>26400000.000000004</v>
      </c>
      <c r="G67" s="663">
        <f>'Depreciation - MF'!G67</f>
        <v>12</v>
      </c>
      <c r="H67" s="662"/>
      <c r="I67" s="662"/>
      <c r="J67" s="662"/>
      <c r="K67" s="662"/>
      <c r="L67" s="662"/>
      <c r="M67" s="662">
        <f>F67/2</f>
        <v>13200000.000000002</v>
      </c>
      <c r="N67" s="662"/>
      <c r="O67" s="662"/>
      <c r="P67" s="662"/>
      <c r="Q67" s="662"/>
      <c r="R67" s="662"/>
      <c r="S67" s="662">
        <f>M67</f>
        <v>13200000.000000002</v>
      </c>
      <c r="T67" s="1277">
        <f t="shared" si="13"/>
        <v>26400000.000000004</v>
      </c>
    </row>
    <row r="68" spans="1:20" s="665" customFormat="1" ht="40" customHeight="1" x14ac:dyDescent="0.35">
      <c r="A68" s="659" t="s">
        <v>57</v>
      </c>
      <c r="B68" s="660" t="s">
        <v>572</v>
      </c>
      <c r="C68" s="666" t="s">
        <v>252</v>
      </c>
      <c r="D68" s="662"/>
      <c r="E68" s="662"/>
      <c r="F68" s="682">
        <f>'Depreciation - MF'!F68*1.1</f>
        <v>11000000</v>
      </c>
      <c r="G68" s="663">
        <f>'Depreciation - MF'!G68</f>
        <v>12</v>
      </c>
      <c r="H68" s="662"/>
      <c r="I68" s="662"/>
      <c r="J68" s="662"/>
      <c r="K68" s="662"/>
      <c r="L68" s="662">
        <f>F68/2</f>
        <v>5500000</v>
      </c>
      <c r="M68" s="662"/>
      <c r="N68" s="662"/>
      <c r="O68" s="662"/>
      <c r="P68" s="662"/>
      <c r="Q68" s="662"/>
      <c r="R68" s="662">
        <f>L68</f>
        <v>5500000</v>
      </c>
      <c r="S68" s="662"/>
      <c r="T68" s="1277">
        <f t="shared" si="13"/>
        <v>11000000</v>
      </c>
    </row>
    <row r="69" spans="1:20" s="665" customFormat="1" ht="40" customHeight="1" x14ac:dyDescent="0.35">
      <c r="A69" s="667" t="s">
        <v>604</v>
      </c>
      <c r="B69" s="668"/>
      <c r="C69" s="669" t="s">
        <v>567</v>
      </c>
      <c r="D69" s="670"/>
      <c r="E69" s="670"/>
      <c r="F69" s="670">
        <f>SUBTOTAL(9,F56:F68)</f>
        <v>492800000.00000006</v>
      </c>
      <c r="G69" s="670"/>
      <c r="H69" s="670">
        <f t="shared" ref="H69:T69" si="14">SUBTOTAL(9,H56:H68)</f>
        <v>88000000</v>
      </c>
      <c r="I69" s="670">
        <f t="shared" si="14"/>
        <v>24200000.000000004</v>
      </c>
      <c r="J69" s="670">
        <f t="shared" si="14"/>
        <v>67100000</v>
      </c>
      <c r="K69" s="670">
        <f t="shared" si="14"/>
        <v>0</v>
      </c>
      <c r="L69" s="670">
        <f t="shared" si="14"/>
        <v>99550000</v>
      </c>
      <c r="M69" s="670">
        <f t="shared" si="14"/>
        <v>13200000.000000002</v>
      </c>
      <c r="N69" s="670">
        <f t="shared" si="14"/>
        <v>44000000</v>
      </c>
      <c r="O69" s="670">
        <f t="shared" si="14"/>
        <v>0</v>
      </c>
      <c r="P69" s="670">
        <f t="shared" si="14"/>
        <v>49500000</v>
      </c>
      <c r="Q69" s="670">
        <f t="shared" si="14"/>
        <v>0</v>
      </c>
      <c r="R69" s="670">
        <f t="shared" si="14"/>
        <v>94050000</v>
      </c>
      <c r="S69" s="670">
        <f t="shared" si="14"/>
        <v>13200000.000000002</v>
      </c>
      <c r="T69" s="670">
        <f t="shared" si="14"/>
        <v>492800000</v>
      </c>
    </row>
    <row r="70" spans="1:20" s="665" customFormat="1" ht="40" customHeight="1" x14ac:dyDescent="0.35">
      <c r="A70" s="659" t="s">
        <v>55</v>
      </c>
      <c r="B70" s="660" t="s">
        <v>55</v>
      </c>
      <c r="C70" s="661" t="s">
        <v>573</v>
      </c>
      <c r="D70" s="662"/>
      <c r="E70" s="662"/>
      <c r="F70" s="682"/>
      <c r="G70" s="663"/>
      <c r="H70" s="662"/>
      <c r="I70" s="662"/>
      <c r="J70" s="662"/>
      <c r="K70" s="662"/>
      <c r="L70" s="662"/>
      <c r="M70" s="662"/>
      <c r="N70" s="662"/>
      <c r="O70" s="662"/>
      <c r="P70" s="662"/>
      <c r="Q70" s="662"/>
      <c r="R70" s="662"/>
      <c r="S70" s="662"/>
      <c r="T70" s="1277"/>
    </row>
    <row r="71" spans="1:20" s="665" customFormat="1" ht="40" customHeight="1" x14ac:dyDescent="0.35">
      <c r="A71" s="659" t="s">
        <v>55</v>
      </c>
      <c r="B71" s="660">
        <v>1</v>
      </c>
      <c r="C71" s="666" t="s">
        <v>317</v>
      </c>
      <c r="D71" s="662"/>
      <c r="E71" s="662"/>
      <c r="F71" s="682">
        <f>'Depreciation - MF'!F71*1.1</f>
        <v>290400000</v>
      </c>
      <c r="G71" s="663">
        <f>'Depreciation - MF'!G71</f>
        <v>12</v>
      </c>
      <c r="H71" s="662">
        <f>$F$71/12</f>
        <v>24200000</v>
      </c>
      <c r="I71" s="662">
        <f t="shared" ref="I71:S71" si="15">$F$71/12</f>
        <v>24200000</v>
      </c>
      <c r="J71" s="662">
        <f t="shared" si="15"/>
        <v>24200000</v>
      </c>
      <c r="K71" s="662">
        <f t="shared" si="15"/>
        <v>24200000</v>
      </c>
      <c r="L71" s="662">
        <f t="shared" si="15"/>
        <v>24200000</v>
      </c>
      <c r="M71" s="662">
        <f t="shared" si="15"/>
        <v>24200000</v>
      </c>
      <c r="N71" s="662">
        <f t="shared" si="15"/>
        <v>24200000</v>
      </c>
      <c r="O71" s="662">
        <f t="shared" si="15"/>
        <v>24200000</v>
      </c>
      <c r="P71" s="662">
        <f t="shared" si="15"/>
        <v>24200000</v>
      </c>
      <c r="Q71" s="662">
        <f t="shared" si="15"/>
        <v>24200000</v>
      </c>
      <c r="R71" s="662">
        <f t="shared" si="15"/>
        <v>24200000</v>
      </c>
      <c r="S71" s="662">
        <f t="shared" si="15"/>
        <v>24200000</v>
      </c>
      <c r="T71" s="1277">
        <f t="shared" ref="T71" si="16">SUM(H71:S71)</f>
        <v>290400000</v>
      </c>
    </row>
    <row r="72" spans="1:20" s="665" customFormat="1" ht="40" customHeight="1" x14ac:dyDescent="0.35">
      <c r="A72" s="659" t="s">
        <v>55</v>
      </c>
      <c r="B72" s="660">
        <v>2.1</v>
      </c>
      <c r="C72" s="666" t="s">
        <v>320</v>
      </c>
      <c r="D72" s="662"/>
      <c r="E72" s="662"/>
      <c r="F72" s="682">
        <f>'Depreciation - MF'!F72*1.1</f>
        <v>44000000</v>
      </c>
      <c r="G72" s="663">
        <f>'Depreciation - MF'!G72</f>
        <v>12</v>
      </c>
      <c r="H72" s="662"/>
      <c r="I72" s="662"/>
      <c r="J72" s="662"/>
      <c r="K72" s="662"/>
      <c r="L72" s="662">
        <f>F72</f>
        <v>44000000</v>
      </c>
      <c r="M72" s="662"/>
      <c r="N72" s="662"/>
      <c r="O72" s="662"/>
      <c r="P72" s="662"/>
      <c r="Q72" s="662"/>
      <c r="R72" s="662"/>
      <c r="S72" s="662"/>
      <c r="T72" s="1277">
        <f t="shared" ref="T72" si="17">SUM(H72:S72)</f>
        <v>44000000</v>
      </c>
    </row>
    <row r="73" spans="1:20" s="665" customFormat="1" ht="40" customHeight="1" x14ac:dyDescent="0.35">
      <c r="A73" s="659" t="s">
        <v>55</v>
      </c>
      <c r="B73" s="660">
        <v>2.2000000000000002</v>
      </c>
      <c r="C73" s="666" t="s">
        <v>322</v>
      </c>
      <c r="D73" s="662"/>
      <c r="E73" s="662"/>
      <c r="F73" s="682">
        <f>'Depreciation - MF'!F73*1.1</f>
        <v>47916000.000000007</v>
      </c>
      <c r="G73" s="663">
        <f>'Depreciation - MF'!G73</f>
        <v>12</v>
      </c>
      <c r="H73" s="662"/>
      <c r="I73" s="662"/>
      <c r="J73" s="662"/>
      <c r="K73" s="662"/>
      <c r="L73" s="662"/>
      <c r="M73" s="662">
        <f>F73/2</f>
        <v>23958000.000000004</v>
      </c>
      <c r="N73" s="662"/>
      <c r="O73" s="662"/>
      <c r="P73" s="662"/>
      <c r="Q73" s="662"/>
      <c r="R73" s="662"/>
      <c r="S73" s="662">
        <f>M73</f>
        <v>23958000.000000004</v>
      </c>
      <c r="T73" s="1277">
        <f t="shared" ref="T73:T77" si="18">SUM(H73:S73)</f>
        <v>47916000.000000007</v>
      </c>
    </row>
    <row r="74" spans="1:20" s="665" customFormat="1" ht="40" customHeight="1" x14ac:dyDescent="0.35">
      <c r="A74" s="659" t="s">
        <v>55</v>
      </c>
      <c r="B74" s="660">
        <v>2.2999999999999998</v>
      </c>
      <c r="C74" s="666" t="s">
        <v>324</v>
      </c>
      <c r="D74" s="662"/>
      <c r="E74" s="662"/>
      <c r="F74" s="682">
        <f>'Depreciation - MF'!F74*1.1</f>
        <v>16500000.000000002</v>
      </c>
      <c r="G74" s="663">
        <f>'Depreciation - MF'!G74</f>
        <v>12</v>
      </c>
      <c r="H74" s="662"/>
      <c r="I74" s="662"/>
      <c r="J74" s="662"/>
      <c r="K74" s="662"/>
      <c r="L74" s="662"/>
      <c r="M74" s="662">
        <f>F74/2</f>
        <v>8250000.0000000009</v>
      </c>
      <c r="N74" s="662"/>
      <c r="O74" s="662"/>
      <c r="P74" s="662"/>
      <c r="Q74" s="662"/>
      <c r="R74" s="662"/>
      <c r="S74" s="662">
        <f>M74</f>
        <v>8250000.0000000009</v>
      </c>
      <c r="T74" s="1277">
        <f>SUM(H74:S74)</f>
        <v>16500000.000000002</v>
      </c>
    </row>
    <row r="75" spans="1:20" s="665" customFormat="1" ht="40" customHeight="1" x14ac:dyDescent="0.35">
      <c r="A75" s="659" t="s">
        <v>55</v>
      </c>
      <c r="B75" s="660">
        <v>2.4</v>
      </c>
      <c r="C75" s="666" t="s">
        <v>485</v>
      </c>
      <c r="D75" s="662"/>
      <c r="E75" s="662"/>
      <c r="F75" s="682">
        <f>'Depreciation - MF'!F75*1.1</f>
        <v>22000000</v>
      </c>
      <c r="G75" s="663">
        <f>'Depreciation - MF'!G75</f>
        <v>12</v>
      </c>
      <c r="H75" s="662"/>
      <c r="I75" s="662"/>
      <c r="J75" s="662">
        <f>F75</f>
        <v>22000000</v>
      </c>
      <c r="K75" s="662"/>
      <c r="L75" s="662"/>
      <c r="M75" s="662"/>
      <c r="N75" s="662"/>
      <c r="O75" s="662"/>
      <c r="P75" s="662"/>
      <c r="Q75" s="662"/>
      <c r="R75" s="662"/>
      <c r="S75" s="662"/>
      <c r="T75" s="1277">
        <f t="shared" si="18"/>
        <v>22000000</v>
      </c>
    </row>
    <row r="76" spans="1:20" s="665" customFormat="1" ht="40" customHeight="1" x14ac:dyDescent="0.35">
      <c r="A76" s="659" t="s">
        <v>55</v>
      </c>
      <c r="B76" s="660">
        <v>2.5</v>
      </c>
      <c r="C76" s="666" t="s">
        <v>486</v>
      </c>
      <c r="D76" s="662"/>
      <c r="E76" s="662"/>
      <c r="F76" s="682">
        <f>'Depreciation - MF'!F76*1.1</f>
        <v>5500000</v>
      </c>
      <c r="G76" s="663">
        <f>'Depreciation - MF'!G76</f>
        <v>12</v>
      </c>
      <c r="H76" s="662"/>
      <c r="I76" s="662"/>
      <c r="J76" s="662">
        <f>F76</f>
        <v>5500000</v>
      </c>
      <c r="K76" s="662"/>
      <c r="L76" s="662"/>
      <c r="M76" s="662"/>
      <c r="N76" s="662"/>
      <c r="O76" s="662"/>
      <c r="P76" s="662"/>
      <c r="Q76" s="662"/>
      <c r="R76" s="662"/>
      <c r="S76" s="662"/>
      <c r="T76" s="1277">
        <f t="shared" si="18"/>
        <v>5500000</v>
      </c>
    </row>
    <row r="77" spans="1:20" s="665" customFormat="1" ht="40" customHeight="1" x14ac:dyDescent="0.35">
      <c r="A77" s="659" t="s">
        <v>55</v>
      </c>
      <c r="B77" s="660">
        <v>2.6</v>
      </c>
      <c r="C77" s="666" t="s">
        <v>248</v>
      </c>
      <c r="D77" s="662"/>
      <c r="E77" s="662"/>
      <c r="F77" s="682">
        <f>'Depreciation - MF'!F77*1.1</f>
        <v>55000000.000000007</v>
      </c>
      <c r="G77" s="663">
        <f>'Depreciation - MF'!G77</f>
        <v>12</v>
      </c>
      <c r="H77" s="662"/>
      <c r="I77" s="662">
        <f>F77/2</f>
        <v>27500000.000000004</v>
      </c>
      <c r="J77" s="662"/>
      <c r="K77" s="662"/>
      <c r="L77" s="662"/>
      <c r="M77" s="662"/>
      <c r="N77" s="662">
        <f>I77</f>
        <v>27500000.000000004</v>
      </c>
      <c r="O77" s="662"/>
      <c r="P77" s="662"/>
      <c r="Q77" s="662"/>
      <c r="R77" s="662"/>
      <c r="S77" s="662"/>
      <c r="T77" s="1277">
        <f t="shared" si="18"/>
        <v>55000000.000000007</v>
      </c>
    </row>
    <row r="78" spans="1:20" s="665" customFormat="1" ht="40" customHeight="1" x14ac:dyDescent="0.35">
      <c r="A78" s="667" t="s">
        <v>605</v>
      </c>
      <c r="B78" s="668"/>
      <c r="C78" s="669" t="s">
        <v>573</v>
      </c>
      <c r="D78" s="670"/>
      <c r="E78" s="670"/>
      <c r="F78" s="670">
        <f>SUBTOTAL(9,F70:F77)</f>
        <v>481316000</v>
      </c>
      <c r="G78" s="670"/>
      <c r="H78" s="670">
        <f t="shared" ref="H78:T78" si="19">SUBTOTAL(9,H70:H77)</f>
        <v>24200000</v>
      </c>
      <c r="I78" s="670">
        <f t="shared" si="19"/>
        <v>51700000</v>
      </c>
      <c r="J78" s="670">
        <f t="shared" si="19"/>
        <v>51700000</v>
      </c>
      <c r="K78" s="670">
        <f t="shared" si="19"/>
        <v>24200000</v>
      </c>
      <c r="L78" s="670">
        <f t="shared" si="19"/>
        <v>68200000</v>
      </c>
      <c r="M78" s="670">
        <f t="shared" si="19"/>
        <v>56408000</v>
      </c>
      <c r="N78" s="670">
        <f t="shared" si="19"/>
        <v>51700000</v>
      </c>
      <c r="O78" s="670">
        <f t="shared" si="19"/>
        <v>24200000</v>
      </c>
      <c r="P78" s="670">
        <f t="shared" si="19"/>
        <v>24200000</v>
      </c>
      <c r="Q78" s="670">
        <f t="shared" si="19"/>
        <v>24200000</v>
      </c>
      <c r="R78" s="670">
        <f t="shared" si="19"/>
        <v>24200000</v>
      </c>
      <c r="S78" s="670">
        <f t="shared" si="19"/>
        <v>56408000</v>
      </c>
      <c r="T78" s="670">
        <f t="shared" si="19"/>
        <v>481316000</v>
      </c>
    </row>
    <row r="79" spans="1:20" s="665" customFormat="1" ht="40" customHeight="1" x14ac:dyDescent="0.35">
      <c r="A79" s="659" t="s">
        <v>49</v>
      </c>
      <c r="B79" s="660"/>
      <c r="C79" s="661" t="s">
        <v>575</v>
      </c>
      <c r="D79" s="662"/>
      <c r="E79" s="662"/>
      <c r="F79" s="682"/>
      <c r="G79" s="663"/>
      <c r="H79" s="662"/>
      <c r="I79" s="662"/>
      <c r="J79" s="662"/>
      <c r="K79" s="662"/>
      <c r="L79" s="662"/>
      <c r="M79" s="662"/>
      <c r="N79" s="662"/>
      <c r="O79" s="662"/>
      <c r="P79" s="662"/>
      <c r="Q79" s="662"/>
      <c r="R79" s="662"/>
      <c r="S79" s="662"/>
      <c r="T79" s="1277"/>
    </row>
    <row r="80" spans="1:20" s="665" customFormat="1" ht="40" customHeight="1" x14ac:dyDescent="0.35">
      <c r="A80" s="659" t="s">
        <v>49</v>
      </c>
      <c r="B80" s="660">
        <v>1</v>
      </c>
      <c r="C80" s="666" t="s">
        <v>495</v>
      </c>
      <c r="D80" s="662"/>
      <c r="E80" s="662"/>
      <c r="F80" s="682">
        <f>'Depreciation - MF'!F80*1.1</f>
        <v>143440000</v>
      </c>
      <c r="G80" s="663">
        <f>'Depreciation - MF'!G80</f>
        <v>12</v>
      </c>
      <c r="H80" s="662"/>
      <c r="I80" s="662"/>
      <c r="J80" s="662"/>
      <c r="K80" s="662">
        <f>F80</f>
        <v>143440000</v>
      </c>
      <c r="L80" s="662"/>
      <c r="M80" s="662"/>
      <c r="N80" s="662"/>
      <c r="O80" s="662"/>
      <c r="P80" s="662"/>
      <c r="Q80" s="662"/>
      <c r="R80" s="662"/>
      <c r="S80" s="662"/>
      <c r="T80" s="1277">
        <f t="shared" ref="T80" si="20">SUM(H80:S80)</f>
        <v>143440000</v>
      </c>
    </row>
    <row r="81" spans="1:20" s="665" customFormat="1" ht="40" customHeight="1" x14ac:dyDescent="0.35">
      <c r="A81" s="659" t="s">
        <v>49</v>
      </c>
      <c r="B81" s="660">
        <v>2.1</v>
      </c>
      <c r="C81" s="666" t="s">
        <v>333</v>
      </c>
      <c r="D81" s="662"/>
      <c r="E81" s="662"/>
      <c r="F81" s="682">
        <f>'Depreciation - MF'!F81*1.1</f>
        <v>88000000</v>
      </c>
      <c r="G81" s="663">
        <f>'Depreciation - MF'!G81</f>
        <v>12</v>
      </c>
      <c r="H81" s="662"/>
      <c r="I81" s="662"/>
      <c r="J81" s="662">
        <f>F81/2</f>
        <v>44000000</v>
      </c>
      <c r="K81" s="662"/>
      <c r="L81" s="662"/>
      <c r="M81" s="662"/>
      <c r="N81" s="662"/>
      <c r="O81" s="662">
        <f>J81</f>
        <v>44000000</v>
      </c>
      <c r="P81" s="662"/>
      <c r="Q81" s="662"/>
      <c r="R81" s="662"/>
      <c r="S81" s="662"/>
      <c r="T81" s="1277">
        <f t="shared" ref="T81" si="21">SUM(H81:S81)</f>
        <v>88000000</v>
      </c>
    </row>
    <row r="82" spans="1:20" s="665" customFormat="1" ht="40" customHeight="1" x14ac:dyDescent="0.35">
      <c r="A82" s="659" t="s">
        <v>49</v>
      </c>
      <c r="B82" s="660">
        <v>2.2000000000000002</v>
      </c>
      <c r="C82" s="666" t="s">
        <v>335</v>
      </c>
      <c r="D82" s="662"/>
      <c r="E82" s="662"/>
      <c r="F82" s="682">
        <f>'Depreciation - MF'!F82*1.1</f>
        <v>11000000</v>
      </c>
      <c r="G82" s="663">
        <f>'Depreciation - MF'!G82</f>
        <v>12</v>
      </c>
      <c r="H82" s="662"/>
      <c r="I82" s="662"/>
      <c r="J82" s="662"/>
      <c r="K82" s="662">
        <f>F82/2</f>
        <v>5500000</v>
      </c>
      <c r="L82" s="662"/>
      <c r="M82" s="662"/>
      <c r="N82" s="662"/>
      <c r="O82" s="662"/>
      <c r="P82" s="662">
        <f>K82</f>
        <v>5500000</v>
      </c>
      <c r="Q82" s="662"/>
      <c r="R82" s="662"/>
      <c r="S82" s="662"/>
      <c r="T82" s="1277">
        <f t="shared" ref="T82:T85" si="22">SUM(H82:S82)</f>
        <v>11000000</v>
      </c>
    </row>
    <row r="83" spans="1:20" s="665" customFormat="1" ht="40" customHeight="1" x14ac:dyDescent="0.35">
      <c r="A83" s="659" t="s">
        <v>49</v>
      </c>
      <c r="B83" s="660">
        <v>2.2999999999999998</v>
      </c>
      <c r="C83" s="666" t="s">
        <v>496</v>
      </c>
      <c r="D83" s="662"/>
      <c r="E83" s="662"/>
      <c r="F83" s="682">
        <f>'Depreciation - MF'!F83*1.1</f>
        <v>72600000</v>
      </c>
      <c r="G83" s="663">
        <f>'Depreciation - MF'!G83</f>
        <v>12</v>
      </c>
      <c r="H83" s="662"/>
      <c r="I83" s="662"/>
      <c r="J83" s="662">
        <f>F83</f>
        <v>72600000</v>
      </c>
      <c r="K83" s="662"/>
      <c r="L83" s="662"/>
      <c r="M83" s="662"/>
      <c r="N83" s="662"/>
      <c r="O83" s="662"/>
      <c r="P83" s="662"/>
      <c r="Q83" s="662"/>
      <c r="R83" s="662"/>
      <c r="S83" s="662"/>
      <c r="T83" s="1277">
        <f t="shared" si="22"/>
        <v>72600000</v>
      </c>
    </row>
    <row r="84" spans="1:20" s="665" customFormat="1" ht="40" customHeight="1" x14ac:dyDescent="0.35">
      <c r="A84" s="659" t="s">
        <v>49</v>
      </c>
      <c r="B84" s="660">
        <v>2.4</v>
      </c>
      <c r="C84" s="666" t="s">
        <v>497</v>
      </c>
      <c r="D84" s="662"/>
      <c r="E84" s="662"/>
      <c r="F84" s="682">
        <f>'Depreciation - MF'!F84*1.1</f>
        <v>68750000</v>
      </c>
      <c r="G84" s="663">
        <f>'Depreciation - MF'!G84</f>
        <v>12</v>
      </c>
      <c r="H84" s="662"/>
      <c r="I84" s="662"/>
      <c r="J84" s="662"/>
      <c r="K84" s="662">
        <f>F84</f>
        <v>68750000</v>
      </c>
      <c r="L84" s="662"/>
      <c r="M84" s="662"/>
      <c r="N84" s="662"/>
      <c r="O84" s="662"/>
      <c r="P84" s="662"/>
      <c r="Q84" s="662"/>
      <c r="R84" s="662"/>
      <c r="S84" s="662"/>
      <c r="T84" s="1277">
        <f t="shared" si="22"/>
        <v>68750000</v>
      </c>
    </row>
    <row r="85" spans="1:20" s="665" customFormat="1" ht="40" customHeight="1" x14ac:dyDescent="0.35">
      <c r="A85" s="659" t="s">
        <v>49</v>
      </c>
      <c r="B85" s="660">
        <v>2.5</v>
      </c>
      <c r="C85" s="666" t="s">
        <v>253</v>
      </c>
      <c r="D85" s="662"/>
      <c r="E85" s="662"/>
      <c r="F85" s="682">
        <f>'Depreciation - MF'!F85*1.1</f>
        <v>33000000.000000004</v>
      </c>
      <c r="G85" s="663">
        <f>'Depreciation - MF'!G85</f>
        <v>12</v>
      </c>
      <c r="H85" s="662"/>
      <c r="I85" s="662"/>
      <c r="J85" s="662"/>
      <c r="K85" s="662"/>
      <c r="L85" s="662">
        <f>F85</f>
        <v>33000000.000000004</v>
      </c>
      <c r="M85" s="662"/>
      <c r="N85" s="662"/>
      <c r="O85" s="662"/>
      <c r="P85" s="662"/>
      <c r="Q85" s="662"/>
      <c r="R85" s="662"/>
      <c r="S85" s="662"/>
      <c r="T85" s="1277">
        <f t="shared" si="22"/>
        <v>33000000.000000004</v>
      </c>
    </row>
    <row r="86" spans="1:20" s="665" customFormat="1" ht="40" customHeight="1" x14ac:dyDescent="0.35">
      <c r="A86" s="667" t="s">
        <v>606</v>
      </c>
      <c r="B86" s="668"/>
      <c r="C86" s="669" t="s">
        <v>575</v>
      </c>
      <c r="D86" s="670"/>
      <c r="E86" s="670"/>
      <c r="F86" s="670">
        <f>SUBTOTAL(9,F79:F85)</f>
        <v>416790000</v>
      </c>
      <c r="G86" s="670"/>
      <c r="H86" s="670">
        <f t="shared" ref="H86:T86" si="23">SUBTOTAL(9,H79:H85)</f>
        <v>0</v>
      </c>
      <c r="I86" s="670">
        <f t="shared" si="23"/>
        <v>0</v>
      </c>
      <c r="J86" s="670">
        <f t="shared" si="23"/>
        <v>116600000</v>
      </c>
      <c r="K86" s="670">
        <f t="shared" si="23"/>
        <v>217690000</v>
      </c>
      <c r="L86" s="670">
        <f t="shared" si="23"/>
        <v>33000000.000000004</v>
      </c>
      <c r="M86" s="670">
        <f t="shared" si="23"/>
        <v>0</v>
      </c>
      <c r="N86" s="670">
        <f t="shared" si="23"/>
        <v>0</v>
      </c>
      <c r="O86" s="670">
        <f t="shared" si="23"/>
        <v>44000000</v>
      </c>
      <c r="P86" s="670">
        <f t="shared" si="23"/>
        <v>5500000</v>
      </c>
      <c r="Q86" s="670">
        <f t="shared" si="23"/>
        <v>0</v>
      </c>
      <c r="R86" s="670">
        <f t="shared" si="23"/>
        <v>0</v>
      </c>
      <c r="S86" s="670">
        <f t="shared" si="23"/>
        <v>0</v>
      </c>
      <c r="T86" s="670">
        <f t="shared" si="23"/>
        <v>416790000</v>
      </c>
    </row>
    <row r="87" spans="1:20" s="665" customFormat="1" ht="40" customHeight="1" x14ac:dyDescent="0.35">
      <c r="A87" s="659" t="s">
        <v>37</v>
      </c>
      <c r="B87" s="660" t="s">
        <v>37</v>
      </c>
      <c r="C87" s="661" t="s">
        <v>576</v>
      </c>
      <c r="D87" s="662"/>
      <c r="E87" s="662"/>
      <c r="F87" s="682"/>
      <c r="G87" s="663"/>
      <c r="H87" s="662"/>
      <c r="I87" s="662"/>
      <c r="J87" s="662"/>
      <c r="K87" s="662"/>
      <c r="L87" s="662"/>
      <c r="M87" s="662"/>
      <c r="N87" s="662"/>
      <c r="O87" s="662"/>
      <c r="P87" s="662"/>
      <c r="Q87" s="662"/>
      <c r="R87" s="662"/>
      <c r="S87" s="662"/>
      <c r="T87" s="1277"/>
    </row>
    <row r="88" spans="1:20" s="665" customFormat="1" ht="40" customHeight="1" x14ac:dyDescent="0.35">
      <c r="A88" s="659" t="s">
        <v>37</v>
      </c>
      <c r="B88" s="660">
        <v>1</v>
      </c>
      <c r="C88" s="666" t="s">
        <v>285</v>
      </c>
      <c r="D88" s="662"/>
      <c r="E88" s="662"/>
      <c r="F88" s="682">
        <f>'Depreciation - MF'!F88*1.1</f>
        <v>275000000</v>
      </c>
      <c r="G88" s="663">
        <f>'Depreciation - MF'!G88</f>
        <v>12</v>
      </c>
      <c r="H88" s="671">
        <f>F88/12</f>
        <v>22916666.666666668</v>
      </c>
      <c r="I88" s="662">
        <f>H88</f>
        <v>22916666.666666668</v>
      </c>
      <c r="J88" s="662">
        <f t="shared" ref="J88:S88" si="24">I88</f>
        <v>22916666.666666668</v>
      </c>
      <c r="K88" s="662">
        <f t="shared" si="24"/>
        <v>22916666.666666668</v>
      </c>
      <c r="L88" s="662">
        <f t="shared" si="24"/>
        <v>22916666.666666668</v>
      </c>
      <c r="M88" s="662">
        <f t="shared" si="24"/>
        <v>22916666.666666668</v>
      </c>
      <c r="N88" s="662">
        <f t="shared" si="24"/>
        <v>22916666.666666668</v>
      </c>
      <c r="O88" s="662">
        <f t="shared" si="24"/>
        <v>22916666.666666668</v>
      </c>
      <c r="P88" s="662">
        <f t="shared" si="24"/>
        <v>22916666.666666668</v>
      </c>
      <c r="Q88" s="662">
        <f t="shared" si="24"/>
        <v>22916666.666666668</v>
      </c>
      <c r="R88" s="662">
        <f t="shared" si="24"/>
        <v>22916666.666666668</v>
      </c>
      <c r="S88" s="662">
        <f t="shared" si="24"/>
        <v>22916666.666666668</v>
      </c>
      <c r="T88" s="1277">
        <f t="shared" ref="T88" si="25">SUM(H88:S88)</f>
        <v>274999999.99999994</v>
      </c>
    </row>
    <row r="89" spans="1:20" s="665" customFormat="1" ht="40" customHeight="1" x14ac:dyDescent="0.35">
      <c r="A89" s="659" t="s">
        <v>37</v>
      </c>
      <c r="B89" s="660">
        <v>2.1</v>
      </c>
      <c r="C89" s="666" t="s">
        <v>500</v>
      </c>
      <c r="D89" s="662"/>
      <c r="E89" s="662"/>
      <c r="F89" s="682">
        <f>'Depreciation - MF'!F89*1.1</f>
        <v>44000000</v>
      </c>
      <c r="G89" s="663">
        <f>'Depreciation - MF'!G89</f>
        <v>12</v>
      </c>
      <c r="H89" s="662"/>
      <c r="I89" s="662"/>
      <c r="J89" s="662"/>
      <c r="K89" s="662">
        <f>F89/2</f>
        <v>22000000</v>
      </c>
      <c r="L89" s="662"/>
      <c r="M89" s="662"/>
      <c r="N89" s="662"/>
      <c r="O89" s="662"/>
      <c r="P89" s="662"/>
      <c r="Q89" s="662">
        <f>K89</f>
        <v>22000000</v>
      </c>
      <c r="R89" s="662"/>
      <c r="S89" s="662"/>
      <c r="T89" s="1277">
        <f t="shared" ref="T89" si="26">SUM(H89:S89)</f>
        <v>44000000</v>
      </c>
    </row>
    <row r="90" spans="1:20" s="665" customFormat="1" ht="40" customHeight="1" x14ac:dyDescent="0.35">
      <c r="A90" s="659" t="s">
        <v>37</v>
      </c>
      <c r="B90" s="660">
        <v>2.2000000000000002</v>
      </c>
      <c r="C90" s="666" t="s">
        <v>255</v>
      </c>
      <c r="D90" s="662"/>
      <c r="E90" s="662"/>
      <c r="F90" s="682">
        <f>'Depreciation - MF'!F90*1.1</f>
        <v>11000000</v>
      </c>
      <c r="G90" s="663">
        <f>'Depreciation - MF'!G90</f>
        <v>12</v>
      </c>
      <c r="H90" s="662"/>
      <c r="I90" s="662"/>
      <c r="J90" s="662"/>
      <c r="K90" s="662">
        <f>F90/2</f>
        <v>5500000</v>
      </c>
      <c r="L90" s="662"/>
      <c r="M90" s="662"/>
      <c r="N90" s="662"/>
      <c r="O90" s="662"/>
      <c r="P90" s="662"/>
      <c r="Q90" s="662">
        <f>K90</f>
        <v>5500000</v>
      </c>
      <c r="R90" s="662"/>
      <c r="S90" s="662"/>
      <c r="T90" s="1277">
        <f t="shared" ref="T90" si="27">SUM(H90:S90)</f>
        <v>11000000</v>
      </c>
    </row>
    <row r="91" spans="1:20" s="665" customFormat="1" ht="40" customHeight="1" x14ac:dyDescent="0.35">
      <c r="A91" s="667" t="s">
        <v>607</v>
      </c>
      <c r="B91" s="668"/>
      <c r="C91" s="669" t="s">
        <v>576</v>
      </c>
      <c r="D91" s="670"/>
      <c r="E91" s="670"/>
      <c r="F91" s="670">
        <f t="shared" ref="F91" si="28">SUBTOTAL(9,F87:F90)</f>
        <v>330000000</v>
      </c>
      <c r="G91" s="670"/>
      <c r="H91" s="670">
        <f t="shared" ref="H91:T91" si="29">SUBTOTAL(9,H87:H90)</f>
        <v>22916666.666666668</v>
      </c>
      <c r="I91" s="670">
        <f t="shared" si="29"/>
        <v>22916666.666666668</v>
      </c>
      <c r="J91" s="670">
        <f t="shared" si="29"/>
        <v>22916666.666666668</v>
      </c>
      <c r="K91" s="670">
        <f t="shared" si="29"/>
        <v>50416666.666666672</v>
      </c>
      <c r="L91" s="670">
        <f t="shared" si="29"/>
        <v>22916666.666666668</v>
      </c>
      <c r="M91" s="670">
        <f t="shared" si="29"/>
        <v>22916666.666666668</v>
      </c>
      <c r="N91" s="670">
        <f t="shared" si="29"/>
        <v>22916666.666666668</v>
      </c>
      <c r="O91" s="670">
        <f t="shared" si="29"/>
        <v>22916666.666666668</v>
      </c>
      <c r="P91" s="670">
        <f t="shared" si="29"/>
        <v>22916666.666666668</v>
      </c>
      <c r="Q91" s="670">
        <f t="shared" si="29"/>
        <v>50416666.666666672</v>
      </c>
      <c r="R91" s="670">
        <f t="shared" si="29"/>
        <v>22916666.666666668</v>
      </c>
      <c r="S91" s="670">
        <f t="shared" si="29"/>
        <v>22916666.666666668</v>
      </c>
      <c r="T91" s="670">
        <f t="shared" si="29"/>
        <v>329999999.99999994</v>
      </c>
    </row>
    <row r="92" spans="1:20" s="665" customFormat="1" ht="40" customHeight="1" x14ac:dyDescent="0.35">
      <c r="A92" s="659" t="s">
        <v>43</v>
      </c>
      <c r="B92" s="660" t="s">
        <v>43</v>
      </c>
      <c r="C92" s="661" t="s">
        <v>579</v>
      </c>
      <c r="D92" s="662"/>
      <c r="E92" s="662"/>
      <c r="F92" s="682"/>
      <c r="G92" s="663"/>
      <c r="H92" s="662"/>
      <c r="I92" s="662"/>
      <c r="J92" s="662"/>
      <c r="K92" s="662"/>
      <c r="L92" s="662"/>
      <c r="M92" s="662"/>
      <c r="N92" s="662"/>
      <c r="O92" s="662"/>
      <c r="P92" s="662"/>
      <c r="Q92" s="662"/>
      <c r="R92" s="662"/>
      <c r="S92" s="662"/>
      <c r="T92" s="1277"/>
    </row>
    <row r="93" spans="1:20" s="665" customFormat="1" ht="40" customHeight="1" x14ac:dyDescent="0.35">
      <c r="A93" s="659" t="s">
        <v>43</v>
      </c>
      <c r="B93" s="660">
        <v>1</v>
      </c>
      <c r="C93" s="666" t="s">
        <v>643</v>
      </c>
      <c r="D93" s="662"/>
      <c r="E93" s="662"/>
      <c r="F93" s="682">
        <f>'Depreciation - MF'!F93*1.1</f>
        <v>71500000</v>
      </c>
      <c r="G93" s="663">
        <f>'Depreciation - MF'!G93</f>
        <v>12</v>
      </c>
      <c r="H93" s="671">
        <f>F93/12</f>
        <v>5958333.333333333</v>
      </c>
      <c r="I93" s="662">
        <f>H93</f>
        <v>5958333.333333333</v>
      </c>
      <c r="J93" s="662">
        <f t="shared" ref="J93:S93" si="30">I93</f>
        <v>5958333.333333333</v>
      </c>
      <c r="K93" s="662">
        <f t="shared" si="30"/>
        <v>5958333.333333333</v>
      </c>
      <c r="L93" s="662">
        <f t="shared" si="30"/>
        <v>5958333.333333333</v>
      </c>
      <c r="M93" s="662">
        <f t="shared" si="30"/>
        <v>5958333.333333333</v>
      </c>
      <c r="N93" s="662">
        <f t="shared" si="30"/>
        <v>5958333.333333333</v>
      </c>
      <c r="O93" s="662">
        <f t="shared" si="30"/>
        <v>5958333.333333333</v>
      </c>
      <c r="P93" s="662">
        <f t="shared" si="30"/>
        <v>5958333.333333333</v>
      </c>
      <c r="Q93" s="662">
        <f t="shared" si="30"/>
        <v>5958333.333333333</v>
      </c>
      <c r="R93" s="662">
        <f t="shared" si="30"/>
        <v>5958333.333333333</v>
      </c>
      <c r="S93" s="662">
        <f t="shared" si="30"/>
        <v>5958333.333333333</v>
      </c>
      <c r="T93" s="1277">
        <f t="shared" ref="T93" si="31">SUM(H93:S93)</f>
        <v>71500000.000000015</v>
      </c>
    </row>
    <row r="94" spans="1:20" s="665" customFormat="1" ht="40" customHeight="1" x14ac:dyDescent="0.35">
      <c r="A94" s="659" t="s">
        <v>43</v>
      </c>
      <c r="B94" s="660" t="s">
        <v>498</v>
      </c>
      <c r="C94" s="666" t="s">
        <v>337</v>
      </c>
      <c r="D94" s="662"/>
      <c r="E94" s="662"/>
      <c r="F94" s="682">
        <f>'Depreciation - MF'!F94*1.1</f>
        <v>77000000</v>
      </c>
      <c r="G94" s="663">
        <f>'Depreciation - MF'!G94</f>
        <v>12</v>
      </c>
      <c r="H94" s="662">
        <f>F94/2</f>
        <v>38500000</v>
      </c>
      <c r="I94" s="662"/>
      <c r="J94" s="662"/>
      <c r="K94" s="662"/>
      <c r="L94" s="662"/>
      <c r="M94" s="662">
        <f>H94</f>
        <v>38500000</v>
      </c>
      <c r="N94" s="662"/>
      <c r="O94" s="662"/>
      <c r="P94" s="662"/>
      <c r="Q94" s="662"/>
      <c r="R94" s="662"/>
      <c r="S94" s="662"/>
      <c r="T94" s="1277">
        <f t="shared" ref="T94" si="32">SUM(H94:S94)</f>
        <v>77000000</v>
      </c>
    </row>
    <row r="95" spans="1:20" s="665" customFormat="1" ht="40" customHeight="1" x14ac:dyDescent="0.35">
      <c r="A95" s="659" t="s">
        <v>43</v>
      </c>
      <c r="B95" s="660" t="s">
        <v>499</v>
      </c>
      <c r="C95" s="666" t="s">
        <v>254</v>
      </c>
      <c r="D95" s="662"/>
      <c r="E95" s="662"/>
      <c r="F95" s="682">
        <f>'Depreciation - MF'!F95*1.1</f>
        <v>5500000</v>
      </c>
      <c r="G95" s="663">
        <f>'Depreciation - MF'!G95</f>
        <v>12</v>
      </c>
      <c r="H95" s="662"/>
      <c r="I95" s="662"/>
      <c r="J95" s="662"/>
      <c r="K95" s="662"/>
      <c r="L95" s="662"/>
      <c r="M95" s="662"/>
      <c r="N95" s="662">
        <f>F95</f>
        <v>5500000</v>
      </c>
      <c r="O95" s="662"/>
      <c r="P95" s="662"/>
      <c r="Q95" s="662"/>
      <c r="R95" s="662"/>
      <c r="S95" s="662"/>
      <c r="T95" s="1277">
        <f t="shared" ref="T95:T101" si="33">SUM(H95:S95)</f>
        <v>5500000</v>
      </c>
    </row>
    <row r="96" spans="1:20" s="675" customFormat="1" ht="40" customHeight="1" x14ac:dyDescent="0.35">
      <c r="A96" s="667" t="s">
        <v>608</v>
      </c>
      <c r="B96" s="672"/>
      <c r="C96" s="673" t="s">
        <v>579</v>
      </c>
      <c r="D96" s="674"/>
      <c r="E96" s="674"/>
      <c r="F96" s="674">
        <f>SUBTOTAL(9,F93:F95)</f>
        <v>154000000</v>
      </c>
      <c r="G96" s="674"/>
      <c r="H96" s="674">
        <f>SUBTOTAL(9,H93:H95)</f>
        <v>44458333.333333336</v>
      </c>
      <c r="I96" s="674">
        <f t="shared" ref="I96:T96" si="34">SUBTOTAL(9,I93:I95)</f>
        <v>5958333.333333333</v>
      </c>
      <c r="J96" s="674">
        <f t="shared" si="34"/>
        <v>5958333.333333333</v>
      </c>
      <c r="K96" s="674">
        <f t="shared" si="34"/>
        <v>5958333.333333333</v>
      </c>
      <c r="L96" s="674">
        <f t="shared" si="34"/>
        <v>5958333.333333333</v>
      </c>
      <c r="M96" s="674">
        <f t="shared" si="34"/>
        <v>44458333.333333336</v>
      </c>
      <c r="N96" s="674">
        <f t="shared" si="34"/>
        <v>11458333.333333332</v>
      </c>
      <c r="O96" s="674">
        <f t="shared" si="34"/>
        <v>5958333.333333333</v>
      </c>
      <c r="P96" s="674">
        <f t="shared" si="34"/>
        <v>5958333.333333333</v>
      </c>
      <c r="Q96" s="674">
        <f t="shared" si="34"/>
        <v>5958333.333333333</v>
      </c>
      <c r="R96" s="674">
        <f t="shared" si="34"/>
        <v>5958333.333333333</v>
      </c>
      <c r="S96" s="674">
        <f t="shared" si="34"/>
        <v>5958333.333333333</v>
      </c>
      <c r="T96" s="670">
        <f t="shared" si="34"/>
        <v>154000000</v>
      </c>
    </row>
    <row r="97" spans="1:20" s="665" customFormat="1" ht="40" customHeight="1" x14ac:dyDescent="0.35">
      <c r="A97" s="659" t="s">
        <v>31</v>
      </c>
      <c r="B97" s="660"/>
      <c r="C97" s="661" t="s">
        <v>621</v>
      </c>
      <c r="D97" s="662"/>
      <c r="E97" s="662"/>
      <c r="F97" s="682"/>
      <c r="G97" s="663"/>
      <c r="H97" s="662"/>
      <c r="I97" s="662"/>
      <c r="J97" s="662"/>
      <c r="K97" s="662"/>
      <c r="L97" s="662"/>
      <c r="M97" s="662"/>
      <c r="N97" s="662"/>
      <c r="O97" s="662"/>
      <c r="P97" s="662"/>
      <c r="Q97" s="662"/>
      <c r="R97" s="662"/>
      <c r="S97" s="662"/>
      <c r="T97" s="1277"/>
    </row>
    <row r="98" spans="1:20" s="665" customFormat="1" ht="40" customHeight="1" x14ac:dyDescent="0.35">
      <c r="A98" s="659" t="s">
        <v>31</v>
      </c>
      <c r="B98" s="660">
        <v>1.1000000000000001</v>
      </c>
      <c r="C98" s="666" t="s">
        <v>339</v>
      </c>
      <c r="D98" s="662"/>
      <c r="E98" s="662"/>
      <c r="F98" s="682">
        <f>'Depreciation - MF'!F98*1.1</f>
        <v>143440000</v>
      </c>
      <c r="G98" s="663">
        <f>'Depreciation - MF'!G98</f>
        <v>12</v>
      </c>
      <c r="H98" s="662"/>
      <c r="I98" s="662"/>
      <c r="J98" s="662">
        <f>F98</f>
        <v>143440000</v>
      </c>
      <c r="K98" s="662"/>
      <c r="L98" s="662"/>
      <c r="M98" s="662"/>
      <c r="N98" s="662"/>
      <c r="O98" s="662"/>
      <c r="P98" s="662"/>
      <c r="Q98" s="662"/>
      <c r="R98" s="662"/>
      <c r="S98" s="662"/>
      <c r="T98" s="1277">
        <f t="shared" si="33"/>
        <v>143440000</v>
      </c>
    </row>
    <row r="99" spans="1:20" s="665" customFormat="1" ht="40" customHeight="1" x14ac:dyDescent="0.35">
      <c r="A99" s="659" t="s">
        <v>31</v>
      </c>
      <c r="B99" s="660">
        <v>1.2</v>
      </c>
      <c r="C99" s="666" t="s">
        <v>330</v>
      </c>
      <c r="D99" s="662"/>
      <c r="E99" s="662"/>
      <c r="F99" s="682">
        <f>'Depreciation - MF'!F99*1.1</f>
        <v>72600000</v>
      </c>
      <c r="G99" s="663">
        <f>'Depreciation - MF'!G99</f>
        <v>12</v>
      </c>
      <c r="H99" s="662"/>
      <c r="I99" s="662"/>
      <c r="J99" s="662">
        <f t="shared" ref="J99:J100" si="35">F99</f>
        <v>72600000</v>
      </c>
      <c r="K99" s="662"/>
      <c r="L99" s="662"/>
      <c r="M99" s="662"/>
      <c r="N99" s="662"/>
      <c r="O99" s="662"/>
      <c r="P99" s="662"/>
      <c r="Q99" s="662"/>
      <c r="R99" s="662"/>
      <c r="S99" s="662"/>
      <c r="T99" s="1277">
        <f t="shared" si="33"/>
        <v>72600000</v>
      </c>
    </row>
    <row r="100" spans="1:20" s="665" customFormat="1" ht="40" customHeight="1" x14ac:dyDescent="0.35">
      <c r="A100" s="659" t="s">
        <v>31</v>
      </c>
      <c r="B100" s="660">
        <v>1.3</v>
      </c>
      <c r="C100" s="666" t="s">
        <v>340</v>
      </c>
      <c r="D100" s="662"/>
      <c r="E100" s="662"/>
      <c r="F100" s="682">
        <f>'Depreciation - MF'!F100*1.1</f>
        <v>68750000</v>
      </c>
      <c r="G100" s="663">
        <f>'Depreciation - MF'!G100</f>
        <v>24</v>
      </c>
      <c r="H100" s="662"/>
      <c r="I100" s="662"/>
      <c r="J100" s="662">
        <f t="shared" si="35"/>
        <v>68750000</v>
      </c>
      <c r="K100" s="662"/>
      <c r="L100" s="662"/>
      <c r="M100" s="662"/>
      <c r="N100" s="662"/>
      <c r="O100" s="662"/>
      <c r="P100" s="662"/>
      <c r="Q100" s="662"/>
      <c r="R100" s="662"/>
      <c r="S100" s="662"/>
      <c r="T100" s="1277">
        <f t="shared" si="33"/>
        <v>68750000</v>
      </c>
    </row>
    <row r="101" spans="1:20" s="665" customFormat="1" ht="40" customHeight="1" x14ac:dyDescent="0.35">
      <c r="A101" s="659" t="s">
        <v>31</v>
      </c>
      <c r="B101" s="660">
        <v>2</v>
      </c>
      <c r="C101" s="666" t="s">
        <v>332</v>
      </c>
      <c r="D101" s="662"/>
      <c r="E101" s="662"/>
      <c r="F101" s="682">
        <f>'Depreciation - MF'!F101*1.1</f>
        <v>55000000.000000007</v>
      </c>
      <c r="G101" s="663">
        <f>'Depreciation - MF'!G101</f>
        <v>12</v>
      </c>
      <c r="H101" s="662"/>
      <c r="I101" s="662"/>
      <c r="J101" s="662"/>
      <c r="K101" s="662">
        <f>F101</f>
        <v>55000000.000000007</v>
      </c>
      <c r="L101" s="662"/>
      <c r="M101" s="662"/>
      <c r="N101" s="662"/>
      <c r="O101" s="662"/>
      <c r="P101" s="662"/>
      <c r="Q101" s="662"/>
      <c r="R101" s="662"/>
      <c r="S101" s="662"/>
      <c r="T101" s="1277">
        <f t="shared" si="33"/>
        <v>55000000.000000007</v>
      </c>
    </row>
    <row r="102" spans="1:20" s="665" customFormat="1" ht="40" customHeight="1" x14ac:dyDescent="0.35">
      <c r="A102" s="667" t="s">
        <v>622</v>
      </c>
      <c r="B102" s="668"/>
      <c r="C102" s="669" t="s">
        <v>621</v>
      </c>
      <c r="D102" s="670"/>
      <c r="E102" s="670"/>
      <c r="F102" s="670">
        <f>SUBTOTAL(9,F98:F101)</f>
        <v>339790000</v>
      </c>
      <c r="G102" s="670"/>
      <c r="H102" s="670">
        <f>SUBTOTAL(9,H98:H101)</f>
        <v>0</v>
      </c>
      <c r="I102" s="670">
        <f>SUBTOTAL(9,I98:I101)</f>
        <v>0</v>
      </c>
      <c r="J102" s="670">
        <f t="shared" ref="J102:T102" si="36">SUBTOTAL(9,J98:J101)</f>
        <v>284790000</v>
      </c>
      <c r="K102" s="670">
        <f t="shared" si="36"/>
        <v>55000000.000000007</v>
      </c>
      <c r="L102" s="670">
        <f t="shared" si="36"/>
        <v>0</v>
      </c>
      <c r="M102" s="670">
        <f t="shared" si="36"/>
        <v>0</v>
      </c>
      <c r="N102" s="670">
        <f t="shared" si="36"/>
        <v>0</v>
      </c>
      <c r="O102" s="670">
        <f t="shared" si="36"/>
        <v>0</v>
      </c>
      <c r="P102" s="670">
        <f t="shared" si="36"/>
        <v>0</v>
      </c>
      <c r="Q102" s="670">
        <f t="shared" si="36"/>
        <v>0</v>
      </c>
      <c r="R102" s="670">
        <f t="shared" si="36"/>
        <v>0</v>
      </c>
      <c r="S102" s="670">
        <f t="shared" si="36"/>
        <v>0</v>
      </c>
      <c r="T102" s="670">
        <f t="shared" si="36"/>
        <v>339790000</v>
      </c>
    </row>
    <row r="103" spans="1:20" s="665" customFormat="1" ht="40" customHeight="1" x14ac:dyDescent="0.35">
      <c r="A103" s="659" t="s">
        <v>16</v>
      </c>
      <c r="B103" s="660" t="s">
        <v>16</v>
      </c>
      <c r="C103" s="661" t="s">
        <v>592</v>
      </c>
      <c r="D103" s="662"/>
      <c r="E103" s="662"/>
      <c r="F103" s="682"/>
      <c r="G103" s="663"/>
      <c r="H103" s="662"/>
      <c r="I103" s="662"/>
      <c r="J103" s="662"/>
      <c r="K103" s="662"/>
      <c r="L103" s="662"/>
      <c r="M103" s="662"/>
      <c r="N103" s="662"/>
      <c r="O103" s="662"/>
      <c r="P103" s="662"/>
      <c r="Q103" s="662"/>
      <c r="R103" s="662"/>
      <c r="S103" s="662"/>
      <c r="T103" s="1277"/>
    </row>
    <row r="104" spans="1:20" s="665" customFormat="1" ht="40" customHeight="1" x14ac:dyDescent="0.35">
      <c r="A104" s="659" t="s">
        <v>16</v>
      </c>
      <c r="B104" s="660">
        <v>1</v>
      </c>
      <c r="C104" s="666" t="s">
        <v>271</v>
      </c>
      <c r="D104" s="662"/>
      <c r="E104" s="662"/>
      <c r="F104" s="682">
        <f>'Depreciation - MF'!F104*1.1</f>
        <v>11000000</v>
      </c>
      <c r="G104" s="663">
        <f>'Depreciation - MF'!G104</f>
        <v>12</v>
      </c>
      <c r="H104" s="662"/>
      <c r="I104" s="662"/>
      <c r="J104" s="662"/>
      <c r="K104" s="662"/>
      <c r="L104" s="662"/>
      <c r="M104" s="662"/>
      <c r="N104" s="662"/>
      <c r="O104" s="662"/>
      <c r="P104" s="662">
        <f>F104</f>
        <v>11000000</v>
      </c>
      <c r="Q104" s="662"/>
      <c r="R104" s="662"/>
      <c r="S104" s="662"/>
      <c r="T104" s="1277">
        <f t="shared" ref="T104" si="37">SUM(H104:S104)</f>
        <v>11000000</v>
      </c>
    </row>
    <row r="105" spans="1:20" s="665" customFormat="1" ht="40" customHeight="1" x14ac:dyDescent="0.35">
      <c r="A105" s="659" t="s">
        <v>16</v>
      </c>
      <c r="B105" s="660">
        <v>2</v>
      </c>
      <c r="C105" s="666" t="s">
        <v>272</v>
      </c>
      <c r="D105" s="662"/>
      <c r="E105" s="662"/>
      <c r="F105" s="682">
        <f>'Depreciation - MF'!F105*1.1</f>
        <v>13200000.000000002</v>
      </c>
      <c r="G105" s="663">
        <f>'Depreciation - MF'!G105</f>
        <v>12</v>
      </c>
      <c r="H105" s="662">
        <f>F105/12</f>
        <v>1100000.0000000002</v>
      </c>
      <c r="I105" s="662">
        <f>H105</f>
        <v>1100000.0000000002</v>
      </c>
      <c r="J105" s="662">
        <f t="shared" ref="J105:S105" si="38">I105</f>
        <v>1100000.0000000002</v>
      </c>
      <c r="K105" s="662">
        <f t="shared" si="38"/>
        <v>1100000.0000000002</v>
      </c>
      <c r="L105" s="662">
        <f t="shared" si="38"/>
        <v>1100000.0000000002</v>
      </c>
      <c r="M105" s="662">
        <f t="shared" si="38"/>
        <v>1100000.0000000002</v>
      </c>
      <c r="N105" s="662">
        <f t="shared" si="38"/>
        <v>1100000.0000000002</v>
      </c>
      <c r="O105" s="662">
        <f t="shared" si="38"/>
        <v>1100000.0000000002</v>
      </c>
      <c r="P105" s="662">
        <f t="shared" si="38"/>
        <v>1100000.0000000002</v>
      </c>
      <c r="Q105" s="662">
        <f t="shared" si="38"/>
        <v>1100000.0000000002</v>
      </c>
      <c r="R105" s="662">
        <f t="shared" si="38"/>
        <v>1100000.0000000002</v>
      </c>
      <c r="S105" s="662">
        <f t="shared" si="38"/>
        <v>1100000.0000000002</v>
      </c>
      <c r="T105" s="1277">
        <f t="shared" ref="T105" si="39">SUM(H105:S105)</f>
        <v>13200000.000000002</v>
      </c>
    </row>
    <row r="106" spans="1:20" s="665" customFormat="1" ht="40" customHeight="1" x14ac:dyDescent="0.35">
      <c r="A106" s="659" t="s">
        <v>16</v>
      </c>
      <c r="B106" s="660">
        <f>B105+1</f>
        <v>3</v>
      </c>
      <c r="C106" s="666" t="s">
        <v>1079</v>
      </c>
      <c r="D106" s="662"/>
      <c r="E106" s="662"/>
      <c r="F106" s="682"/>
      <c r="G106" s="663"/>
      <c r="H106" s="662"/>
      <c r="I106" s="662"/>
      <c r="J106" s="662"/>
      <c r="K106" s="662"/>
      <c r="L106" s="662"/>
      <c r="M106" s="662"/>
      <c r="N106" s="662"/>
      <c r="O106" s="662"/>
      <c r="P106" s="662"/>
      <c r="Q106" s="662"/>
      <c r="R106" s="662"/>
      <c r="S106" s="662"/>
      <c r="T106" s="1277"/>
    </row>
    <row r="107" spans="1:20" s="665" customFormat="1" ht="40" customHeight="1" x14ac:dyDescent="0.35">
      <c r="A107" s="659" t="s">
        <v>16</v>
      </c>
      <c r="B107" s="660">
        <f t="shared" ref="B107:B117" si="40">B106+1</f>
        <v>4</v>
      </c>
      <c r="C107" s="666" t="s">
        <v>1080</v>
      </c>
      <c r="D107" s="662"/>
      <c r="E107" s="662"/>
      <c r="F107" s="682"/>
      <c r="G107" s="663"/>
      <c r="H107" s="662"/>
      <c r="I107" s="662"/>
      <c r="J107" s="662"/>
      <c r="K107" s="662"/>
      <c r="L107" s="662"/>
      <c r="M107" s="662"/>
      <c r="N107" s="662"/>
      <c r="O107" s="662"/>
      <c r="P107" s="662"/>
      <c r="Q107" s="662"/>
      <c r="R107" s="662"/>
      <c r="S107" s="662"/>
      <c r="T107" s="1277"/>
    </row>
    <row r="108" spans="1:20" s="665" customFormat="1" ht="40" customHeight="1" x14ac:dyDescent="0.35">
      <c r="A108" s="659" t="s">
        <v>16</v>
      </c>
      <c r="B108" s="660">
        <f t="shared" si="40"/>
        <v>5</v>
      </c>
      <c r="C108" s="666" t="s">
        <v>1081</v>
      </c>
      <c r="D108" s="662"/>
      <c r="E108" s="662"/>
      <c r="F108" s="682"/>
      <c r="G108" s="663"/>
      <c r="H108" s="662"/>
      <c r="I108" s="662"/>
      <c r="J108" s="662"/>
      <c r="K108" s="662"/>
      <c r="L108" s="662"/>
      <c r="M108" s="662"/>
      <c r="N108" s="662"/>
      <c r="O108" s="662"/>
      <c r="P108" s="662"/>
      <c r="Q108" s="662"/>
      <c r="R108" s="662"/>
      <c r="S108" s="662"/>
      <c r="T108" s="1277"/>
    </row>
    <row r="109" spans="1:20" s="665" customFormat="1" ht="40" customHeight="1" x14ac:dyDescent="0.35">
      <c r="A109" s="659" t="s">
        <v>16</v>
      </c>
      <c r="B109" s="660">
        <f t="shared" si="40"/>
        <v>6</v>
      </c>
      <c r="C109" s="666" t="s">
        <v>1082</v>
      </c>
      <c r="D109" s="662"/>
      <c r="E109" s="662"/>
      <c r="F109" s="682"/>
      <c r="G109" s="663"/>
      <c r="H109" s="662"/>
      <c r="I109" s="662"/>
      <c r="J109" s="662"/>
      <c r="K109" s="662"/>
      <c r="L109" s="662"/>
      <c r="M109" s="662"/>
      <c r="N109" s="662"/>
      <c r="O109" s="662"/>
      <c r="P109" s="662"/>
      <c r="Q109" s="662"/>
      <c r="R109" s="662"/>
      <c r="S109" s="662"/>
      <c r="T109" s="1277"/>
    </row>
    <row r="110" spans="1:20" s="665" customFormat="1" ht="40" customHeight="1" x14ac:dyDescent="0.35">
      <c r="A110" s="659" t="s">
        <v>16</v>
      </c>
      <c r="B110" s="660">
        <f t="shared" si="40"/>
        <v>7</v>
      </c>
      <c r="C110" s="666" t="s">
        <v>1083</v>
      </c>
      <c r="D110" s="662"/>
      <c r="E110" s="662"/>
      <c r="F110" s="682"/>
      <c r="G110" s="663"/>
      <c r="H110" s="662"/>
      <c r="I110" s="662"/>
      <c r="J110" s="662"/>
      <c r="K110" s="662"/>
      <c r="L110" s="662"/>
      <c r="M110" s="662"/>
      <c r="N110" s="662"/>
      <c r="O110" s="662"/>
      <c r="P110" s="662"/>
      <c r="Q110" s="662"/>
      <c r="R110" s="662"/>
      <c r="S110" s="662"/>
      <c r="T110" s="1277"/>
    </row>
    <row r="111" spans="1:20" s="665" customFormat="1" ht="40" customHeight="1" x14ac:dyDescent="0.35">
      <c r="A111" s="659" t="s">
        <v>16</v>
      </c>
      <c r="B111" s="660">
        <f t="shared" si="40"/>
        <v>8</v>
      </c>
      <c r="C111" s="666" t="s">
        <v>1084</v>
      </c>
      <c r="D111" s="662"/>
      <c r="E111" s="662"/>
      <c r="F111" s="682"/>
      <c r="G111" s="663"/>
      <c r="H111" s="662"/>
      <c r="I111" s="662"/>
      <c r="J111" s="662"/>
      <c r="K111" s="662"/>
      <c r="L111" s="662"/>
      <c r="M111" s="662"/>
      <c r="N111" s="662"/>
      <c r="O111" s="662"/>
      <c r="P111" s="662"/>
      <c r="Q111" s="662"/>
      <c r="R111" s="662"/>
      <c r="S111" s="662"/>
      <c r="T111" s="1277"/>
    </row>
    <row r="112" spans="1:20" s="665" customFormat="1" ht="40" customHeight="1" x14ac:dyDescent="0.35">
      <c r="A112" s="659" t="s">
        <v>16</v>
      </c>
      <c r="B112" s="660">
        <f t="shared" si="40"/>
        <v>9</v>
      </c>
      <c r="C112" s="666" t="s">
        <v>1085</v>
      </c>
      <c r="D112" s="662"/>
      <c r="E112" s="662"/>
      <c r="F112" s="682"/>
      <c r="G112" s="663"/>
      <c r="H112" s="662"/>
      <c r="I112" s="662"/>
      <c r="J112" s="662"/>
      <c r="K112" s="662"/>
      <c r="L112" s="662"/>
      <c r="M112" s="662"/>
      <c r="N112" s="662"/>
      <c r="O112" s="662"/>
      <c r="P112" s="662"/>
      <c r="Q112" s="662"/>
      <c r="R112" s="662"/>
      <c r="S112" s="662"/>
      <c r="T112" s="1277"/>
    </row>
    <row r="113" spans="1:20" s="665" customFormat="1" ht="40" customHeight="1" x14ac:dyDescent="0.35">
      <c r="A113" s="659" t="s">
        <v>16</v>
      </c>
      <c r="B113" s="660">
        <f t="shared" si="40"/>
        <v>10</v>
      </c>
      <c r="C113" s="666" t="s">
        <v>1086</v>
      </c>
      <c r="D113" s="662"/>
      <c r="E113" s="662"/>
      <c r="F113" s="682"/>
      <c r="G113" s="663"/>
      <c r="H113" s="662"/>
      <c r="I113" s="662"/>
      <c r="J113" s="662"/>
      <c r="K113" s="662"/>
      <c r="L113" s="662"/>
      <c r="M113" s="662"/>
      <c r="N113" s="662"/>
      <c r="O113" s="662"/>
      <c r="P113" s="662"/>
      <c r="Q113" s="662"/>
      <c r="R113" s="662"/>
      <c r="S113" s="662"/>
      <c r="T113" s="1277"/>
    </row>
    <row r="114" spans="1:20" s="665" customFormat="1" ht="40" customHeight="1" x14ac:dyDescent="0.35">
      <c r="A114" s="659" t="s">
        <v>16</v>
      </c>
      <c r="B114" s="660">
        <f t="shared" si="40"/>
        <v>11</v>
      </c>
      <c r="C114" s="666" t="s">
        <v>1087</v>
      </c>
      <c r="D114" s="662"/>
      <c r="E114" s="662"/>
      <c r="F114" s="682"/>
      <c r="G114" s="663"/>
      <c r="H114" s="662"/>
      <c r="I114" s="662"/>
      <c r="J114" s="662"/>
      <c r="K114" s="662"/>
      <c r="L114" s="662"/>
      <c r="M114" s="662"/>
      <c r="N114" s="662"/>
      <c r="O114" s="662"/>
      <c r="P114" s="662"/>
      <c r="Q114" s="662"/>
      <c r="R114" s="662"/>
      <c r="S114" s="662"/>
      <c r="T114" s="1277"/>
    </row>
    <row r="115" spans="1:20" s="665" customFormat="1" ht="40" customHeight="1" x14ac:dyDescent="0.35">
      <c r="A115" s="659" t="s">
        <v>16</v>
      </c>
      <c r="B115" s="660">
        <f t="shared" si="40"/>
        <v>12</v>
      </c>
      <c r="C115" s="666" t="s">
        <v>1088</v>
      </c>
      <c r="D115" s="662"/>
      <c r="E115" s="662"/>
      <c r="F115" s="682"/>
      <c r="G115" s="663"/>
      <c r="H115" s="662"/>
      <c r="I115" s="662"/>
      <c r="J115" s="662"/>
      <c r="K115" s="662"/>
      <c r="L115" s="662"/>
      <c r="M115" s="662"/>
      <c r="N115" s="662"/>
      <c r="O115" s="662"/>
      <c r="P115" s="662"/>
      <c r="Q115" s="662"/>
      <c r="R115" s="662"/>
      <c r="S115" s="662"/>
      <c r="T115" s="1277"/>
    </row>
    <row r="116" spans="1:20" s="665" customFormat="1" ht="40" customHeight="1" x14ac:dyDescent="0.35">
      <c r="A116" s="659" t="s">
        <v>16</v>
      </c>
      <c r="B116" s="660">
        <f t="shared" si="40"/>
        <v>13</v>
      </c>
      <c r="C116" s="666" t="s">
        <v>1089</v>
      </c>
      <c r="D116" s="662"/>
      <c r="E116" s="662"/>
      <c r="F116" s="682"/>
      <c r="G116" s="663"/>
      <c r="H116" s="662"/>
      <c r="I116" s="662"/>
      <c r="J116" s="662"/>
      <c r="K116" s="662"/>
      <c r="L116" s="662"/>
      <c r="M116" s="662"/>
      <c r="N116" s="662"/>
      <c r="O116" s="662"/>
      <c r="P116" s="662"/>
      <c r="Q116" s="662"/>
      <c r="R116" s="662"/>
      <c r="S116" s="662"/>
      <c r="T116" s="1277"/>
    </row>
    <row r="117" spans="1:20" s="665" customFormat="1" ht="40" customHeight="1" x14ac:dyDescent="0.35">
      <c r="A117" s="659" t="s">
        <v>16</v>
      </c>
      <c r="B117" s="660">
        <f t="shared" si="40"/>
        <v>14</v>
      </c>
      <c r="C117" s="666" t="s">
        <v>1090</v>
      </c>
      <c r="D117" s="662"/>
      <c r="E117" s="662"/>
      <c r="F117" s="682"/>
      <c r="G117" s="663"/>
      <c r="H117" s="662"/>
      <c r="I117" s="662"/>
      <c r="J117" s="662"/>
      <c r="K117" s="662"/>
      <c r="L117" s="662"/>
      <c r="M117" s="662"/>
      <c r="N117" s="662"/>
      <c r="O117" s="662"/>
      <c r="P117" s="662"/>
      <c r="Q117" s="662"/>
      <c r="R117" s="662"/>
      <c r="S117" s="662"/>
      <c r="T117" s="1277"/>
    </row>
    <row r="118" spans="1:20" s="665" customFormat="1" ht="40" customHeight="1" x14ac:dyDescent="0.35">
      <c r="A118" s="667" t="s">
        <v>609</v>
      </c>
      <c r="B118" s="668"/>
      <c r="C118" s="669" t="s">
        <v>592</v>
      </c>
      <c r="D118" s="670"/>
      <c r="E118" s="670"/>
      <c r="F118" s="670">
        <f>SUBTOTAL(9,F103:F117)</f>
        <v>24200000</v>
      </c>
      <c r="G118" s="670"/>
      <c r="H118" s="670">
        <f t="shared" ref="H118:T118" si="41">SUBTOTAL(9,H103:H117)</f>
        <v>1100000.0000000002</v>
      </c>
      <c r="I118" s="670">
        <f t="shared" si="41"/>
        <v>1100000.0000000002</v>
      </c>
      <c r="J118" s="670">
        <f t="shared" si="41"/>
        <v>1100000.0000000002</v>
      </c>
      <c r="K118" s="670">
        <f t="shared" si="41"/>
        <v>1100000.0000000002</v>
      </c>
      <c r="L118" s="670">
        <f t="shared" si="41"/>
        <v>1100000.0000000002</v>
      </c>
      <c r="M118" s="670">
        <f t="shared" si="41"/>
        <v>1100000.0000000002</v>
      </c>
      <c r="N118" s="670">
        <f t="shared" si="41"/>
        <v>1100000.0000000002</v>
      </c>
      <c r="O118" s="670">
        <f t="shared" si="41"/>
        <v>1100000.0000000002</v>
      </c>
      <c r="P118" s="670">
        <f t="shared" si="41"/>
        <v>12100000</v>
      </c>
      <c r="Q118" s="670">
        <f t="shared" si="41"/>
        <v>1100000.0000000002</v>
      </c>
      <c r="R118" s="670">
        <f t="shared" si="41"/>
        <v>1100000.0000000002</v>
      </c>
      <c r="S118" s="670">
        <f t="shared" si="41"/>
        <v>1100000.0000000002</v>
      </c>
      <c r="T118" s="670">
        <f t="shared" si="41"/>
        <v>24200000</v>
      </c>
    </row>
    <row r="119" spans="1:20" s="665" customFormat="1" ht="40" customHeight="1" x14ac:dyDescent="0.35">
      <c r="A119" s="659" t="s">
        <v>26</v>
      </c>
      <c r="B119" s="660" t="s">
        <v>26</v>
      </c>
      <c r="C119" s="661" t="s">
        <v>581</v>
      </c>
      <c r="D119" s="662"/>
      <c r="E119" s="662"/>
      <c r="F119" s="682"/>
      <c r="G119" s="663"/>
      <c r="H119" s="662"/>
      <c r="I119" s="662"/>
      <c r="J119" s="662"/>
      <c r="K119" s="662"/>
      <c r="L119" s="662"/>
      <c r="M119" s="662"/>
      <c r="N119" s="662"/>
      <c r="O119" s="662"/>
      <c r="P119" s="662"/>
      <c r="Q119" s="662"/>
      <c r="R119" s="662"/>
      <c r="S119" s="662"/>
      <c r="T119" s="1277"/>
    </row>
    <row r="120" spans="1:20" s="665" customFormat="1" ht="40" customHeight="1" x14ac:dyDescent="0.35">
      <c r="A120" s="659" t="s">
        <v>26</v>
      </c>
      <c r="B120" s="660">
        <v>1</v>
      </c>
      <c r="C120" s="666" t="s">
        <v>501</v>
      </c>
      <c r="D120" s="662"/>
      <c r="E120" s="662"/>
      <c r="F120" s="682">
        <f>'Depreciation - MF'!F120*1.1</f>
        <v>6600000.0000000009</v>
      </c>
      <c r="G120" s="663">
        <f>'Depreciation - MF'!G120</f>
        <v>12</v>
      </c>
      <c r="H120" s="662"/>
      <c r="I120" s="662">
        <f>F120</f>
        <v>6600000.0000000009</v>
      </c>
      <c r="J120" s="662"/>
      <c r="K120" s="662"/>
      <c r="L120" s="662"/>
      <c r="M120" s="662"/>
      <c r="N120" s="662"/>
      <c r="O120" s="662"/>
      <c r="P120" s="662"/>
      <c r="Q120" s="662"/>
      <c r="R120" s="662"/>
      <c r="S120" s="662"/>
      <c r="T120" s="1277">
        <f t="shared" ref="T120" si="42">SUM(H120:S120)</f>
        <v>6600000.0000000009</v>
      </c>
    </row>
    <row r="121" spans="1:20" s="665" customFormat="1" ht="40" customHeight="1" x14ac:dyDescent="0.35">
      <c r="A121" s="659" t="s">
        <v>26</v>
      </c>
      <c r="B121" s="660" t="s">
        <v>251</v>
      </c>
      <c r="C121" s="666" t="s">
        <v>502</v>
      </c>
      <c r="D121" s="662"/>
      <c r="E121" s="662"/>
      <c r="F121" s="682">
        <f>'Depreciation - MF'!F121*1.1</f>
        <v>30800000.000000004</v>
      </c>
      <c r="G121" s="663">
        <f>'Depreciation - MF'!G121</f>
        <v>12</v>
      </c>
      <c r="H121" s="662"/>
      <c r="I121" s="662"/>
      <c r="J121" s="662">
        <f>F121</f>
        <v>30800000.000000004</v>
      </c>
      <c r="K121" s="662"/>
      <c r="L121" s="662"/>
      <c r="M121" s="662"/>
      <c r="N121" s="662"/>
      <c r="O121" s="662"/>
      <c r="P121" s="662"/>
      <c r="Q121" s="662"/>
      <c r="R121" s="662"/>
      <c r="S121" s="662"/>
      <c r="T121" s="1277">
        <f t="shared" ref="T121:T123" si="43">SUM(H121:S121)</f>
        <v>30800000.000000004</v>
      </c>
    </row>
    <row r="122" spans="1:20" s="665" customFormat="1" ht="40" customHeight="1" x14ac:dyDescent="0.35">
      <c r="A122" s="659" t="s">
        <v>26</v>
      </c>
      <c r="B122" s="660">
        <v>3</v>
      </c>
      <c r="C122" s="666" t="s">
        <v>503</v>
      </c>
      <c r="D122" s="662"/>
      <c r="E122" s="662"/>
      <c r="F122" s="682">
        <f>'Depreciation - MF'!F122*1.1</f>
        <v>165000000</v>
      </c>
      <c r="G122" s="663">
        <f>'Depreciation - MF'!G122</f>
        <v>36</v>
      </c>
      <c r="H122" s="662"/>
      <c r="I122" s="662"/>
      <c r="J122" s="662"/>
      <c r="K122" s="662">
        <f>F122</f>
        <v>165000000</v>
      </c>
      <c r="L122" s="662"/>
      <c r="M122" s="662"/>
      <c r="N122" s="662"/>
      <c r="O122" s="662"/>
      <c r="P122" s="662"/>
      <c r="Q122" s="662"/>
      <c r="R122" s="662"/>
      <c r="S122" s="662"/>
      <c r="T122" s="1277">
        <f t="shared" si="43"/>
        <v>165000000</v>
      </c>
    </row>
    <row r="123" spans="1:20" s="665" customFormat="1" ht="40" customHeight="1" x14ac:dyDescent="0.35">
      <c r="A123" s="659" t="s">
        <v>26</v>
      </c>
      <c r="B123" s="660" t="s">
        <v>439</v>
      </c>
      <c r="C123" s="666" t="s">
        <v>256</v>
      </c>
      <c r="D123" s="662"/>
      <c r="E123" s="662"/>
      <c r="F123" s="682">
        <f>'Depreciation - MF'!F123*1.1</f>
        <v>5500000</v>
      </c>
      <c r="G123" s="663">
        <f>'Depreciation - MF'!G123</f>
        <v>12</v>
      </c>
      <c r="H123" s="662"/>
      <c r="I123" s="662"/>
      <c r="J123" s="662"/>
      <c r="K123" s="662"/>
      <c r="L123" s="662"/>
      <c r="M123" s="662">
        <f>F123</f>
        <v>5500000</v>
      </c>
      <c r="N123" s="662"/>
      <c r="O123" s="662"/>
      <c r="P123" s="662"/>
      <c r="Q123" s="662"/>
      <c r="R123" s="662"/>
      <c r="S123" s="662"/>
      <c r="T123" s="1277">
        <f t="shared" si="43"/>
        <v>5500000</v>
      </c>
    </row>
    <row r="124" spans="1:20" s="665" customFormat="1" ht="40" customHeight="1" x14ac:dyDescent="0.35">
      <c r="A124" s="667" t="s">
        <v>610</v>
      </c>
      <c r="B124" s="668"/>
      <c r="C124" s="669" t="s">
        <v>581</v>
      </c>
      <c r="D124" s="676"/>
      <c r="E124" s="676"/>
      <c r="F124" s="670">
        <f t="shared" ref="F124" si="44">SUBTOTAL(9,F119:F123)</f>
        <v>207900000</v>
      </c>
      <c r="G124" s="670"/>
      <c r="H124" s="670">
        <f t="shared" ref="H124:S124" si="45">SUBTOTAL(9,H119:H123)</f>
        <v>0</v>
      </c>
      <c r="I124" s="670">
        <f t="shared" si="45"/>
        <v>6600000.0000000009</v>
      </c>
      <c r="J124" s="670">
        <f t="shared" si="45"/>
        <v>30800000.000000004</v>
      </c>
      <c r="K124" s="670">
        <f t="shared" si="45"/>
        <v>165000000</v>
      </c>
      <c r="L124" s="670">
        <f t="shared" si="45"/>
        <v>0</v>
      </c>
      <c r="M124" s="670">
        <f t="shared" si="45"/>
        <v>5500000</v>
      </c>
      <c r="N124" s="670">
        <f t="shared" si="45"/>
        <v>0</v>
      </c>
      <c r="O124" s="670">
        <f t="shared" si="45"/>
        <v>0</v>
      </c>
      <c r="P124" s="670">
        <f t="shared" si="45"/>
        <v>0</v>
      </c>
      <c r="Q124" s="670">
        <f t="shared" si="45"/>
        <v>0</v>
      </c>
      <c r="R124" s="670">
        <f t="shared" si="45"/>
        <v>0</v>
      </c>
      <c r="S124" s="670">
        <f t="shared" si="45"/>
        <v>0</v>
      </c>
      <c r="T124" s="670">
        <f>SUBTOTAL(9,T119:T123)</f>
        <v>207900000</v>
      </c>
    </row>
    <row r="125" spans="1:20" s="665" customFormat="1" ht="40" customHeight="1" x14ac:dyDescent="0.35">
      <c r="A125" s="659" t="s">
        <v>24</v>
      </c>
      <c r="B125" s="660" t="s">
        <v>24</v>
      </c>
      <c r="C125" s="661" t="s">
        <v>583</v>
      </c>
      <c r="D125" s="662"/>
      <c r="E125" s="662"/>
      <c r="F125" s="682"/>
      <c r="G125" s="663"/>
      <c r="H125" s="662"/>
      <c r="I125" s="662"/>
      <c r="J125" s="662"/>
      <c r="K125" s="662"/>
      <c r="L125" s="662"/>
      <c r="M125" s="662"/>
      <c r="N125" s="662"/>
      <c r="O125" s="662"/>
      <c r="P125" s="662"/>
      <c r="Q125" s="662"/>
      <c r="R125" s="662"/>
      <c r="S125" s="662"/>
      <c r="T125" s="1277"/>
    </row>
    <row r="126" spans="1:20" s="665" customFormat="1" ht="40" customHeight="1" x14ac:dyDescent="0.35">
      <c r="A126" s="659" t="s">
        <v>24</v>
      </c>
      <c r="B126" s="660">
        <v>1</v>
      </c>
      <c r="C126" s="666" t="s">
        <v>505</v>
      </c>
      <c r="D126" s="662"/>
      <c r="E126" s="662"/>
      <c r="F126" s="682">
        <f>'Depreciation - MF'!F126*1.1</f>
        <v>11000000</v>
      </c>
      <c r="G126" s="663">
        <f>'Depreciation - MF'!G126</f>
        <v>12</v>
      </c>
      <c r="H126" s="662"/>
      <c r="I126" s="662"/>
      <c r="J126" s="662"/>
      <c r="K126" s="662"/>
      <c r="L126" s="662"/>
      <c r="M126" s="662">
        <f>F126</f>
        <v>11000000</v>
      </c>
      <c r="N126" s="662"/>
      <c r="O126" s="662"/>
      <c r="P126" s="662"/>
      <c r="Q126" s="662"/>
      <c r="R126" s="662"/>
      <c r="S126" s="662"/>
      <c r="T126" s="1277">
        <f t="shared" ref="T126" si="46">SUM(H126:S126)</f>
        <v>11000000</v>
      </c>
    </row>
    <row r="127" spans="1:20" s="665" customFormat="1" ht="40" customHeight="1" x14ac:dyDescent="0.35">
      <c r="A127" s="659" t="s">
        <v>24</v>
      </c>
      <c r="B127" s="660">
        <v>2</v>
      </c>
      <c r="C127" s="666" t="s">
        <v>644</v>
      </c>
      <c r="D127" s="662"/>
      <c r="E127" s="662"/>
      <c r="F127" s="682">
        <f>'Depreciation - MF'!F127*1.1</f>
        <v>2200000</v>
      </c>
      <c r="G127" s="663">
        <f>'Depreciation - MF'!G127</f>
        <v>12</v>
      </c>
      <c r="H127" s="662"/>
      <c r="I127" s="662"/>
      <c r="J127" s="662"/>
      <c r="K127" s="662"/>
      <c r="L127" s="662"/>
      <c r="M127" s="662">
        <f>F127</f>
        <v>2200000</v>
      </c>
      <c r="N127" s="662"/>
      <c r="O127" s="662"/>
      <c r="P127" s="662"/>
      <c r="Q127" s="662"/>
      <c r="R127" s="662"/>
      <c r="S127" s="662"/>
      <c r="T127" s="1277">
        <f t="shared" ref="T127" si="47">SUM(H127:S127)</f>
        <v>2200000</v>
      </c>
    </row>
    <row r="128" spans="1:20" s="665" customFormat="1" ht="40" customHeight="1" x14ac:dyDescent="0.35">
      <c r="A128" s="667" t="s">
        <v>611</v>
      </c>
      <c r="B128" s="668"/>
      <c r="C128" s="669" t="s">
        <v>583</v>
      </c>
      <c r="D128" s="670"/>
      <c r="E128" s="670"/>
      <c r="F128" s="670">
        <f t="shared" ref="F128" si="48">SUBTOTAL(9,F125:F127)</f>
        <v>13200000</v>
      </c>
      <c r="G128" s="670"/>
      <c r="H128" s="670">
        <f t="shared" ref="H128:T128" si="49">SUBTOTAL(9,H125:H127)</f>
        <v>0</v>
      </c>
      <c r="I128" s="670">
        <f t="shared" si="49"/>
        <v>0</v>
      </c>
      <c r="J128" s="670">
        <f t="shared" si="49"/>
        <v>0</v>
      </c>
      <c r="K128" s="670">
        <f t="shared" si="49"/>
        <v>0</v>
      </c>
      <c r="L128" s="670">
        <f t="shared" si="49"/>
        <v>0</v>
      </c>
      <c r="M128" s="670">
        <f t="shared" si="49"/>
        <v>13200000</v>
      </c>
      <c r="N128" s="670">
        <f t="shared" si="49"/>
        <v>0</v>
      </c>
      <c r="O128" s="670">
        <f t="shared" si="49"/>
        <v>0</v>
      </c>
      <c r="P128" s="670">
        <f t="shared" si="49"/>
        <v>0</v>
      </c>
      <c r="Q128" s="670">
        <f t="shared" si="49"/>
        <v>0</v>
      </c>
      <c r="R128" s="670">
        <f t="shared" si="49"/>
        <v>0</v>
      </c>
      <c r="S128" s="670">
        <f t="shared" si="49"/>
        <v>0</v>
      </c>
      <c r="T128" s="670">
        <f t="shared" si="49"/>
        <v>13200000</v>
      </c>
    </row>
    <row r="129" spans="1:20" s="665" customFormat="1" ht="40" customHeight="1" x14ac:dyDescent="0.35">
      <c r="A129" s="659" t="s">
        <v>22</v>
      </c>
      <c r="B129" s="660" t="s">
        <v>22</v>
      </c>
      <c r="C129" s="661" t="s">
        <v>585</v>
      </c>
      <c r="D129" s="662"/>
      <c r="E129" s="662"/>
      <c r="F129" s="682"/>
      <c r="G129" s="663"/>
      <c r="H129" s="662"/>
      <c r="I129" s="662"/>
      <c r="J129" s="662"/>
      <c r="K129" s="662"/>
      <c r="L129" s="662"/>
      <c r="M129" s="662"/>
      <c r="N129" s="662"/>
      <c r="O129" s="662"/>
      <c r="P129" s="662"/>
      <c r="Q129" s="662"/>
      <c r="R129" s="662"/>
      <c r="S129" s="662"/>
      <c r="T129" s="1277"/>
    </row>
    <row r="130" spans="1:20" s="665" customFormat="1" ht="40" customHeight="1" x14ac:dyDescent="0.35">
      <c r="A130" s="659" t="s">
        <v>22</v>
      </c>
      <c r="B130" s="660">
        <v>1</v>
      </c>
      <c r="C130" s="666" t="s">
        <v>506</v>
      </c>
      <c r="D130" s="662"/>
      <c r="E130" s="662"/>
      <c r="F130" s="682">
        <f>'Depreciation - MF'!F130*1.1</f>
        <v>22000000</v>
      </c>
      <c r="G130" s="663">
        <f>'Depreciation - MF'!G130</f>
        <v>12</v>
      </c>
      <c r="H130" s="662"/>
      <c r="I130" s="662"/>
      <c r="J130" s="662"/>
      <c r="K130" s="662"/>
      <c r="L130" s="662"/>
      <c r="M130" s="662">
        <f>F130/2</f>
        <v>11000000</v>
      </c>
      <c r="N130" s="662"/>
      <c r="O130" s="662"/>
      <c r="P130" s="662"/>
      <c r="Q130" s="662"/>
      <c r="R130" s="662"/>
      <c r="S130" s="662">
        <f>M130</f>
        <v>11000000</v>
      </c>
      <c r="T130" s="1277">
        <f t="shared" ref="T130" si="50">SUM(H130:S130)</f>
        <v>22000000</v>
      </c>
    </row>
    <row r="131" spans="1:20" s="665" customFormat="1" ht="40" customHeight="1" x14ac:dyDescent="0.35">
      <c r="A131" s="659" t="s">
        <v>22</v>
      </c>
      <c r="B131" s="660">
        <v>2</v>
      </c>
      <c r="C131" s="666" t="s">
        <v>507</v>
      </c>
      <c r="D131" s="662"/>
      <c r="E131" s="662"/>
      <c r="F131" s="682">
        <f>'Depreciation - MF'!F131*1.1</f>
        <v>16500000.000000002</v>
      </c>
      <c r="G131" s="663">
        <f>'Depreciation - MF'!G131</f>
        <v>12</v>
      </c>
      <c r="H131" s="662"/>
      <c r="I131" s="662"/>
      <c r="J131" s="662"/>
      <c r="K131" s="662"/>
      <c r="L131" s="662"/>
      <c r="M131" s="662"/>
      <c r="N131" s="662"/>
      <c r="O131" s="662"/>
      <c r="P131" s="662"/>
      <c r="Q131" s="662"/>
      <c r="R131" s="662"/>
      <c r="S131" s="662">
        <f>F131</f>
        <v>16500000.000000002</v>
      </c>
      <c r="T131" s="1277">
        <f t="shared" ref="T131:T132" si="51">SUM(H131:S131)</f>
        <v>16500000.000000002</v>
      </c>
    </row>
    <row r="132" spans="1:20" s="665" customFormat="1" ht="40" customHeight="1" x14ac:dyDescent="0.35">
      <c r="A132" s="659" t="s">
        <v>22</v>
      </c>
      <c r="B132" s="660">
        <v>3</v>
      </c>
      <c r="C132" s="666" t="s">
        <v>508</v>
      </c>
      <c r="D132" s="662"/>
      <c r="E132" s="662"/>
      <c r="F132" s="682">
        <f>'Depreciation - MF'!F132*1.1</f>
        <v>5500000</v>
      </c>
      <c r="G132" s="663">
        <f>'Depreciation - MF'!G132</f>
        <v>12</v>
      </c>
      <c r="H132" s="662"/>
      <c r="I132" s="662"/>
      <c r="J132" s="662"/>
      <c r="K132" s="662"/>
      <c r="L132" s="662"/>
      <c r="M132" s="662"/>
      <c r="N132" s="662"/>
      <c r="O132" s="662"/>
      <c r="P132" s="662">
        <f>F132</f>
        <v>5500000</v>
      </c>
      <c r="Q132" s="662"/>
      <c r="R132" s="662"/>
      <c r="S132" s="662"/>
      <c r="T132" s="1277">
        <f t="shared" si="51"/>
        <v>5500000</v>
      </c>
    </row>
    <row r="133" spans="1:20" s="665" customFormat="1" ht="40" customHeight="1" x14ac:dyDescent="0.35">
      <c r="A133" s="667" t="s">
        <v>612</v>
      </c>
      <c r="B133" s="668"/>
      <c r="C133" s="669" t="s">
        <v>585</v>
      </c>
      <c r="D133" s="670"/>
      <c r="E133" s="670"/>
      <c r="F133" s="670">
        <f t="shared" ref="F133" si="52">SUBTOTAL(9,F129:F132)</f>
        <v>44000000</v>
      </c>
      <c r="G133" s="670"/>
      <c r="H133" s="670">
        <f t="shared" ref="H133:T133" si="53">SUBTOTAL(9,H129:H132)</f>
        <v>0</v>
      </c>
      <c r="I133" s="670">
        <f t="shared" si="53"/>
        <v>0</v>
      </c>
      <c r="J133" s="670">
        <f t="shared" si="53"/>
        <v>0</v>
      </c>
      <c r="K133" s="670">
        <f t="shared" si="53"/>
        <v>0</v>
      </c>
      <c r="L133" s="670">
        <f t="shared" si="53"/>
        <v>0</v>
      </c>
      <c r="M133" s="670">
        <f t="shared" si="53"/>
        <v>11000000</v>
      </c>
      <c r="N133" s="670">
        <f t="shared" si="53"/>
        <v>0</v>
      </c>
      <c r="O133" s="670">
        <f t="shared" si="53"/>
        <v>0</v>
      </c>
      <c r="P133" s="670">
        <f t="shared" si="53"/>
        <v>5500000</v>
      </c>
      <c r="Q133" s="670">
        <f t="shared" si="53"/>
        <v>0</v>
      </c>
      <c r="R133" s="670">
        <f t="shared" si="53"/>
        <v>0</v>
      </c>
      <c r="S133" s="670">
        <f t="shared" si="53"/>
        <v>27500000</v>
      </c>
      <c r="T133" s="670">
        <f t="shared" si="53"/>
        <v>44000000</v>
      </c>
    </row>
    <row r="134" spans="1:20" s="665" customFormat="1" ht="40" customHeight="1" x14ac:dyDescent="0.35">
      <c r="A134" s="659" t="s">
        <v>20</v>
      </c>
      <c r="B134" s="660" t="s">
        <v>20</v>
      </c>
      <c r="C134" s="661" t="s">
        <v>587</v>
      </c>
      <c r="D134" s="662"/>
      <c r="E134" s="662"/>
      <c r="F134" s="682"/>
      <c r="G134" s="663"/>
      <c r="H134" s="662"/>
      <c r="I134" s="662"/>
      <c r="J134" s="662"/>
      <c r="K134" s="662"/>
      <c r="L134" s="662"/>
      <c r="M134" s="662"/>
      <c r="N134" s="662"/>
      <c r="O134" s="662"/>
      <c r="P134" s="662"/>
      <c r="Q134" s="662"/>
      <c r="R134" s="662"/>
      <c r="S134" s="662"/>
      <c r="T134" s="1277"/>
    </row>
    <row r="135" spans="1:20" s="665" customFormat="1" ht="40" customHeight="1" x14ac:dyDescent="0.35">
      <c r="A135" s="659" t="s">
        <v>20</v>
      </c>
      <c r="B135" s="660">
        <v>1</v>
      </c>
      <c r="C135" s="666" t="s">
        <v>260</v>
      </c>
      <c r="D135" s="662"/>
      <c r="E135" s="662"/>
      <c r="F135" s="682">
        <f>'Depreciation - MF'!F135*1.1</f>
        <v>33000000.000000004</v>
      </c>
      <c r="G135" s="663">
        <f>'Depreciation - MF'!G135</f>
        <v>12</v>
      </c>
      <c r="H135" s="662"/>
      <c r="I135" s="662"/>
      <c r="J135" s="662">
        <f>F135/3</f>
        <v>11000000.000000002</v>
      </c>
      <c r="K135" s="662"/>
      <c r="L135" s="662"/>
      <c r="M135" s="662">
        <f>J135</f>
        <v>11000000.000000002</v>
      </c>
      <c r="N135" s="662"/>
      <c r="O135" s="662"/>
      <c r="P135" s="662">
        <f>M135</f>
        <v>11000000.000000002</v>
      </c>
      <c r="Q135" s="662"/>
      <c r="R135" s="662"/>
      <c r="S135" s="662"/>
      <c r="T135" s="1277">
        <f t="shared" ref="T135" si="54">SUM(H135:S135)</f>
        <v>33000000.000000007</v>
      </c>
    </row>
    <row r="136" spans="1:20" s="665" customFormat="1" ht="40" customHeight="1" x14ac:dyDescent="0.35">
      <c r="A136" s="659" t="s">
        <v>20</v>
      </c>
      <c r="B136" s="660">
        <v>2</v>
      </c>
      <c r="C136" s="666" t="s">
        <v>261</v>
      </c>
      <c r="D136" s="662"/>
      <c r="E136" s="662"/>
      <c r="F136" s="682">
        <f>'Depreciation - MF'!F136*1.1</f>
        <v>13200000.000000002</v>
      </c>
      <c r="G136" s="663">
        <f>'Depreciation - MF'!G136</f>
        <v>12</v>
      </c>
      <c r="H136" s="662">
        <f>F136/12</f>
        <v>1100000.0000000002</v>
      </c>
      <c r="I136" s="662">
        <f>H136</f>
        <v>1100000.0000000002</v>
      </c>
      <c r="J136" s="662">
        <f t="shared" ref="J136:S136" si="55">I136</f>
        <v>1100000.0000000002</v>
      </c>
      <c r="K136" s="662">
        <f t="shared" si="55"/>
        <v>1100000.0000000002</v>
      </c>
      <c r="L136" s="662">
        <f t="shared" si="55"/>
        <v>1100000.0000000002</v>
      </c>
      <c r="M136" s="662">
        <f t="shared" si="55"/>
        <v>1100000.0000000002</v>
      </c>
      <c r="N136" s="662">
        <f t="shared" si="55"/>
        <v>1100000.0000000002</v>
      </c>
      <c r="O136" s="662">
        <f t="shared" si="55"/>
        <v>1100000.0000000002</v>
      </c>
      <c r="P136" s="662">
        <f t="shared" si="55"/>
        <v>1100000.0000000002</v>
      </c>
      <c r="Q136" s="662">
        <f t="shared" si="55"/>
        <v>1100000.0000000002</v>
      </c>
      <c r="R136" s="662">
        <f t="shared" si="55"/>
        <v>1100000.0000000002</v>
      </c>
      <c r="S136" s="662">
        <f t="shared" si="55"/>
        <v>1100000.0000000002</v>
      </c>
      <c r="T136" s="1277">
        <f t="shared" ref="T136:T144" si="56">SUM(H136:S136)</f>
        <v>13200000.000000002</v>
      </c>
    </row>
    <row r="137" spans="1:20" s="665" customFormat="1" ht="40" customHeight="1" x14ac:dyDescent="0.35">
      <c r="A137" s="659" t="s">
        <v>20</v>
      </c>
      <c r="B137" s="660">
        <v>3</v>
      </c>
      <c r="C137" s="666" t="s">
        <v>345</v>
      </c>
      <c r="D137" s="662"/>
      <c r="E137" s="662"/>
      <c r="F137" s="682">
        <f>'Depreciation - MF'!F137*1.1</f>
        <v>5500000</v>
      </c>
      <c r="G137" s="663">
        <f>'Depreciation - MF'!G137</f>
        <v>12</v>
      </c>
      <c r="H137" s="662"/>
      <c r="I137" s="662"/>
      <c r="J137" s="662"/>
      <c r="K137" s="662">
        <f>F137</f>
        <v>5500000</v>
      </c>
      <c r="L137" s="662"/>
      <c r="M137" s="662"/>
      <c r="N137" s="662"/>
      <c r="O137" s="662"/>
      <c r="P137" s="662"/>
      <c r="Q137" s="662"/>
      <c r="R137" s="662"/>
      <c r="S137" s="662"/>
      <c r="T137" s="1277">
        <f t="shared" si="56"/>
        <v>5500000</v>
      </c>
    </row>
    <row r="138" spans="1:20" s="665" customFormat="1" ht="40" customHeight="1" x14ac:dyDescent="0.35">
      <c r="A138" s="659" t="s">
        <v>20</v>
      </c>
      <c r="B138" s="660">
        <v>4</v>
      </c>
      <c r="C138" s="666" t="s">
        <v>509</v>
      </c>
      <c r="D138" s="662"/>
      <c r="E138" s="662"/>
      <c r="F138" s="682">
        <f>'Depreciation - MF'!F138*1.1</f>
        <v>22000000</v>
      </c>
      <c r="G138" s="663">
        <f>'Depreciation - MF'!G138</f>
        <v>12</v>
      </c>
      <c r="H138" s="662"/>
      <c r="I138" s="662">
        <f>F138/2</f>
        <v>11000000</v>
      </c>
      <c r="J138" s="662"/>
      <c r="K138" s="662"/>
      <c r="L138" s="662"/>
      <c r="M138" s="662"/>
      <c r="N138" s="662"/>
      <c r="O138" s="662"/>
      <c r="P138" s="662"/>
      <c r="Q138" s="662">
        <f>I138</f>
        <v>11000000</v>
      </c>
      <c r="R138" s="662"/>
      <c r="S138" s="662"/>
      <c r="T138" s="1277">
        <f t="shared" si="56"/>
        <v>22000000</v>
      </c>
    </row>
    <row r="139" spans="1:20" s="665" customFormat="1" ht="40" customHeight="1" x14ac:dyDescent="0.35">
      <c r="A139" s="659" t="s">
        <v>20</v>
      </c>
      <c r="B139" s="660">
        <v>5</v>
      </c>
      <c r="C139" s="666" t="s">
        <v>510</v>
      </c>
      <c r="D139" s="662"/>
      <c r="E139" s="662"/>
      <c r="F139" s="682">
        <f>'Depreciation - MF'!F139*1.1</f>
        <v>82500000</v>
      </c>
      <c r="G139" s="663">
        <f>'Depreciation - MF'!G139</f>
        <v>12</v>
      </c>
      <c r="H139" s="662"/>
      <c r="I139" s="662"/>
      <c r="J139" s="662"/>
      <c r="K139" s="662"/>
      <c r="L139" s="662">
        <f>F139</f>
        <v>82500000</v>
      </c>
      <c r="M139" s="662"/>
      <c r="N139" s="662"/>
      <c r="O139" s="662"/>
      <c r="P139" s="662"/>
      <c r="Q139" s="662"/>
      <c r="R139" s="662"/>
      <c r="S139" s="662"/>
      <c r="T139" s="1277">
        <f t="shared" si="56"/>
        <v>82500000</v>
      </c>
    </row>
    <row r="140" spans="1:20" s="665" customFormat="1" ht="40" customHeight="1" x14ac:dyDescent="0.35">
      <c r="A140" s="659" t="s">
        <v>20</v>
      </c>
      <c r="B140" s="660">
        <v>6</v>
      </c>
      <c r="C140" s="666" t="s">
        <v>347</v>
      </c>
      <c r="D140" s="662"/>
      <c r="E140" s="662"/>
      <c r="F140" s="682">
        <f>'Depreciation - MF'!F140*1.1</f>
        <v>19800000</v>
      </c>
      <c r="G140" s="663">
        <f>'Depreciation - MF'!G140</f>
        <v>12</v>
      </c>
      <c r="H140" s="662">
        <f>F140</f>
        <v>19800000</v>
      </c>
      <c r="I140" s="662"/>
      <c r="J140" s="662"/>
      <c r="K140" s="662"/>
      <c r="L140" s="662"/>
      <c r="M140" s="662"/>
      <c r="N140" s="662"/>
      <c r="O140" s="662"/>
      <c r="P140" s="662"/>
      <c r="Q140" s="662"/>
      <c r="R140" s="662"/>
      <c r="S140" s="662"/>
      <c r="T140" s="1277">
        <f t="shared" si="56"/>
        <v>19800000</v>
      </c>
    </row>
    <row r="141" spans="1:20" s="665" customFormat="1" ht="40" customHeight="1" x14ac:dyDescent="0.35">
      <c r="A141" s="659" t="s">
        <v>20</v>
      </c>
      <c r="B141" s="660">
        <v>7</v>
      </c>
      <c r="C141" s="666" t="s">
        <v>349</v>
      </c>
      <c r="D141" s="662"/>
      <c r="E141" s="662"/>
      <c r="F141" s="682">
        <f>'Depreciation - MF'!F141*1.1</f>
        <v>27500000.000000004</v>
      </c>
      <c r="G141" s="663">
        <f>'Depreciation - MF'!G141</f>
        <v>12</v>
      </c>
      <c r="H141" s="662"/>
      <c r="I141" s="662"/>
      <c r="J141" s="662"/>
      <c r="K141" s="662"/>
      <c r="L141" s="662"/>
      <c r="M141" s="662"/>
      <c r="N141" s="662"/>
      <c r="O141" s="662">
        <f>F141</f>
        <v>27500000.000000004</v>
      </c>
      <c r="P141" s="662"/>
      <c r="Q141" s="662"/>
      <c r="R141" s="662"/>
      <c r="S141" s="662"/>
      <c r="T141" s="1277">
        <f t="shared" si="56"/>
        <v>27500000.000000004</v>
      </c>
    </row>
    <row r="142" spans="1:20" s="665" customFormat="1" ht="40" customHeight="1" x14ac:dyDescent="0.35">
      <c r="A142" s="659" t="s">
        <v>20</v>
      </c>
      <c r="B142" s="660">
        <v>8</v>
      </c>
      <c r="C142" s="666" t="s">
        <v>350</v>
      </c>
      <c r="D142" s="662"/>
      <c r="E142" s="662"/>
      <c r="F142" s="682">
        <f>'Depreciation - MF'!F142*1.1</f>
        <v>31680000.000000004</v>
      </c>
      <c r="G142" s="663">
        <f>'Depreciation - MF'!G142</f>
        <v>12</v>
      </c>
      <c r="H142" s="662"/>
      <c r="I142" s="662"/>
      <c r="J142" s="662"/>
      <c r="K142" s="662"/>
      <c r="L142" s="662"/>
      <c r="M142" s="662"/>
      <c r="N142" s="662"/>
      <c r="O142" s="662"/>
      <c r="P142" s="662"/>
      <c r="Q142" s="662"/>
      <c r="R142" s="662"/>
      <c r="S142" s="662">
        <f>F142</f>
        <v>31680000.000000004</v>
      </c>
      <c r="T142" s="1277">
        <f t="shared" si="56"/>
        <v>31680000.000000004</v>
      </c>
    </row>
    <row r="143" spans="1:20" s="665" customFormat="1" ht="40" customHeight="1" x14ac:dyDescent="0.35">
      <c r="A143" s="659" t="s">
        <v>20</v>
      </c>
      <c r="B143" s="660">
        <v>9</v>
      </c>
      <c r="C143" s="666" t="s">
        <v>355</v>
      </c>
      <c r="D143" s="662"/>
      <c r="E143" s="662"/>
      <c r="F143" s="682">
        <f>'Depreciation - MF'!F143*1.1</f>
        <v>286000000</v>
      </c>
      <c r="G143" s="663">
        <f>'Depreciation - MF'!G143</f>
        <v>36</v>
      </c>
      <c r="H143" s="662"/>
      <c r="I143" s="662"/>
      <c r="J143" s="662">
        <f>F143</f>
        <v>286000000</v>
      </c>
      <c r="K143" s="662"/>
      <c r="L143" s="662"/>
      <c r="M143" s="662"/>
      <c r="N143" s="662"/>
      <c r="O143" s="662"/>
      <c r="P143" s="662"/>
      <c r="Q143" s="662"/>
      <c r="R143" s="662"/>
      <c r="S143" s="662"/>
      <c r="T143" s="1277">
        <f t="shared" si="56"/>
        <v>286000000</v>
      </c>
    </row>
    <row r="144" spans="1:20" s="665" customFormat="1" ht="40" customHeight="1" x14ac:dyDescent="0.35">
      <c r="A144" s="659" t="s">
        <v>20</v>
      </c>
      <c r="B144" s="660">
        <v>10</v>
      </c>
      <c r="C144" s="666" t="s">
        <v>357</v>
      </c>
      <c r="D144" s="662"/>
      <c r="E144" s="662"/>
      <c r="F144" s="682">
        <f>'Depreciation - MF'!F144*1.1</f>
        <v>330000000</v>
      </c>
      <c r="G144" s="663">
        <f>'Depreciation - MF'!G144</f>
        <v>12</v>
      </c>
      <c r="H144" s="662">
        <f>F144/4</f>
        <v>82500000</v>
      </c>
      <c r="I144" s="662"/>
      <c r="J144" s="662"/>
      <c r="K144" s="662">
        <f>H144</f>
        <v>82500000</v>
      </c>
      <c r="L144" s="662"/>
      <c r="M144" s="662"/>
      <c r="N144" s="662">
        <f>K144</f>
        <v>82500000</v>
      </c>
      <c r="O144" s="662"/>
      <c r="P144" s="662"/>
      <c r="Q144" s="662">
        <f>N144</f>
        <v>82500000</v>
      </c>
      <c r="R144" s="662"/>
      <c r="S144" s="662"/>
      <c r="T144" s="1277">
        <f t="shared" si="56"/>
        <v>330000000</v>
      </c>
    </row>
    <row r="145" spans="1:20" s="665" customFormat="1" ht="40" customHeight="1" x14ac:dyDescent="0.35">
      <c r="A145" s="659" t="s">
        <v>20</v>
      </c>
      <c r="B145" s="660">
        <v>11</v>
      </c>
      <c r="C145" s="666" t="s">
        <v>512</v>
      </c>
      <c r="D145" s="662"/>
      <c r="E145" s="662"/>
      <c r="F145" s="682">
        <f>'Depreciation - MF'!F145*1.1</f>
        <v>38500000</v>
      </c>
      <c r="G145" s="663">
        <f>'Depreciation - MF'!G145</f>
        <v>12</v>
      </c>
      <c r="H145" s="662">
        <f>F145/12</f>
        <v>3208333.3333333335</v>
      </c>
      <c r="I145" s="662">
        <f>H145</f>
        <v>3208333.3333333335</v>
      </c>
      <c r="J145" s="662">
        <f>I145</f>
        <v>3208333.3333333335</v>
      </c>
      <c r="K145" s="662">
        <f>J145</f>
        <v>3208333.3333333335</v>
      </c>
      <c r="L145" s="662">
        <f>K145</f>
        <v>3208333.3333333335</v>
      </c>
      <c r="M145" s="662">
        <f t="shared" ref="M145:R145" si="57">L145</f>
        <v>3208333.3333333335</v>
      </c>
      <c r="N145" s="662">
        <f t="shared" si="57"/>
        <v>3208333.3333333335</v>
      </c>
      <c r="O145" s="662">
        <f t="shared" si="57"/>
        <v>3208333.3333333335</v>
      </c>
      <c r="P145" s="662">
        <f t="shared" si="57"/>
        <v>3208333.3333333335</v>
      </c>
      <c r="Q145" s="662">
        <f t="shared" si="57"/>
        <v>3208333.3333333335</v>
      </c>
      <c r="R145" s="662">
        <f t="shared" si="57"/>
        <v>3208333.3333333335</v>
      </c>
      <c r="S145" s="662">
        <f>R145</f>
        <v>3208333.3333333335</v>
      </c>
      <c r="T145" s="1277">
        <f>SUM(H145:S145)</f>
        <v>38500000</v>
      </c>
    </row>
    <row r="146" spans="1:20" s="665" customFormat="1" ht="40" customHeight="1" x14ac:dyDescent="0.35">
      <c r="A146" s="659" t="s">
        <v>20</v>
      </c>
      <c r="B146" s="660">
        <v>12</v>
      </c>
      <c r="C146" s="666" t="s">
        <v>354</v>
      </c>
      <c r="D146" s="662"/>
      <c r="E146" s="662"/>
      <c r="F146" s="682">
        <v>550000000</v>
      </c>
      <c r="G146" s="663">
        <f>12*6</f>
        <v>72</v>
      </c>
      <c r="H146" s="671"/>
      <c r="I146" s="662"/>
      <c r="J146" s="662">
        <f>F146/2</f>
        <v>275000000</v>
      </c>
      <c r="K146" s="662"/>
      <c r="L146" s="662"/>
      <c r="M146" s="662">
        <f>F146/2</f>
        <v>275000000</v>
      </c>
      <c r="N146" s="662"/>
      <c r="O146" s="662"/>
      <c r="P146" s="662"/>
      <c r="Q146" s="662"/>
      <c r="R146" s="662"/>
      <c r="S146" s="662"/>
      <c r="T146" s="1277">
        <f>SUM(H146:S146)</f>
        <v>550000000</v>
      </c>
    </row>
    <row r="147" spans="1:20" s="665" customFormat="1" ht="40" customHeight="1" x14ac:dyDescent="0.35">
      <c r="A147" s="667" t="s">
        <v>613</v>
      </c>
      <c r="B147" s="668"/>
      <c r="C147" s="669" t="s">
        <v>587</v>
      </c>
      <c r="D147" s="670"/>
      <c r="E147" s="670"/>
      <c r="F147" s="670">
        <f>SUBTOTAL(9,F134:F146)</f>
        <v>1439680000</v>
      </c>
      <c r="G147" s="670"/>
      <c r="H147" s="670">
        <f t="shared" ref="H147:M147" si="58">SUBTOTAL(9,H134:H146)</f>
        <v>106608333.33333333</v>
      </c>
      <c r="I147" s="670">
        <f t="shared" si="58"/>
        <v>15308333.333333334</v>
      </c>
      <c r="J147" s="670">
        <f t="shared" si="58"/>
        <v>576308333.33333325</v>
      </c>
      <c r="K147" s="670">
        <f t="shared" si="58"/>
        <v>92308333.333333328</v>
      </c>
      <c r="L147" s="670">
        <f t="shared" si="58"/>
        <v>86808333.333333328</v>
      </c>
      <c r="M147" s="670">
        <f t="shared" si="58"/>
        <v>290308333.33333331</v>
      </c>
      <c r="N147" s="670">
        <f t="shared" ref="N147:R147" si="59">SUBTOTAL(9,N134:N146)</f>
        <v>86808333.333333328</v>
      </c>
      <c r="O147" s="670">
        <f t="shared" si="59"/>
        <v>31808333.333333336</v>
      </c>
      <c r="P147" s="670">
        <f t="shared" si="59"/>
        <v>15308333.333333336</v>
      </c>
      <c r="Q147" s="670">
        <f t="shared" si="59"/>
        <v>97808333.333333328</v>
      </c>
      <c r="R147" s="670">
        <f t="shared" si="59"/>
        <v>4308333.333333334</v>
      </c>
      <c r="S147" s="670">
        <f>SUBTOTAL(9,S134:S146)</f>
        <v>35988333.333333336</v>
      </c>
      <c r="T147" s="670">
        <f>SUBTOTAL(9,T134:T146)</f>
        <v>1439680000</v>
      </c>
    </row>
    <row r="148" spans="1:20" s="665" customFormat="1" ht="40" customHeight="1" x14ac:dyDescent="0.35">
      <c r="A148" s="659" t="s">
        <v>18</v>
      </c>
      <c r="B148" s="660" t="s">
        <v>18</v>
      </c>
      <c r="C148" s="661" t="s">
        <v>590</v>
      </c>
      <c r="D148" s="662"/>
      <c r="E148" s="662"/>
      <c r="F148" s="682"/>
      <c r="G148" s="663"/>
      <c r="H148" s="662"/>
      <c r="I148" s="662"/>
      <c r="J148" s="662"/>
      <c r="K148" s="662"/>
      <c r="L148" s="662"/>
      <c r="M148" s="662"/>
      <c r="N148" s="662"/>
      <c r="O148" s="662"/>
      <c r="P148" s="662"/>
      <c r="Q148" s="662"/>
      <c r="R148" s="662"/>
      <c r="S148" s="662"/>
      <c r="T148" s="1277"/>
    </row>
    <row r="149" spans="1:20" s="665" customFormat="1" ht="40" customHeight="1" x14ac:dyDescent="0.35">
      <c r="A149" s="659" t="s">
        <v>18</v>
      </c>
      <c r="B149" s="660">
        <v>1</v>
      </c>
      <c r="C149" s="666" t="s">
        <v>263</v>
      </c>
      <c r="D149" s="662"/>
      <c r="E149" s="662"/>
      <c r="F149" s="682">
        <f>'Depreciation - MF'!F149*1.1</f>
        <v>27940000.000000004</v>
      </c>
      <c r="G149" s="663">
        <f>'Depreciation - MF'!G149</f>
        <v>12</v>
      </c>
      <c r="H149" s="662"/>
      <c r="I149" s="662"/>
      <c r="J149" s="662"/>
      <c r="K149" s="662"/>
      <c r="L149" s="662"/>
      <c r="M149" s="662">
        <f>F149/2</f>
        <v>13970000.000000002</v>
      </c>
      <c r="N149" s="662"/>
      <c r="O149" s="662"/>
      <c r="P149" s="662"/>
      <c r="Q149" s="662"/>
      <c r="R149" s="662"/>
      <c r="S149" s="662">
        <f>M149</f>
        <v>13970000.000000002</v>
      </c>
      <c r="T149" s="1277">
        <f t="shared" ref="T149" si="60">SUM(H149:S149)</f>
        <v>27940000.000000004</v>
      </c>
    </row>
    <row r="150" spans="1:20" s="665" customFormat="1" ht="40" customHeight="1" x14ac:dyDescent="0.35">
      <c r="A150" s="659" t="s">
        <v>18</v>
      </c>
      <c r="B150" s="660">
        <v>2</v>
      </c>
      <c r="C150" s="666" t="s">
        <v>264</v>
      </c>
      <c r="D150" s="662"/>
      <c r="E150" s="662"/>
      <c r="F150" s="682">
        <f>'Depreciation - MF'!F150*1.1</f>
        <v>90200000</v>
      </c>
      <c r="G150" s="663">
        <f>'Depreciation - MF'!G150</f>
        <v>24</v>
      </c>
      <c r="H150" s="662"/>
      <c r="I150" s="662"/>
      <c r="J150" s="662">
        <f>F150</f>
        <v>90200000</v>
      </c>
      <c r="K150" s="662"/>
      <c r="L150" s="662"/>
      <c r="M150" s="662"/>
      <c r="N150" s="662"/>
      <c r="O150" s="662"/>
      <c r="P150" s="662"/>
      <c r="Q150" s="662"/>
      <c r="R150" s="662"/>
      <c r="S150" s="662"/>
      <c r="T150" s="1277">
        <f t="shared" ref="T150:T154" si="61">SUM(H150:S150)</f>
        <v>90200000</v>
      </c>
    </row>
    <row r="151" spans="1:20" s="665" customFormat="1" ht="40" customHeight="1" x14ac:dyDescent="0.35">
      <c r="A151" s="659" t="s">
        <v>18</v>
      </c>
      <c r="B151" s="660">
        <v>3</v>
      </c>
      <c r="C151" s="666" t="s">
        <v>266</v>
      </c>
      <c r="D151" s="662"/>
      <c r="E151" s="662"/>
      <c r="F151" s="682">
        <f>'Depreciation - MF'!F151*1.1</f>
        <v>22000000</v>
      </c>
      <c r="G151" s="663">
        <f>'Depreciation - MF'!G151</f>
        <v>12</v>
      </c>
      <c r="H151" s="662">
        <f>F151/4</f>
        <v>5500000</v>
      </c>
      <c r="I151" s="662"/>
      <c r="J151" s="662"/>
      <c r="K151" s="662">
        <f>H151</f>
        <v>5500000</v>
      </c>
      <c r="L151" s="662"/>
      <c r="M151" s="662"/>
      <c r="N151" s="662">
        <f>K151</f>
        <v>5500000</v>
      </c>
      <c r="O151" s="662"/>
      <c r="P151" s="662"/>
      <c r="Q151" s="662">
        <f>N151</f>
        <v>5500000</v>
      </c>
      <c r="R151" s="662"/>
      <c r="S151" s="662"/>
      <c r="T151" s="1277">
        <f t="shared" si="61"/>
        <v>22000000</v>
      </c>
    </row>
    <row r="152" spans="1:20" s="665" customFormat="1" ht="40" customHeight="1" x14ac:dyDescent="0.35">
      <c r="A152" s="659" t="s">
        <v>18</v>
      </c>
      <c r="B152" s="660">
        <v>4</v>
      </c>
      <c r="C152" s="666" t="s">
        <v>267</v>
      </c>
      <c r="D152" s="662"/>
      <c r="E152" s="662"/>
      <c r="F152" s="682">
        <f>'Depreciation - MF'!F152*1.1</f>
        <v>39600000</v>
      </c>
      <c r="G152" s="663">
        <f>'Depreciation - MF'!G152</f>
        <v>12</v>
      </c>
      <c r="H152" s="662">
        <f>F152/12</f>
        <v>3300000</v>
      </c>
      <c r="I152" s="662">
        <f>H152</f>
        <v>3300000</v>
      </c>
      <c r="J152" s="662">
        <f t="shared" ref="J152:S152" si="62">I152</f>
        <v>3300000</v>
      </c>
      <c r="K152" s="662">
        <f t="shared" si="62"/>
        <v>3300000</v>
      </c>
      <c r="L152" s="662">
        <f t="shared" si="62"/>
        <v>3300000</v>
      </c>
      <c r="M152" s="662">
        <f t="shared" si="62"/>
        <v>3300000</v>
      </c>
      <c r="N152" s="662">
        <f t="shared" si="62"/>
        <v>3300000</v>
      </c>
      <c r="O152" s="662">
        <f t="shared" si="62"/>
        <v>3300000</v>
      </c>
      <c r="P152" s="662">
        <f t="shared" si="62"/>
        <v>3300000</v>
      </c>
      <c r="Q152" s="662">
        <f t="shared" si="62"/>
        <v>3300000</v>
      </c>
      <c r="R152" s="662">
        <f t="shared" si="62"/>
        <v>3300000</v>
      </c>
      <c r="S152" s="662">
        <f t="shared" si="62"/>
        <v>3300000</v>
      </c>
      <c r="T152" s="1277">
        <f t="shared" si="61"/>
        <v>39600000</v>
      </c>
    </row>
    <row r="153" spans="1:20" s="665" customFormat="1" ht="40" customHeight="1" x14ac:dyDescent="0.35">
      <c r="A153" s="659" t="s">
        <v>18</v>
      </c>
      <c r="B153" s="660">
        <v>5</v>
      </c>
      <c r="C153" s="666" t="s">
        <v>268</v>
      </c>
      <c r="D153" s="662"/>
      <c r="E153" s="662"/>
      <c r="F153" s="682">
        <f>'Depreciation - MF'!F153*1.1</f>
        <v>22000000</v>
      </c>
      <c r="G153" s="663">
        <f>'Depreciation - MF'!G153</f>
        <v>12</v>
      </c>
      <c r="H153" s="662"/>
      <c r="I153" s="662"/>
      <c r="J153" s="662"/>
      <c r="K153" s="662"/>
      <c r="L153" s="662"/>
      <c r="M153" s="662"/>
      <c r="N153" s="662"/>
      <c r="O153" s="662"/>
      <c r="P153" s="662"/>
      <c r="Q153" s="662">
        <f>F153</f>
        <v>22000000</v>
      </c>
      <c r="R153" s="662"/>
      <c r="S153" s="662"/>
      <c r="T153" s="1277">
        <f t="shared" si="61"/>
        <v>22000000</v>
      </c>
    </row>
    <row r="154" spans="1:20" s="665" customFormat="1" ht="40" customHeight="1" x14ac:dyDescent="0.35">
      <c r="A154" s="659" t="s">
        <v>18</v>
      </c>
      <c r="B154" s="660">
        <v>6</v>
      </c>
      <c r="C154" s="666" t="s">
        <v>269</v>
      </c>
      <c r="D154" s="662"/>
      <c r="E154" s="662"/>
      <c r="F154" s="682">
        <f>'Depreciation - MF'!F154*1.1</f>
        <v>5500000</v>
      </c>
      <c r="G154" s="663">
        <f>'Depreciation - MF'!G154</f>
        <v>12</v>
      </c>
      <c r="H154" s="662"/>
      <c r="I154" s="662"/>
      <c r="J154" s="662"/>
      <c r="K154" s="662"/>
      <c r="L154" s="662"/>
      <c r="M154" s="662"/>
      <c r="N154" s="662"/>
      <c r="O154" s="662"/>
      <c r="P154" s="662"/>
      <c r="Q154" s="662"/>
      <c r="R154" s="662"/>
      <c r="S154" s="662">
        <f>F154</f>
        <v>5500000</v>
      </c>
      <c r="T154" s="1277">
        <f t="shared" si="61"/>
        <v>5500000</v>
      </c>
    </row>
    <row r="155" spans="1:20" s="665" customFormat="1" ht="40" customHeight="1" x14ac:dyDescent="0.35">
      <c r="A155" s="667" t="s">
        <v>614</v>
      </c>
      <c r="B155" s="668"/>
      <c r="C155" s="669" t="s">
        <v>590</v>
      </c>
      <c r="D155" s="670"/>
      <c r="E155" s="670"/>
      <c r="F155" s="670">
        <f>SUBTOTAL(9,F148:F154)</f>
        <v>207240000</v>
      </c>
      <c r="G155" s="670"/>
      <c r="H155" s="670">
        <f>SUBTOTAL(9,H148:H154)</f>
        <v>8800000</v>
      </c>
      <c r="I155" s="670">
        <f t="shared" ref="I155:T155" si="63">SUBTOTAL(9,I148:I154)</f>
        <v>3300000</v>
      </c>
      <c r="J155" s="670">
        <f t="shared" si="63"/>
        <v>93500000</v>
      </c>
      <c r="K155" s="670">
        <f t="shared" si="63"/>
        <v>8800000</v>
      </c>
      <c r="L155" s="670">
        <f t="shared" si="63"/>
        <v>3300000</v>
      </c>
      <c r="M155" s="670">
        <f t="shared" si="63"/>
        <v>17270000</v>
      </c>
      <c r="N155" s="670">
        <f t="shared" si="63"/>
        <v>8800000</v>
      </c>
      <c r="O155" s="670">
        <f t="shared" si="63"/>
        <v>3300000</v>
      </c>
      <c r="P155" s="670">
        <f t="shared" si="63"/>
        <v>3300000</v>
      </c>
      <c r="Q155" s="670">
        <f t="shared" si="63"/>
        <v>30800000</v>
      </c>
      <c r="R155" s="670">
        <f t="shared" si="63"/>
        <v>3300000</v>
      </c>
      <c r="S155" s="670">
        <f t="shared" si="63"/>
        <v>22770000</v>
      </c>
      <c r="T155" s="670">
        <f t="shared" si="63"/>
        <v>207240000</v>
      </c>
    </row>
    <row r="156" spans="1:20" s="665" customFormat="1" ht="40" customHeight="1" x14ac:dyDescent="0.35">
      <c r="A156" s="659" t="s">
        <v>4</v>
      </c>
      <c r="B156" s="660" t="s">
        <v>4</v>
      </c>
      <c r="C156" s="666" t="s">
        <v>594</v>
      </c>
      <c r="D156" s="662"/>
      <c r="E156" s="662"/>
      <c r="F156" s="682"/>
      <c r="G156" s="663"/>
      <c r="H156" s="662"/>
      <c r="I156" s="662"/>
      <c r="J156" s="662"/>
      <c r="K156" s="662"/>
      <c r="L156" s="662"/>
      <c r="M156" s="662"/>
      <c r="N156" s="662"/>
      <c r="O156" s="662"/>
      <c r="P156" s="662"/>
      <c r="Q156" s="662"/>
      <c r="R156" s="662">
        <f>F156</f>
        <v>0</v>
      </c>
      <c r="S156" s="662"/>
      <c r="T156" s="1277">
        <f>SUM(H156:S156)</f>
        <v>0</v>
      </c>
    </row>
    <row r="157" spans="1:20" s="665" customFormat="1" ht="40" customHeight="1" x14ac:dyDescent="0.35">
      <c r="A157" s="659" t="s">
        <v>4</v>
      </c>
      <c r="B157" s="660">
        <v>1</v>
      </c>
      <c r="C157" s="666" t="s">
        <v>457</v>
      </c>
      <c r="D157" s="662"/>
      <c r="E157" s="662"/>
      <c r="F157" s="682">
        <f>'2018-2022'!D145*1.1</f>
        <v>66704880.000000015</v>
      </c>
      <c r="G157" s="663">
        <v>12</v>
      </c>
      <c r="H157" s="662"/>
      <c r="I157" s="662"/>
      <c r="J157" s="662"/>
      <c r="K157" s="662"/>
      <c r="L157" s="662"/>
      <c r="M157" s="662"/>
      <c r="N157" s="662"/>
      <c r="O157" s="662"/>
      <c r="P157" s="662"/>
      <c r="Q157" s="662">
        <f>F157</f>
        <v>66704880.000000015</v>
      </c>
      <c r="R157" s="662"/>
      <c r="S157" s="662"/>
      <c r="T157" s="1277">
        <f>SUM(H157:S157)</f>
        <v>66704880.000000015</v>
      </c>
    </row>
    <row r="158" spans="1:20" s="665" customFormat="1" ht="40" customHeight="1" x14ac:dyDescent="0.35">
      <c r="A158" s="667" t="s">
        <v>615</v>
      </c>
      <c r="B158" s="668"/>
      <c r="C158" s="669"/>
      <c r="D158" s="670"/>
      <c r="E158" s="670"/>
      <c r="F158" s="670">
        <f>SUBTOTAL(9,F156:F157)</f>
        <v>66704880.000000015</v>
      </c>
      <c r="G158" s="670"/>
      <c r="H158" s="670">
        <f>SUBTOTAL(9,H156:H157)</f>
        <v>0</v>
      </c>
      <c r="I158" s="670">
        <f t="shared" ref="I158:S158" si="64">SUBTOTAL(9,I156:I157)</f>
        <v>0</v>
      </c>
      <c r="J158" s="670">
        <f t="shared" si="64"/>
        <v>0</v>
      </c>
      <c r="K158" s="670">
        <f t="shared" si="64"/>
        <v>0</v>
      </c>
      <c r="L158" s="670">
        <f t="shared" si="64"/>
        <v>0</v>
      </c>
      <c r="M158" s="670">
        <f t="shared" si="64"/>
        <v>0</v>
      </c>
      <c r="N158" s="670">
        <f t="shared" si="64"/>
        <v>0</v>
      </c>
      <c r="O158" s="670">
        <f t="shared" si="64"/>
        <v>0</v>
      </c>
      <c r="P158" s="670">
        <f t="shared" si="64"/>
        <v>0</v>
      </c>
      <c r="Q158" s="670">
        <f t="shared" si="64"/>
        <v>66704880.000000015</v>
      </c>
      <c r="R158" s="670">
        <f t="shared" si="64"/>
        <v>0</v>
      </c>
      <c r="S158" s="670">
        <f t="shared" si="64"/>
        <v>0</v>
      </c>
      <c r="T158" s="670">
        <f>SUBTOTAL(9,T156:T157)</f>
        <v>66704880.000000015</v>
      </c>
    </row>
    <row r="159" spans="1:20" s="665" customFormat="1" ht="40" customHeight="1" x14ac:dyDescent="0.35">
      <c r="A159" s="677" t="s">
        <v>598</v>
      </c>
      <c r="B159" s="678"/>
      <c r="C159" s="679"/>
      <c r="D159" s="680"/>
      <c r="E159" s="680"/>
      <c r="F159" s="680">
        <f>SUBTOTAL(9,F7:F158)</f>
        <v>8059069480</v>
      </c>
      <c r="G159" s="680"/>
      <c r="H159" s="680">
        <f t="shared" ref="H159:T159" si="65">SUBTOTAL(9,H7:H158)</f>
        <v>609666750.00000012</v>
      </c>
      <c r="I159" s="680">
        <f t="shared" si="65"/>
        <v>953966750</v>
      </c>
      <c r="J159" s="680">
        <f t="shared" si="65"/>
        <v>1487543749.9999998</v>
      </c>
      <c r="K159" s="680">
        <f t="shared" si="65"/>
        <v>855472750</v>
      </c>
      <c r="L159" s="680">
        <f t="shared" si="65"/>
        <v>577062750</v>
      </c>
      <c r="M159" s="680">
        <f t="shared" si="65"/>
        <v>1067497750</v>
      </c>
      <c r="N159" s="680">
        <f t="shared" si="65"/>
        <v>404032750</v>
      </c>
      <c r="O159" s="680">
        <f t="shared" si="65"/>
        <v>307782749.99999994</v>
      </c>
      <c r="P159" s="680">
        <f t="shared" si="65"/>
        <v>411369749.99999994</v>
      </c>
      <c r="Q159" s="680">
        <f t="shared" si="65"/>
        <v>572043230</v>
      </c>
      <c r="R159" s="680">
        <f t="shared" si="65"/>
        <v>368062750</v>
      </c>
      <c r="S159" s="680">
        <f t="shared" si="65"/>
        <v>444567750</v>
      </c>
      <c r="T159" s="680">
        <f t="shared" si="65"/>
        <v>8059069480</v>
      </c>
    </row>
  </sheetData>
  <pageMargins left="0.4" right="0.4" top="0.3" bottom="0.3" header="0.3" footer="0.2"/>
  <pageSetup paperSize="8" scale="69" firstPageNumber="13" orientation="landscape" useFirstPageNumber="1" r:id="rId1"/>
  <headerFooter>
    <oddFooter>&amp;L&amp;F, &amp;A&amp;RPage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175"/>
  <sheetViews>
    <sheetView view="pageBreakPreview" topLeftCell="A25" zoomScaleNormal="80" zoomScaleSheetLayoutView="100" zoomScalePageLayoutView="80" workbookViewId="0">
      <selection activeCell="D113" sqref="D113"/>
    </sheetView>
  </sheetViews>
  <sheetFormatPr defaultColWidth="8.81640625" defaultRowHeight="11.25" customHeight="1" x14ac:dyDescent="0.35"/>
  <cols>
    <col min="1" max="1" width="8.54296875" style="369" customWidth="1"/>
    <col min="2" max="2" width="6.81640625" style="142" customWidth="1"/>
    <col min="3" max="3" width="65.1796875" style="369" customWidth="1"/>
    <col min="4" max="4" width="57" style="143" customWidth="1"/>
    <col min="5" max="5" width="72.81640625" style="143" customWidth="1"/>
    <col min="6" max="6" width="21.26953125" style="414" customWidth="1"/>
    <col min="7" max="7" width="8.81640625" style="369"/>
    <col min="8" max="8" width="12.453125" style="369" bestFit="1" customWidth="1"/>
    <col min="9" max="9" width="18.1796875" style="369" bestFit="1" customWidth="1"/>
    <col min="10" max="16384" width="8.81640625" style="369"/>
  </cols>
  <sheetData>
    <row r="1" spans="1:6" ht="58.5" customHeight="1" x14ac:dyDescent="0.35"/>
    <row r="2" spans="1:6" ht="38.25" customHeight="1" x14ac:dyDescent="0.35">
      <c r="A2" s="438" t="s">
        <v>235</v>
      </c>
      <c r="B2" s="439"/>
      <c r="C2" s="440"/>
      <c r="D2" s="440"/>
      <c r="E2" s="440"/>
    </row>
    <row r="3" spans="1:6" ht="69.75" customHeight="1" x14ac:dyDescent="0.35">
      <c r="A3" s="434" t="s">
        <v>459</v>
      </c>
      <c r="B3" s="435"/>
      <c r="C3" s="434" t="s">
        <v>236</v>
      </c>
      <c r="D3" s="436" t="s">
        <v>237</v>
      </c>
      <c r="E3" s="437" t="s">
        <v>593</v>
      </c>
    </row>
    <row r="4" spans="1:6" s="321" customFormat="1" ht="30" customHeight="1" x14ac:dyDescent="0.35">
      <c r="A4" s="481"/>
      <c r="B4" s="482"/>
      <c r="C4" s="481" t="s">
        <v>556</v>
      </c>
      <c r="D4" s="483">
        <f>D5+D9+D11+D20+D31+D39+D51+D64+D73+D81+D86+D91+D100+D105+D108+D112+D125+D97+D132</f>
        <v>7376426800</v>
      </c>
      <c r="E4" s="335" t="b">
        <f>D4=('General-Budget 2018 - MF'!G119+'General-Budget 2018 - MF'!G112)</f>
        <v>0</v>
      </c>
      <c r="F4" s="364"/>
    </row>
    <row r="5" spans="1:6" s="321" customFormat="1" ht="30" customHeight="1" x14ac:dyDescent="0.35">
      <c r="A5" s="484" t="s">
        <v>77</v>
      </c>
      <c r="B5" s="485" t="s">
        <v>199</v>
      </c>
      <c r="C5" s="486" t="s">
        <v>557</v>
      </c>
      <c r="D5" s="487">
        <f>SUM(D6:D8)</f>
        <v>31200000</v>
      </c>
      <c r="E5" s="145"/>
      <c r="F5" s="364"/>
    </row>
    <row r="6" spans="1:6" s="321" customFormat="1" ht="30" customHeight="1" x14ac:dyDescent="0.35">
      <c r="A6" s="331"/>
      <c r="B6" s="446" t="s">
        <v>249</v>
      </c>
      <c r="C6" s="456" t="s">
        <v>493</v>
      </c>
      <c r="D6" s="334">
        <f>600000*2</f>
        <v>1200000</v>
      </c>
      <c r="E6" s="480" t="s">
        <v>327</v>
      </c>
      <c r="F6" s="415"/>
    </row>
    <row r="7" spans="1:6" s="418" customFormat="1" ht="30" customHeight="1" x14ac:dyDescent="0.35">
      <c r="A7" s="416"/>
      <c r="B7" s="147" t="s">
        <v>251</v>
      </c>
      <c r="C7" s="153" t="s">
        <v>494</v>
      </c>
      <c r="D7" s="148">
        <v>10000000</v>
      </c>
      <c r="E7" s="330"/>
      <c r="F7" s="417"/>
    </row>
    <row r="8" spans="1:6" s="321" customFormat="1" ht="30" customHeight="1" x14ac:dyDescent="0.35">
      <c r="A8" s="441"/>
      <c r="B8" s="442">
        <v>3</v>
      </c>
      <c r="C8" s="468" t="s">
        <v>238</v>
      </c>
      <c r="D8" s="366">
        <v>20000000</v>
      </c>
      <c r="E8" s="366"/>
      <c r="F8" s="364"/>
    </row>
    <row r="9" spans="1:6" s="321" customFormat="1" ht="30" customHeight="1" x14ac:dyDescent="0.35">
      <c r="A9" s="451" t="s">
        <v>75</v>
      </c>
      <c r="B9" s="478" t="s">
        <v>164</v>
      </c>
      <c r="C9" s="479" t="s">
        <v>551</v>
      </c>
      <c r="D9" s="459">
        <f>SUM(D10)</f>
        <v>1673400000</v>
      </c>
      <c r="E9" s="145"/>
      <c r="F9" s="419"/>
    </row>
    <row r="10" spans="1:6" s="321" customFormat="1" ht="60.75" customHeight="1" x14ac:dyDescent="0.35">
      <c r="A10" s="475"/>
      <c r="B10" s="476">
        <v>1</v>
      </c>
      <c r="C10" s="477" t="s">
        <v>281</v>
      </c>
      <c r="D10" s="367">
        <f>1578360000/12*3+1705080000/12*9</f>
        <v>1673400000</v>
      </c>
      <c r="E10" s="367" t="s">
        <v>282</v>
      </c>
      <c r="F10" s="419" t="s">
        <v>462</v>
      </c>
    </row>
    <row r="11" spans="1:6" s="321" customFormat="1" ht="30" customHeight="1" x14ac:dyDescent="0.35">
      <c r="A11" s="457" t="s">
        <v>73</v>
      </c>
      <c r="B11" s="458" t="s">
        <v>558</v>
      </c>
      <c r="C11" s="457" t="s">
        <v>559</v>
      </c>
      <c r="D11" s="459">
        <f>SUM(D12:D13)</f>
        <v>284280000</v>
      </c>
      <c r="E11" s="145"/>
      <c r="F11" s="364"/>
    </row>
    <row r="12" spans="1:6" ht="30" customHeight="1" x14ac:dyDescent="0.35">
      <c r="A12" s="331"/>
      <c r="B12" s="465">
        <v>1</v>
      </c>
      <c r="C12" s="466" t="s">
        <v>285</v>
      </c>
      <c r="D12" s="467">
        <f>66000000*1.08</f>
        <v>71280000</v>
      </c>
      <c r="E12" s="334"/>
    </row>
    <row r="13" spans="1:6" ht="30" customHeight="1" x14ac:dyDescent="0.35">
      <c r="A13" s="150"/>
      <c r="B13" s="412">
        <v>2</v>
      </c>
      <c r="C13" s="425" t="s">
        <v>560</v>
      </c>
      <c r="D13" s="175">
        <f>SUM(D14:D19)</f>
        <v>213000000</v>
      </c>
      <c r="E13" s="153"/>
    </row>
    <row r="14" spans="1:6" s="418" customFormat="1" ht="30" customHeight="1" x14ac:dyDescent="0.35">
      <c r="A14" s="416"/>
      <c r="B14" s="147">
        <v>2.1</v>
      </c>
      <c r="C14" s="368" t="s">
        <v>239</v>
      </c>
      <c r="D14" s="620">
        <v>18000000</v>
      </c>
      <c r="E14" s="420" t="s">
        <v>240</v>
      </c>
      <c r="F14" s="421"/>
    </row>
    <row r="15" spans="1:6" s="418" customFormat="1" ht="30" customHeight="1" x14ac:dyDescent="0.35">
      <c r="A15" s="416"/>
      <c r="B15" s="147">
        <v>2.2000000000000002</v>
      </c>
      <c r="C15" s="368" t="s">
        <v>241</v>
      </c>
      <c r="D15" s="330">
        <v>6000000</v>
      </c>
      <c r="E15" s="422" t="s">
        <v>242</v>
      </c>
      <c r="F15" s="421"/>
    </row>
    <row r="16" spans="1:6" s="418" customFormat="1" ht="30" customHeight="1" x14ac:dyDescent="0.35">
      <c r="A16" s="416"/>
      <c r="B16" s="147">
        <v>2.2999999999999998</v>
      </c>
      <c r="C16" s="368" t="s">
        <v>243</v>
      </c>
      <c r="D16" s="330">
        <v>3000000</v>
      </c>
      <c r="E16" s="422"/>
      <c r="F16" s="421"/>
    </row>
    <row r="17" spans="1:6" s="418" customFormat="1" ht="30" customHeight="1" x14ac:dyDescent="0.35">
      <c r="A17" s="416"/>
      <c r="B17" s="147">
        <v>2.4</v>
      </c>
      <c r="C17" s="368" t="s">
        <v>463</v>
      </c>
      <c r="D17" s="621">
        <f>150*270000</f>
        <v>40500000</v>
      </c>
      <c r="E17" s="424"/>
      <c r="F17" s="421" t="s">
        <v>548</v>
      </c>
    </row>
    <row r="18" spans="1:6" s="418" customFormat="1" ht="30" customHeight="1" x14ac:dyDescent="0.35">
      <c r="A18" s="416"/>
      <c r="B18" s="147">
        <v>2.5</v>
      </c>
      <c r="C18" s="368" t="s">
        <v>464</v>
      </c>
      <c r="D18" s="622">
        <f>95000*900</f>
        <v>85500000</v>
      </c>
      <c r="E18" s="424"/>
      <c r="F18" s="421" t="s">
        <v>548</v>
      </c>
    </row>
    <row r="19" spans="1:6" s="418" customFormat="1" ht="30" customHeight="1" x14ac:dyDescent="0.35">
      <c r="A19" s="416"/>
      <c r="B19" s="155">
        <v>2.6</v>
      </c>
      <c r="C19" s="368" t="s">
        <v>465</v>
      </c>
      <c r="D19" s="621">
        <f>3*20000000</f>
        <v>60000000</v>
      </c>
      <c r="E19" s="330"/>
      <c r="F19" s="421" t="s">
        <v>548</v>
      </c>
    </row>
    <row r="20" spans="1:6" s="321" customFormat="1" ht="30" customHeight="1" x14ac:dyDescent="0.35">
      <c r="A20" s="457" t="s">
        <v>67</v>
      </c>
      <c r="B20" s="458" t="s">
        <v>562</v>
      </c>
      <c r="C20" s="457" t="s">
        <v>561</v>
      </c>
      <c r="D20" s="459">
        <f>SUM(D21:D22)</f>
        <v>444996000</v>
      </c>
      <c r="E20" s="145"/>
      <c r="F20" s="364"/>
    </row>
    <row r="21" spans="1:6" s="321" customFormat="1" ht="30" customHeight="1" x14ac:dyDescent="0.35">
      <c r="A21" s="331"/>
      <c r="B21" s="465">
        <v>1</v>
      </c>
      <c r="C21" s="466" t="s">
        <v>285</v>
      </c>
      <c r="D21" s="467">
        <v>250000000</v>
      </c>
      <c r="E21" s="467"/>
      <c r="F21" s="364"/>
    </row>
    <row r="22" spans="1:6" s="321" customFormat="1" ht="30" customHeight="1" x14ac:dyDescent="0.35">
      <c r="A22" s="150"/>
      <c r="B22" s="412">
        <v>2</v>
      </c>
      <c r="C22" s="425" t="s">
        <v>560</v>
      </c>
      <c r="D22" s="175">
        <f>SUM(D23:D30)</f>
        <v>194996000</v>
      </c>
      <c r="E22" s="175"/>
      <c r="F22" s="364"/>
    </row>
    <row r="23" spans="1:6" s="418" customFormat="1" ht="30" customHeight="1" x14ac:dyDescent="0.35">
      <c r="A23" s="416"/>
      <c r="B23" s="147">
        <v>2.1</v>
      </c>
      <c r="C23" s="368" t="s">
        <v>244</v>
      </c>
      <c r="D23" s="330">
        <v>30000000</v>
      </c>
      <c r="E23" s="153" t="s">
        <v>245</v>
      </c>
      <c r="F23" s="421"/>
    </row>
    <row r="24" spans="1:6" s="418" customFormat="1" ht="30" customHeight="1" x14ac:dyDescent="0.35">
      <c r="A24" s="416"/>
      <c r="B24" s="147">
        <v>2.2000000000000002</v>
      </c>
      <c r="C24" s="368" t="s">
        <v>325</v>
      </c>
      <c r="D24" s="330">
        <f>(552*126000+8*468000)</f>
        <v>73296000</v>
      </c>
      <c r="E24" s="153" t="s">
        <v>895</v>
      </c>
      <c r="F24" s="421" t="s">
        <v>548</v>
      </c>
    </row>
    <row r="25" spans="1:6" s="418" customFormat="1" ht="30" customHeight="1" x14ac:dyDescent="0.35">
      <c r="A25" s="416"/>
      <c r="B25" s="147">
        <v>2.2999999999999998</v>
      </c>
      <c r="C25" s="368" t="s">
        <v>487</v>
      </c>
      <c r="D25" s="330">
        <v>39000000</v>
      </c>
      <c r="E25" s="153" t="s">
        <v>326</v>
      </c>
      <c r="F25" s="421" t="s">
        <v>548</v>
      </c>
    </row>
    <row r="26" spans="1:6" s="418" customFormat="1" ht="30" customHeight="1" x14ac:dyDescent="0.35">
      <c r="A26" s="416"/>
      <c r="B26" s="147">
        <v>2.4</v>
      </c>
      <c r="C26" s="368" t="s">
        <v>488</v>
      </c>
      <c r="D26" s="330">
        <v>10000000</v>
      </c>
      <c r="E26" s="153"/>
      <c r="F26" s="421" t="s">
        <v>548</v>
      </c>
    </row>
    <row r="27" spans="1:6" s="418" customFormat="1" ht="30" customHeight="1" x14ac:dyDescent="0.35">
      <c r="A27" s="416"/>
      <c r="B27" s="147">
        <v>2.5</v>
      </c>
      <c r="C27" s="368" t="s">
        <v>489</v>
      </c>
      <c r="D27" s="330">
        <v>19600000</v>
      </c>
      <c r="E27" s="153"/>
      <c r="F27" s="421" t="s">
        <v>548</v>
      </c>
    </row>
    <row r="28" spans="1:6" s="418" customFormat="1" ht="30" customHeight="1" x14ac:dyDescent="0.35">
      <c r="A28" s="416"/>
      <c r="B28" s="147">
        <v>2.6</v>
      </c>
      <c r="C28" s="368" t="s">
        <v>490</v>
      </c>
      <c r="D28" s="330">
        <v>600000</v>
      </c>
      <c r="E28" s="153"/>
      <c r="F28" s="421" t="s">
        <v>548</v>
      </c>
    </row>
    <row r="29" spans="1:6" s="418" customFormat="1" ht="30" customHeight="1" x14ac:dyDescent="0.35">
      <c r="A29" s="416"/>
      <c r="B29" s="147">
        <v>2.7</v>
      </c>
      <c r="C29" s="368" t="s">
        <v>491</v>
      </c>
      <c r="D29" s="330">
        <v>2500000</v>
      </c>
      <c r="E29" s="153" t="s">
        <v>492</v>
      </c>
      <c r="F29" s="421" t="s">
        <v>548</v>
      </c>
    </row>
    <row r="30" spans="1:6" ht="30" customHeight="1" x14ac:dyDescent="0.35">
      <c r="A30" s="472"/>
      <c r="B30" s="473">
        <v>2.8</v>
      </c>
      <c r="C30" s="468" t="s">
        <v>246</v>
      </c>
      <c r="D30" s="474">
        <v>20000000</v>
      </c>
      <c r="E30" s="474"/>
    </row>
    <row r="31" spans="1:6" s="321" customFormat="1" ht="30" customHeight="1" x14ac:dyDescent="0.35">
      <c r="A31" s="457" t="s">
        <v>61</v>
      </c>
      <c r="B31" s="458" t="s">
        <v>563</v>
      </c>
      <c r="C31" s="457" t="s">
        <v>564</v>
      </c>
      <c r="D31" s="459">
        <f>SUM(D32:D38)</f>
        <v>670300000</v>
      </c>
      <c r="E31" s="145"/>
      <c r="F31" s="364"/>
    </row>
    <row r="32" spans="1:6" ht="30" customHeight="1" x14ac:dyDescent="0.35">
      <c r="A32" s="331"/>
      <c r="B32" s="333">
        <v>1</v>
      </c>
      <c r="C32" s="456" t="s">
        <v>466</v>
      </c>
      <c r="D32" s="448">
        <f>1900000*10</f>
        <v>19000000</v>
      </c>
      <c r="E32" s="448" t="s">
        <v>297</v>
      </c>
      <c r="F32" s="417" t="s">
        <v>462</v>
      </c>
    </row>
    <row r="33" spans="1:6" ht="30" customHeight="1" x14ac:dyDescent="0.35">
      <c r="A33" s="150"/>
      <c r="B33" s="155">
        <v>2</v>
      </c>
      <c r="C33" s="413" t="s">
        <v>467</v>
      </c>
      <c r="D33" s="330">
        <v>10000000</v>
      </c>
      <c r="E33" s="330" t="s">
        <v>298</v>
      </c>
      <c r="F33" s="417" t="s">
        <v>462</v>
      </c>
    </row>
    <row r="34" spans="1:6" ht="30" customHeight="1" x14ac:dyDescent="0.35">
      <c r="A34" s="150"/>
      <c r="B34" s="155">
        <v>3</v>
      </c>
      <c r="C34" s="371" t="s">
        <v>468</v>
      </c>
      <c r="D34" s="330">
        <f>250000*10</f>
        <v>2500000</v>
      </c>
      <c r="E34" s="330" t="s">
        <v>299</v>
      </c>
      <c r="F34" s="417" t="s">
        <v>462</v>
      </c>
    </row>
    <row r="35" spans="1:6" ht="30" customHeight="1" x14ac:dyDescent="0.35">
      <c r="A35" s="150"/>
      <c r="B35" s="155">
        <v>4</v>
      </c>
      <c r="C35" s="371" t="s">
        <v>469</v>
      </c>
      <c r="D35" s="330">
        <v>6800000</v>
      </c>
      <c r="E35" s="330" t="s">
        <v>300</v>
      </c>
      <c r="F35" s="417" t="s">
        <v>462</v>
      </c>
    </row>
    <row r="36" spans="1:6" ht="30" customHeight="1" x14ac:dyDescent="0.35">
      <c r="A36" s="150"/>
      <c r="B36" s="155">
        <v>5</v>
      </c>
      <c r="C36" s="371" t="s">
        <v>292</v>
      </c>
      <c r="D36" s="330">
        <v>12000000</v>
      </c>
      <c r="E36" s="330" t="s">
        <v>293</v>
      </c>
      <c r="F36" s="417" t="s">
        <v>548</v>
      </c>
    </row>
    <row r="37" spans="1:6" ht="30" customHeight="1" x14ac:dyDescent="0.35">
      <c r="A37" s="150"/>
      <c r="B37" s="155">
        <v>6</v>
      </c>
      <c r="C37" s="371" t="s">
        <v>294</v>
      </c>
      <c r="D37" s="623">
        <v>600000000</v>
      </c>
      <c r="E37" s="330" t="s">
        <v>460</v>
      </c>
      <c r="F37" s="417" t="s">
        <v>548</v>
      </c>
    </row>
    <row r="38" spans="1:6" s="418" customFormat="1" ht="30" customHeight="1" x14ac:dyDescent="0.35">
      <c r="A38" s="454"/>
      <c r="B38" s="442">
        <v>7</v>
      </c>
      <c r="C38" s="443" t="s">
        <v>247</v>
      </c>
      <c r="D38" s="455">
        <v>20000000</v>
      </c>
      <c r="E38" s="444"/>
      <c r="F38" s="421"/>
    </row>
    <row r="39" spans="1:6" s="321" customFormat="1" ht="30" customHeight="1" x14ac:dyDescent="0.35">
      <c r="A39" s="457" t="s">
        <v>59</v>
      </c>
      <c r="B39" s="458" t="s">
        <v>565</v>
      </c>
      <c r="C39" s="457" t="s">
        <v>301</v>
      </c>
      <c r="D39" s="459">
        <f>SUM(D40:D41)</f>
        <v>388050000</v>
      </c>
      <c r="E39" s="145"/>
      <c r="F39" s="364"/>
    </row>
    <row r="40" spans="1:6" ht="30" customHeight="1" x14ac:dyDescent="0.35">
      <c r="A40" s="331"/>
      <c r="B40" s="465">
        <v>1</v>
      </c>
      <c r="C40" s="466" t="s">
        <v>285</v>
      </c>
      <c r="D40" s="467">
        <v>198550000</v>
      </c>
      <c r="E40" s="334" t="s">
        <v>302</v>
      </c>
      <c r="F40" s="417" t="s">
        <v>462</v>
      </c>
    </row>
    <row r="41" spans="1:6" ht="30" customHeight="1" x14ac:dyDescent="0.35">
      <c r="A41" s="150"/>
      <c r="B41" s="412">
        <v>2</v>
      </c>
      <c r="C41" s="425" t="s">
        <v>560</v>
      </c>
      <c r="D41" s="175">
        <f>SUM(D42:D50)</f>
        <v>189500000</v>
      </c>
      <c r="E41" s="153"/>
      <c r="F41" s="417"/>
    </row>
    <row r="42" spans="1:6" ht="30" customHeight="1" x14ac:dyDescent="0.35">
      <c r="A42" s="150"/>
      <c r="B42" s="151">
        <v>2.1</v>
      </c>
      <c r="C42" s="368" t="s">
        <v>303</v>
      </c>
      <c r="D42" s="153">
        <v>75000000</v>
      </c>
      <c r="E42" s="153" t="s">
        <v>896</v>
      </c>
      <c r="F42" s="417" t="s">
        <v>548</v>
      </c>
    </row>
    <row r="43" spans="1:6" ht="30" customHeight="1" x14ac:dyDescent="0.35">
      <c r="A43" s="150"/>
      <c r="B43" s="151">
        <v>2.2000000000000002</v>
      </c>
      <c r="C43" s="368" t="s">
        <v>471</v>
      </c>
      <c r="D43" s="153">
        <v>5000000</v>
      </c>
      <c r="E43" s="153"/>
      <c r="F43" s="417" t="s">
        <v>548</v>
      </c>
    </row>
    <row r="44" spans="1:6" ht="30" customHeight="1" x14ac:dyDescent="0.35">
      <c r="A44" s="150"/>
      <c r="B44" s="151">
        <v>2.2999999999999998</v>
      </c>
      <c r="C44" s="368" t="s">
        <v>472</v>
      </c>
      <c r="D44" s="153">
        <v>20000000</v>
      </c>
      <c r="E44" s="153"/>
      <c r="F44" s="417" t="s">
        <v>548</v>
      </c>
    </row>
    <row r="45" spans="1:6" ht="30" customHeight="1" x14ac:dyDescent="0.35">
      <c r="A45" s="150"/>
      <c r="B45" s="151">
        <v>2.4</v>
      </c>
      <c r="C45" s="368" t="s">
        <v>473</v>
      </c>
      <c r="D45" s="153">
        <v>1000000</v>
      </c>
      <c r="E45" s="153"/>
      <c r="F45" s="417" t="s">
        <v>548</v>
      </c>
    </row>
    <row r="46" spans="1:6" ht="30" customHeight="1" x14ac:dyDescent="0.35">
      <c r="A46" s="150"/>
      <c r="B46" s="615">
        <v>2.5</v>
      </c>
      <c r="C46" s="368" t="s">
        <v>474</v>
      </c>
      <c r="D46" s="153">
        <v>4000000</v>
      </c>
      <c r="E46" s="153"/>
      <c r="F46" s="417" t="s">
        <v>548</v>
      </c>
    </row>
    <row r="47" spans="1:6" ht="30" customHeight="1" x14ac:dyDescent="0.35">
      <c r="A47" s="150"/>
      <c r="B47" s="615">
        <v>2.6</v>
      </c>
      <c r="C47" s="368" t="s">
        <v>476</v>
      </c>
      <c r="D47" s="153">
        <v>12500000</v>
      </c>
      <c r="E47" s="153"/>
      <c r="F47" s="417" t="s">
        <v>548</v>
      </c>
    </row>
    <row r="48" spans="1:6" ht="30" customHeight="1" x14ac:dyDescent="0.35">
      <c r="A48" s="150"/>
      <c r="B48" s="617">
        <v>2.7</v>
      </c>
      <c r="C48" s="368" t="s">
        <v>898</v>
      </c>
      <c r="D48" s="153">
        <f>3*14000000</f>
        <v>42000000</v>
      </c>
      <c r="E48" s="153" t="s">
        <v>899</v>
      </c>
      <c r="F48" s="417"/>
    </row>
    <row r="49" spans="1:6" ht="30" customHeight="1" x14ac:dyDescent="0.35">
      <c r="A49" s="150"/>
      <c r="B49" s="151">
        <v>2.8</v>
      </c>
      <c r="C49" s="368" t="s">
        <v>470</v>
      </c>
      <c r="D49" s="153">
        <v>10000000</v>
      </c>
      <c r="E49" s="153"/>
      <c r="F49" s="417" t="s">
        <v>548</v>
      </c>
    </row>
    <row r="50" spans="1:6" s="418" customFormat="1" ht="30" customHeight="1" x14ac:dyDescent="0.35">
      <c r="A50" s="454"/>
      <c r="B50" s="365">
        <v>2.9</v>
      </c>
      <c r="C50" s="468" t="s">
        <v>248</v>
      </c>
      <c r="D50" s="455">
        <v>20000000</v>
      </c>
      <c r="E50" s="444"/>
      <c r="F50" s="421"/>
    </row>
    <row r="51" spans="1:6" s="321" customFormat="1" ht="30" customHeight="1" x14ac:dyDescent="0.35">
      <c r="A51" s="457" t="s">
        <v>57</v>
      </c>
      <c r="B51" s="458" t="s">
        <v>568</v>
      </c>
      <c r="C51" s="457" t="s">
        <v>567</v>
      </c>
      <c r="D51" s="459">
        <f>SUM(D52:D63)</f>
        <v>448000000</v>
      </c>
      <c r="E51" s="145"/>
      <c r="F51" s="364"/>
    </row>
    <row r="52" spans="1:6" s="418" customFormat="1" ht="30" customHeight="1" x14ac:dyDescent="0.35">
      <c r="A52" s="445"/>
      <c r="B52" s="446">
        <v>2.1</v>
      </c>
      <c r="C52" s="471" t="s">
        <v>250</v>
      </c>
      <c r="D52" s="448">
        <v>240000000</v>
      </c>
      <c r="E52" s="449"/>
      <c r="F52" s="421"/>
    </row>
    <row r="53" spans="1:6" s="418" customFormat="1" ht="30" customHeight="1" x14ac:dyDescent="0.35">
      <c r="A53" s="416"/>
      <c r="B53" s="147">
        <v>2.2000000000000002</v>
      </c>
      <c r="C53" s="148" t="s">
        <v>308</v>
      </c>
      <c r="D53" s="330">
        <v>15000000</v>
      </c>
      <c r="E53" s="422" t="s">
        <v>309</v>
      </c>
      <c r="F53" s="421" t="s">
        <v>548</v>
      </c>
    </row>
    <row r="54" spans="1:6" s="418" customFormat="1" ht="30" customHeight="1" x14ac:dyDescent="0.35">
      <c r="A54" s="416"/>
      <c r="B54" s="147">
        <v>2.2999999999999998</v>
      </c>
      <c r="C54" s="148" t="s">
        <v>477</v>
      </c>
      <c r="D54" s="330">
        <v>35000000</v>
      </c>
      <c r="E54" s="422" t="s">
        <v>310</v>
      </c>
      <c r="F54" s="421" t="s">
        <v>548</v>
      </c>
    </row>
    <row r="55" spans="1:6" s="418" customFormat="1" ht="30" customHeight="1" x14ac:dyDescent="0.35">
      <c r="A55" s="416"/>
      <c r="B55" s="147">
        <v>2.4</v>
      </c>
      <c r="C55" s="148" t="s">
        <v>478</v>
      </c>
      <c r="D55" s="330">
        <v>22000000</v>
      </c>
      <c r="E55" s="422" t="s">
        <v>311</v>
      </c>
      <c r="F55" s="421" t="s">
        <v>548</v>
      </c>
    </row>
    <row r="56" spans="1:6" s="418" customFormat="1" ht="30" customHeight="1" x14ac:dyDescent="0.35">
      <c r="A56" s="416"/>
      <c r="B56" s="147">
        <v>2.5</v>
      </c>
      <c r="C56" s="148" t="s">
        <v>479</v>
      </c>
      <c r="D56" s="330">
        <v>16000000</v>
      </c>
      <c r="E56" s="422" t="s">
        <v>312</v>
      </c>
      <c r="F56" s="421" t="s">
        <v>548</v>
      </c>
    </row>
    <row r="57" spans="1:6" ht="30" customHeight="1" x14ac:dyDescent="0.35">
      <c r="A57" s="150"/>
      <c r="B57" s="147">
        <v>2.6</v>
      </c>
      <c r="C57" s="368" t="s">
        <v>475</v>
      </c>
      <c r="D57" s="619">
        <v>60000000</v>
      </c>
      <c r="E57" s="153" t="s">
        <v>304</v>
      </c>
      <c r="F57" s="417" t="s">
        <v>548</v>
      </c>
    </row>
    <row r="58" spans="1:6" s="418" customFormat="1" ht="30" customHeight="1" x14ac:dyDescent="0.35">
      <c r="A58" s="416"/>
      <c r="B58" s="147">
        <v>2.7</v>
      </c>
      <c r="C58" s="148" t="s">
        <v>480</v>
      </c>
      <c r="D58" s="330">
        <v>3000000</v>
      </c>
      <c r="E58" s="422" t="s">
        <v>313</v>
      </c>
      <c r="F58" s="421" t="s">
        <v>548</v>
      </c>
    </row>
    <row r="59" spans="1:6" s="418" customFormat="1" ht="30" customHeight="1" x14ac:dyDescent="0.35">
      <c r="A59" s="416"/>
      <c r="B59" s="147">
        <v>2.8</v>
      </c>
      <c r="C59" s="148" t="s">
        <v>481</v>
      </c>
      <c r="D59" s="330">
        <v>6000000</v>
      </c>
      <c r="E59" s="422"/>
      <c r="F59" s="421" t="s">
        <v>548</v>
      </c>
    </row>
    <row r="60" spans="1:6" s="418" customFormat="1" ht="30" customHeight="1" x14ac:dyDescent="0.35">
      <c r="A60" s="416"/>
      <c r="B60" s="147">
        <v>2.9</v>
      </c>
      <c r="C60" s="148" t="s">
        <v>482</v>
      </c>
      <c r="D60" s="330">
        <v>15000000</v>
      </c>
      <c r="E60" s="422"/>
      <c r="F60" s="421" t="s">
        <v>548</v>
      </c>
    </row>
    <row r="61" spans="1:6" s="418" customFormat="1" ht="30" customHeight="1" x14ac:dyDescent="0.35">
      <c r="A61" s="416"/>
      <c r="B61" s="618" t="s">
        <v>569</v>
      </c>
      <c r="C61" s="148" t="s">
        <v>483</v>
      </c>
      <c r="D61" s="330">
        <v>2000000</v>
      </c>
      <c r="E61" s="422" t="s">
        <v>314</v>
      </c>
      <c r="F61" s="421" t="s">
        <v>548</v>
      </c>
    </row>
    <row r="62" spans="1:6" s="418" customFormat="1" ht="30" customHeight="1" x14ac:dyDescent="0.35">
      <c r="A62" s="416"/>
      <c r="B62" s="618" t="s">
        <v>570</v>
      </c>
      <c r="C62" s="148" t="s">
        <v>484</v>
      </c>
      <c r="D62" s="330">
        <v>24000000</v>
      </c>
      <c r="E62" s="422" t="s">
        <v>315</v>
      </c>
      <c r="F62" s="421" t="s">
        <v>548</v>
      </c>
    </row>
    <row r="63" spans="1:6" s="418" customFormat="1" ht="30" customHeight="1" x14ac:dyDescent="0.35">
      <c r="A63" s="454"/>
      <c r="B63" s="618" t="s">
        <v>571</v>
      </c>
      <c r="C63" s="462" t="s">
        <v>252</v>
      </c>
      <c r="D63" s="455">
        <v>10000000</v>
      </c>
      <c r="E63" s="444"/>
      <c r="F63" s="421"/>
    </row>
    <row r="64" spans="1:6" s="321" customFormat="1" ht="30" customHeight="1" x14ac:dyDescent="0.35">
      <c r="A64" s="457" t="s">
        <v>55</v>
      </c>
      <c r="B64" s="458" t="s">
        <v>574</v>
      </c>
      <c r="C64" s="457" t="s">
        <v>573</v>
      </c>
      <c r="D64" s="459">
        <f>SUM(D65:D66)</f>
        <v>437560000</v>
      </c>
      <c r="E64" s="145"/>
      <c r="F64" s="364"/>
    </row>
    <row r="65" spans="1:6" ht="30" customHeight="1" x14ac:dyDescent="0.35">
      <c r="A65" s="331"/>
      <c r="B65" s="333">
        <v>1</v>
      </c>
      <c r="C65" s="466" t="s">
        <v>317</v>
      </c>
      <c r="D65" s="467">
        <f>22000000*12</f>
        <v>264000000</v>
      </c>
      <c r="E65" s="470"/>
    </row>
    <row r="66" spans="1:6" ht="30" customHeight="1" x14ac:dyDescent="0.35">
      <c r="A66" s="331"/>
      <c r="B66" s="333">
        <v>2</v>
      </c>
      <c r="C66" s="466" t="s">
        <v>560</v>
      </c>
      <c r="D66" s="467">
        <f>SUM(D67:D72)</f>
        <v>173560000</v>
      </c>
      <c r="E66" s="470"/>
    </row>
    <row r="67" spans="1:6" s="418" customFormat="1" ht="30" customHeight="1" x14ac:dyDescent="0.35">
      <c r="A67" s="416"/>
      <c r="B67" s="155">
        <v>2.1</v>
      </c>
      <c r="C67" s="148" t="s">
        <v>320</v>
      </c>
      <c r="D67" s="330">
        <v>40000000</v>
      </c>
      <c r="E67" s="416" t="s">
        <v>321</v>
      </c>
      <c r="F67" s="421"/>
    </row>
    <row r="68" spans="1:6" s="418" customFormat="1" ht="30" customHeight="1" x14ac:dyDescent="0.35">
      <c r="A68" s="416"/>
      <c r="B68" s="155">
        <v>2.2000000000000002</v>
      </c>
      <c r="C68" s="148" t="s">
        <v>322</v>
      </c>
      <c r="D68" s="330">
        <f>6000*550*12*1.1</f>
        <v>43560000</v>
      </c>
      <c r="E68" s="416" t="s">
        <v>323</v>
      </c>
      <c r="F68" s="421"/>
    </row>
    <row r="69" spans="1:6" s="418" customFormat="1" ht="30" customHeight="1" x14ac:dyDescent="0.35">
      <c r="A69" s="416"/>
      <c r="B69" s="155">
        <v>2.2999999999999998</v>
      </c>
      <c r="C69" s="148" t="s">
        <v>324</v>
      </c>
      <c r="D69" s="330">
        <v>15000000</v>
      </c>
      <c r="E69" s="416" t="s">
        <v>897</v>
      </c>
      <c r="F69" s="421"/>
    </row>
    <row r="70" spans="1:6" s="418" customFormat="1" ht="30" customHeight="1" x14ac:dyDescent="0.35">
      <c r="A70" s="416"/>
      <c r="B70" s="155">
        <v>2.4</v>
      </c>
      <c r="C70" s="148" t="s">
        <v>485</v>
      </c>
      <c r="D70" s="623">
        <v>20000000</v>
      </c>
      <c r="E70" s="416"/>
      <c r="F70" s="421" t="s">
        <v>548</v>
      </c>
    </row>
    <row r="71" spans="1:6" s="418" customFormat="1" ht="30" customHeight="1" x14ac:dyDescent="0.35">
      <c r="A71" s="416"/>
      <c r="B71" s="155">
        <v>2.5</v>
      </c>
      <c r="C71" s="148" t="s">
        <v>486</v>
      </c>
      <c r="D71" s="330">
        <v>5000000</v>
      </c>
      <c r="E71" s="416"/>
      <c r="F71" s="421" t="s">
        <v>548</v>
      </c>
    </row>
    <row r="72" spans="1:6" s="418" customFormat="1" ht="30" customHeight="1" x14ac:dyDescent="0.35">
      <c r="A72" s="454"/>
      <c r="B72" s="365">
        <v>2.6</v>
      </c>
      <c r="C72" s="468" t="s">
        <v>248</v>
      </c>
      <c r="D72" s="455">
        <v>50000000</v>
      </c>
      <c r="E72" s="444"/>
      <c r="F72" s="421"/>
    </row>
    <row r="73" spans="1:6" s="321" customFormat="1" ht="30" customHeight="1" x14ac:dyDescent="0.35">
      <c r="A73" s="457" t="s">
        <v>49</v>
      </c>
      <c r="B73" s="458" t="s">
        <v>577</v>
      </c>
      <c r="C73" s="457" t="s">
        <v>575</v>
      </c>
      <c r="D73" s="459">
        <f>SUM(D74:D75)</f>
        <v>378900000</v>
      </c>
      <c r="E73" s="145"/>
      <c r="F73" s="364"/>
    </row>
    <row r="74" spans="1:6" s="418" customFormat="1" ht="30" customHeight="1" x14ac:dyDescent="0.35">
      <c r="A74" s="416"/>
      <c r="B74" s="489">
        <v>1</v>
      </c>
      <c r="C74" s="175" t="s">
        <v>495</v>
      </c>
      <c r="D74" s="175">
        <v>130400000</v>
      </c>
      <c r="E74" s="330" t="s">
        <v>329</v>
      </c>
      <c r="F74" s="417" t="s">
        <v>548</v>
      </c>
    </row>
    <row r="75" spans="1:6" s="418" customFormat="1" ht="30" customHeight="1" x14ac:dyDescent="0.35">
      <c r="A75" s="445"/>
      <c r="B75" s="333">
        <v>2</v>
      </c>
      <c r="C75" s="466" t="s">
        <v>560</v>
      </c>
      <c r="D75" s="467">
        <f>SUM(D76:D80)</f>
        <v>248500000</v>
      </c>
      <c r="E75" s="448"/>
      <c r="F75" s="417"/>
    </row>
    <row r="76" spans="1:6" s="418" customFormat="1" ht="30" customHeight="1" x14ac:dyDescent="0.35">
      <c r="A76" s="445"/>
      <c r="B76" s="469">
        <v>2.1</v>
      </c>
      <c r="C76" s="334" t="s">
        <v>333</v>
      </c>
      <c r="D76" s="334">
        <v>80000000</v>
      </c>
      <c r="E76" s="449" t="s">
        <v>334</v>
      </c>
      <c r="F76" s="417"/>
    </row>
    <row r="77" spans="1:6" s="418" customFormat="1" ht="30" customHeight="1" x14ac:dyDescent="0.35">
      <c r="A77" s="416"/>
      <c r="B77" s="432">
        <v>2.2000000000000002</v>
      </c>
      <c r="C77" s="153" t="s">
        <v>335</v>
      </c>
      <c r="D77" s="153">
        <v>10000000</v>
      </c>
      <c r="E77" s="330"/>
      <c r="F77" s="417"/>
    </row>
    <row r="78" spans="1:6" s="418" customFormat="1" ht="30" customHeight="1" x14ac:dyDescent="0.35">
      <c r="A78" s="416"/>
      <c r="B78" s="432">
        <v>2.2999999999999998</v>
      </c>
      <c r="C78" s="153" t="s">
        <v>496</v>
      </c>
      <c r="D78" s="153">
        <v>66000000</v>
      </c>
      <c r="E78" s="330" t="s">
        <v>331</v>
      </c>
      <c r="F78" s="417" t="s">
        <v>548</v>
      </c>
    </row>
    <row r="79" spans="1:6" s="418" customFormat="1" ht="30" customHeight="1" x14ac:dyDescent="0.35">
      <c r="A79" s="416"/>
      <c r="B79" s="432">
        <v>2.4</v>
      </c>
      <c r="C79" s="153" t="s">
        <v>497</v>
      </c>
      <c r="D79" s="153">
        <v>62500000</v>
      </c>
      <c r="E79" s="330" t="s">
        <v>331</v>
      </c>
      <c r="F79" s="417" t="s">
        <v>548</v>
      </c>
    </row>
    <row r="80" spans="1:6" s="418" customFormat="1" ht="30" customHeight="1" x14ac:dyDescent="0.35">
      <c r="A80" s="454"/>
      <c r="B80" s="365">
        <v>2.5</v>
      </c>
      <c r="C80" s="462" t="s">
        <v>253</v>
      </c>
      <c r="D80" s="455">
        <v>30000000</v>
      </c>
      <c r="E80" s="444"/>
      <c r="F80" s="421"/>
    </row>
    <row r="81" spans="1:6" s="321" customFormat="1" ht="30" customHeight="1" x14ac:dyDescent="0.35">
      <c r="A81" s="360" t="s">
        <v>37</v>
      </c>
      <c r="B81" s="461" t="s">
        <v>578</v>
      </c>
      <c r="C81" s="360" t="s">
        <v>576</v>
      </c>
      <c r="D81" s="459">
        <f>SUM(D82:D83)</f>
        <v>300000000</v>
      </c>
      <c r="E81" s="145"/>
      <c r="F81" s="364"/>
    </row>
    <row r="82" spans="1:6" s="321" customFormat="1" ht="30" customHeight="1" x14ac:dyDescent="0.35">
      <c r="A82" s="331"/>
      <c r="B82" s="465">
        <v>1</v>
      </c>
      <c r="C82" s="466" t="s">
        <v>285</v>
      </c>
      <c r="D82" s="467">
        <v>250000000</v>
      </c>
      <c r="E82" s="331" t="s">
        <v>338</v>
      </c>
      <c r="F82" s="364"/>
    </row>
    <row r="83" spans="1:6" s="321" customFormat="1" ht="30" customHeight="1" x14ac:dyDescent="0.35">
      <c r="A83" s="150"/>
      <c r="B83" s="412">
        <v>2</v>
      </c>
      <c r="C83" s="425" t="s">
        <v>560</v>
      </c>
      <c r="D83" s="175">
        <f>SUM(D84:D85)</f>
        <v>50000000</v>
      </c>
      <c r="E83" s="150"/>
      <c r="F83" s="364"/>
    </row>
    <row r="84" spans="1:6" s="321" customFormat="1" ht="30" customHeight="1" x14ac:dyDescent="0.35">
      <c r="A84" s="150"/>
      <c r="B84" s="155">
        <v>2.1</v>
      </c>
      <c r="C84" s="426" t="s">
        <v>500</v>
      </c>
      <c r="D84" s="153">
        <v>40000000</v>
      </c>
      <c r="E84" s="150"/>
      <c r="F84" s="417" t="s">
        <v>462</v>
      </c>
    </row>
    <row r="85" spans="1:6" s="321" customFormat="1" ht="30" customHeight="1" x14ac:dyDescent="0.35">
      <c r="A85" s="441"/>
      <c r="B85" s="464">
        <v>2.2000000000000002</v>
      </c>
      <c r="C85" s="462" t="s">
        <v>255</v>
      </c>
      <c r="D85" s="366">
        <v>10000000</v>
      </c>
      <c r="E85" s="366"/>
      <c r="F85" s="364"/>
    </row>
    <row r="86" spans="1:6" s="321" customFormat="1" ht="30" customHeight="1" x14ac:dyDescent="0.35">
      <c r="A86" s="457" t="s">
        <v>43</v>
      </c>
      <c r="B86" s="458" t="s">
        <v>580</v>
      </c>
      <c r="C86" s="457" t="s">
        <v>579</v>
      </c>
      <c r="D86" s="459">
        <f>SUM(D87:D88)</f>
        <v>140000000</v>
      </c>
      <c r="E86" s="145"/>
      <c r="F86" s="364"/>
    </row>
    <row r="87" spans="1:6" s="321" customFormat="1" ht="30" customHeight="1" x14ac:dyDescent="0.35">
      <c r="A87" s="331"/>
      <c r="B87" s="465">
        <v>1</v>
      </c>
      <c r="C87" s="466" t="s">
        <v>285</v>
      </c>
      <c r="D87" s="467">
        <v>65000000</v>
      </c>
      <c r="E87" s="334" t="s">
        <v>336</v>
      </c>
      <c r="F87" s="364"/>
    </row>
    <row r="88" spans="1:6" s="321" customFormat="1" ht="30" customHeight="1" x14ac:dyDescent="0.35">
      <c r="A88" s="150"/>
      <c r="B88" s="412">
        <v>2</v>
      </c>
      <c r="C88" s="425" t="s">
        <v>560</v>
      </c>
      <c r="D88" s="175">
        <f>SUM(D89:D90)</f>
        <v>75000000</v>
      </c>
      <c r="E88" s="153"/>
      <c r="F88" s="364"/>
    </row>
    <row r="89" spans="1:6" s="418" customFormat="1" ht="30" customHeight="1" x14ac:dyDescent="0.35">
      <c r="A89" s="416"/>
      <c r="B89" s="147" t="s">
        <v>498</v>
      </c>
      <c r="C89" s="371" t="s">
        <v>337</v>
      </c>
      <c r="D89" s="330">
        <v>70000000</v>
      </c>
      <c r="E89" s="330"/>
      <c r="F89" s="417" t="s">
        <v>462</v>
      </c>
    </row>
    <row r="90" spans="1:6" s="418" customFormat="1" ht="30" customHeight="1" x14ac:dyDescent="0.35">
      <c r="A90" s="416"/>
      <c r="B90" s="147" t="s">
        <v>499</v>
      </c>
      <c r="C90" s="148" t="s">
        <v>254</v>
      </c>
      <c r="D90" s="330">
        <v>5000000</v>
      </c>
      <c r="E90" s="422"/>
      <c r="F90" s="421"/>
    </row>
    <row r="91" spans="1:6" s="321" customFormat="1" ht="30" customHeight="1" x14ac:dyDescent="0.35">
      <c r="A91" s="457" t="s">
        <v>31</v>
      </c>
      <c r="B91" s="458" t="s">
        <v>591</v>
      </c>
      <c r="C91" s="457" t="s">
        <v>621</v>
      </c>
      <c r="D91" s="459">
        <f>D92+D96</f>
        <v>308900000</v>
      </c>
      <c r="E91" s="145"/>
      <c r="F91" s="364"/>
    </row>
    <row r="92" spans="1:6" s="418" customFormat="1" ht="30" customHeight="1" x14ac:dyDescent="0.35">
      <c r="A92" s="416"/>
      <c r="B92" s="147">
        <v>1</v>
      </c>
      <c r="C92" s="490" t="s">
        <v>285</v>
      </c>
      <c r="D92" s="492">
        <f>SUM(D93:D95)</f>
        <v>258900000</v>
      </c>
      <c r="E92" s="494" t="s">
        <v>620</v>
      </c>
      <c r="F92" s="421" t="s">
        <v>548</v>
      </c>
    </row>
    <row r="93" spans="1:6" s="418" customFormat="1" ht="30" customHeight="1" x14ac:dyDescent="0.35">
      <c r="A93" s="416"/>
      <c r="B93" s="147">
        <v>1.1000000000000001</v>
      </c>
      <c r="C93" s="148" t="s">
        <v>339</v>
      </c>
      <c r="D93" s="330">
        <v>130400000</v>
      </c>
      <c r="E93" s="422" t="s">
        <v>329</v>
      </c>
      <c r="F93" s="421" t="s">
        <v>548</v>
      </c>
    </row>
    <row r="94" spans="1:6" s="418" customFormat="1" ht="30" customHeight="1" x14ac:dyDescent="0.35">
      <c r="A94" s="416"/>
      <c r="B94" s="147">
        <v>1.2</v>
      </c>
      <c r="C94" s="148" t="s">
        <v>330</v>
      </c>
      <c r="D94" s="330">
        <v>66000000</v>
      </c>
      <c r="E94" s="422" t="s">
        <v>331</v>
      </c>
      <c r="F94" s="421" t="s">
        <v>548</v>
      </c>
    </row>
    <row r="95" spans="1:6" s="418" customFormat="1" ht="30" customHeight="1" x14ac:dyDescent="0.35">
      <c r="A95" s="416"/>
      <c r="B95" s="147">
        <v>1.3</v>
      </c>
      <c r="C95" s="148" t="s">
        <v>340</v>
      </c>
      <c r="D95" s="330">
        <v>62500000</v>
      </c>
      <c r="E95" s="422" t="s">
        <v>331</v>
      </c>
      <c r="F95" s="421" t="s">
        <v>548</v>
      </c>
    </row>
    <row r="96" spans="1:6" s="418" customFormat="1" ht="30" customHeight="1" x14ac:dyDescent="0.35">
      <c r="A96" s="454"/>
      <c r="B96" s="365">
        <v>2</v>
      </c>
      <c r="C96" s="491" t="s">
        <v>332</v>
      </c>
      <c r="D96" s="493">
        <v>50000000</v>
      </c>
      <c r="E96" s="444"/>
      <c r="F96" s="421"/>
    </row>
    <row r="97" spans="1:6" s="321" customFormat="1" ht="30" customHeight="1" x14ac:dyDescent="0.35">
      <c r="A97" s="457" t="s">
        <v>16</v>
      </c>
      <c r="B97" s="458" t="s">
        <v>591</v>
      </c>
      <c r="C97" s="457" t="s">
        <v>592</v>
      </c>
      <c r="D97" s="459">
        <f>SUM(D98:D99)</f>
        <v>22000000</v>
      </c>
      <c r="E97" s="145"/>
      <c r="F97" s="364"/>
    </row>
    <row r="98" spans="1:6" s="321" customFormat="1" ht="30" customHeight="1" x14ac:dyDescent="0.35">
      <c r="A98" s="331"/>
      <c r="B98" s="333">
        <v>1</v>
      </c>
      <c r="C98" s="456" t="s">
        <v>271</v>
      </c>
      <c r="D98" s="334">
        <v>10000000</v>
      </c>
      <c r="E98" s="334"/>
      <c r="F98" s="364"/>
    </row>
    <row r="99" spans="1:6" s="321" customFormat="1" ht="30" customHeight="1" x14ac:dyDescent="0.35">
      <c r="A99" s="154"/>
      <c r="B99" s="156">
        <v>2</v>
      </c>
      <c r="C99" s="429" t="s">
        <v>272</v>
      </c>
      <c r="D99" s="146">
        <v>12000000</v>
      </c>
      <c r="E99" s="430" t="s">
        <v>262</v>
      </c>
      <c r="F99" s="364"/>
    </row>
    <row r="100" spans="1:6" s="321" customFormat="1" ht="30" customHeight="1" x14ac:dyDescent="0.35">
      <c r="A100" s="360" t="s">
        <v>26</v>
      </c>
      <c r="B100" s="461" t="s">
        <v>582</v>
      </c>
      <c r="C100" s="360" t="s">
        <v>581</v>
      </c>
      <c r="D100" s="459">
        <f>SUM(D101:D104)</f>
        <v>189000000</v>
      </c>
      <c r="E100" s="145"/>
      <c r="F100" s="364"/>
    </row>
    <row r="101" spans="1:6" s="321" customFormat="1" ht="40.5" customHeight="1" x14ac:dyDescent="0.35">
      <c r="A101" s="445"/>
      <c r="B101" s="446">
        <v>1</v>
      </c>
      <c r="C101" s="447" t="s">
        <v>501</v>
      </c>
      <c r="D101" s="463">
        <f>3*4*5*100000</f>
        <v>6000000</v>
      </c>
      <c r="E101" s="448" t="s">
        <v>341</v>
      </c>
      <c r="F101" s="364" t="s">
        <v>548</v>
      </c>
    </row>
    <row r="102" spans="1:6" s="321" customFormat="1" ht="30" customHeight="1" x14ac:dyDescent="0.35">
      <c r="A102" s="416"/>
      <c r="B102" s="147" t="s">
        <v>251</v>
      </c>
      <c r="C102" s="368" t="s">
        <v>502</v>
      </c>
      <c r="D102" s="423">
        <f>2*5*28*100000</f>
        <v>28000000</v>
      </c>
      <c r="E102" s="330" t="s">
        <v>504</v>
      </c>
      <c r="F102" s="364" t="s">
        <v>548</v>
      </c>
    </row>
    <row r="103" spans="1:6" s="321" customFormat="1" ht="30" customHeight="1" x14ac:dyDescent="0.35">
      <c r="A103" s="416"/>
      <c r="B103" s="147">
        <v>3</v>
      </c>
      <c r="C103" s="433" t="s">
        <v>503</v>
      </c>
      <c r="D103" s="621">
        <f>300*500000</f>
        <v>150000000</v>
      </c>
      <c r="E103" s="330" t="s">
        <v>342</v>
      </c>
      <c r="F103" s="364" t="s">
        <v>548</v>
      </c>
    </row>
    <row r="104" spans="1:6" s="418" customFormat="1" ht="30" customHeight="1" x14ac:dyDescent="0.35">
      <c r="A104" s="454"/>
      <c r="B104" s="365" t="s">
        <v>439</v>
      </c>
      <c r="C104" s="443" t="s">
        <v>256</v>
      </c>
      <c r="D104" s="455">
        <v>5000000</v>
      </c>
      <c r="E104" s="444"/>
      <c r="F104" s="421"/>
    </row>
    <row r="105" spans="1:6" s="321" customFormat="1" ht="30" customHeight="1" x14ac:dyDescent="0.35">
      <c r="A105" s="360" t="s">
        <v>24</v>
      </c>
      <c r="B105" s="461" t="s">
        <v>584</v>
      </c>
      <c r="C105" s="360" t="s">
        <v>583</v>
      </c>
      <c r="D105" s="459">
        <f>SUM(D106:D107)</f>
        <v>12000000</v>
      </c>
      <c r="E105" s="145"/>
      <c r="F105" s="364"/>
    </row>
    <row r="106" spans="1:6" s="321" customFormat="1" ht="30" customHeight="1" x14ac:dyDescent="0.35">
      <c r="A106" s="331"/>
      <c r="B106" s="333">
        <v>1</v>
      </c>
      <c r="C106" s="456" t="s">
        <v>505</v>
      </c>
      <c r="D106" s="334">
        <v>10000000</v>
      </c>
      <c r="E106" s="334" t="s">
        <v>258</v>
      </c>
      <c r="F106" s="417" t="s">
        <v>462</v>
      </c>
    </row>
    <row r="107" spans="1:6" s="321" customFormat="1" ht="30" customHeight="1" x14ac:dyDescent="0.35">
      <c r="A107" s="441"/>
      <c r="B107" s="442">
        <v>2</v>
      </c>
      <c r="C107" s="443" t="s">
        <v>257</v>
      </c>
      <c r="D107" s="366">
        <v>2000000</v>
      </c>
      <c r="E107" s="366" t="s">
        <v>258</v>
      </c>
      <c r="F107" s="364"/>
    </row>
    <row r="108" spans="1:6" s="321" customFormat="1" ht="30" customHeight="1" x14ac:dyDescent="0.35">
      <c r="A108" s="360" t="s">
        <v>22</v>
      </c>
      <c r="B108" s="461" t="s">
        <v>586</v>
      </c>
      <c r="C108" s="360" t="s">
        <v>585</v>
      </c>
      <c r="D108" s="459">
        <f>SUM(D109:D111)</f>
        <v>40000000</v>
      </c>
      <c r="E108" s="145" t="s">
        <v>258</v>
      </c>
      <c r="F108" s="417"/>
    </row>
    <row r="109" spans="1:6" s="321" customFormat="1" ht="30" customHeight="1" x14ac:dyDescent="0.35">
      <c r="A109" s="331"/>
      <c r="B109" s="333">
        <v>1</v>
      </c>
      <c r="C109" s="456" t="s">
        <v>506</v>
      </c>
      <c r="D109" s="334">
        <v>20000000</v>
      </c>
      <c r="E109" s="334" t="s">
        <v>259</v>
      </c>
      <c r="F109" s="417"/>
    </row>
    <row r="110" spans="1:6" s="321" customFormat="1" ht="30" customHeight="1" x14ac:dyDescent="0.35">
      <c r="A110" s="150"/>
      <c r="B110" s="155">
        <v>2</v>
      </c>
      <c r="C110" s="371" t="s">
        <v>507</v>
      </c>
      <c r="D110" s="153">
        <v>15000000</v>
      </c>
      <c r="E110" s="153" t="s">
        <v>343</v>
      </c>
      <c r="F110" s="417"/>
    </row>
    <row r="111" spans="1:6" s="321" customFormat="1" ht="30" customHeight="1" x14ac:dyDescent="0.35">
      <c r="A111" s="441"/>
      <c r="B111" s="442">
        <v>3</v>
      </c>
      <c r="C111" s="443" t="s">
        <v>508</v>
      </c>
      <c r="D111" s="366">
        <v>5000000</v>
      </c>
      <c r="E111" s="366"/>
      <c r="F111" s="417"/>
    </row>
    <row r="112" spans="1:6" s="321" customFormat="1" ht="30" customHeight="1" x14ac:dyDescent="0.35">
      <c r="A112" s="360" t="s">
        <v>20</v>
      </c>
      <c r="B112" s="461" t="s">
        <v>588</v>
      </c>
      <c r="C112" s="360" t="s">
        <v>587</v>
      </c>
      <c r="D112" s="459">
        <f>SUM(D113:D124)</f>
        <v>1358800000</v>
      </c>
      <c r="E112" s="145" t="s">
        <v>259</v>
      </c>
      <c r="F112" s="364"/>
    </row>
    <row r="113" spans="1:6" s="418" customFormat="1" ht="30" customHeight="1" x14ac:dyDescent="0.35">
      <c r="A113" s="445"/>
      <c r="B113" s="446">
        <v>1</v>
      </c>
      <c r="C113" s="456" t="s">
        <v>260</v>
      </c>
      <c r="D113" s="448">
        <v>30000000</v>
      </c>
      <c r="E113" s="449"/>
      <c r="F113" s="421"/>
    </row>
    <row r="114" spans="1:6" s="418" customFormat="1" ht="30" customHeight="1" x14ac:dyDescent="0.35">
      <c r="A114" s="416"/>
      <c r="B114" s="147">
        <f>B113+1</f>
        <v>2</v>
      </c>
      <c r="C114" s="371" t="s">
        <v>261</v>
      </c>
      <c r="D114" s="330">
        <f>12*1000000</f>
        <v>12000000</v>
      </c>
      <c r="E114" s="422" t="s">
        <v>262</v>
      </c>
      <c r="F114" s="421"/>
    </row>
    <row r="115" spans="1:6" s="418" customFormat="1" ht="30" customHeight="1" x14ac:dyDescent="0.35">
      <c r="A115" s="416"/>
      <c r="B115" s="147">
        <f t="shared" ref="B115:B123" si="0">B114+1</f>
        <v>3</v>
      </c>
      <c r="C115" s="371" t="s">
        <v>345</v>
      </c>
      <c r="D115" s="330">
        <f>5*1000000</f>
        <v>5000000</v>
      </c>
      <c r="E115" s="422"/>
      <c r="F115" s="421" t="s">
        <v>548</v>
      </c>
    </row>
    <row r="116" spans="1:6" s="418" customFormat="1" ht="30" customHeight="1" x14ac:dyDescent="0.35">
      <c r="A116" s="416"/>
      <c r="B116" s="147">
        <f t="shared" si="0"/>
        <v>4</v>
      </c>
      <c r="C116" s="371" t="s">
        <v>509</v>
      </c>
      <c r="D116" s="330">
        <v>20000000</v>
      </c>
      <c r="E116" s="422"/>
      <c r="F116" s="421" t="s">
        <v>548</v>
      </c>
    </row>
    <row r="117" spans="1:6" s="418" customFormat="1" ht="30" customHeight="1" x14ac:dyDescent="0.35">
      <c r="A117" s="416"/>
      <c r="B117" s="147">
        <f t="shared" si="0"/>
        <v>5</v>
      </c>
      <c r="C117" s="371" t="s">
        <v>510</v>
      </c>
      <c r="D117" s="623">
        <f>500*150000</f>
        <v>75000000</v>
      </c>
      <c r="E117" s="422" t="s">
        <v>346</v>
      </c>
      <c r="F117" s="421" t="s">
        <v>548</v>
      </c>
    </row>
    <row r="118" spans="1:6" s="418" customFormat="1" ht="30" customHeight="1" x14ac:dyDescent="0.35">
      <c r="A118" s="416"/>
      <c r="B118" s="147">
        <f t="shared" si="0"/>
        <v>6</v>
      </c>
      <c r="C118" s="372" t="s">
        <v>347</v>
      </c>
      <c r="D118" s="616">
        <v>18000000</v>
      </c>
      <c r="E118" s="427"/>
      <c r="F118" s="421" t="s">
        <v>548</v>
      </c>
    </row>
    <row r="119" spans="1:6" s="418" customFormat="1" ht="30" customHeight="1" x14ac:dyDescent="0.35">
      <c r="A119" s="150"/>
      <c r="B119" s="147">
        <f t="shared" si="0"/>
        <v>7</v>
      </c>
      <c r="C119" s="372" t="s">
        <v>349</v>
      </c>
      <c r="D119" s="153">
        <v>25000000</v>
      </c>
      <c r="E119" s="153"/>
      <c r="F119" s="421" t="s">
        <v>548</v>
      </c>
    </row>
    <row r="120" spans="1:6" s="418" customFormat="1" ht="30" customHeight="1" x14ac:dyDescent="0.35">
      <c r="A120" s="150"/>
      <c r="B120" s="147">
        <f t="shared" si="0"/>
        <v>8</v>
      </c>
      <c r="C120" s="372" t="s">
        <v>350</v>
      </c>
      <c r="D120" s="153">
        <f>240*120000</f>
        <v>28800000</v>
      </c>
      <c r="E120" s="153" t="s">
        <v>351</v>
      </c>
      <c r="F120" s="421" t="s">
        <v>548</v>
      </c>
    </row>
    <row r="121" spans="1:6" s="418" customFormat="1" ht="30" customHeight="1" x14ac:dyDescent="0.35">
      <c r="A121" s="150"/>
      <c r="B121" s="147">
        <f t="shared" si="0"/>
        <v>9</v>
      </c>
      <c r="C121" s="372" t="s">
        <v>355</v>
      </c>
      <c r="D121" s="153">
        <v>260000000</v>
      </c>
      <c r="E121" s="153" t="s">
        <v>547</v>
      </c>
      <c r="F121" s="421" t="s">
        <v>548</v>
      </c>
    </row>
    <row r="122" spans="1:6" s="418" customFormat="1" ht="30" customHeight="1" x14ac:dyDescent="0.35">
      <c r="A122" s="150"/>
      <c r="B122" s="147">
        <f t="shared" si="0"/>
        <v>10</v>
      </c>
      <c r="C122" s="371" t="s">
        <v>357</v>
      </c>
      <c r="D122" s="153">
        <v>300000000</v>
      </c>
      <c r="E122" s="428"/>
      <c r="F122" s="421" t="s">
        <v>548</v>
      </c>
    </row>
    <row r="123" spans="1:6" s="418" customFormat="1" ht="30" customHeight="1" x14ac:dyDescent="0.35">
      <c r="A123" s="441"/>
      <c r="B123" s="365">
        <f t="shared" si="0"/>
        <v>11</v>
      </c>
      <c r="C123" s="443" t="s">
        <v>512</v>
      </c>
      <c r="D123" s="455">
        <f>10*700000*5</f>
        <v>35000000</v>
      </c>
      <c r="E123" s="460"/>
      <c r="F123" s="421" t="s">
        <v>548</v>
      </c>
    </row>
    <row r="124" spans="1:6" s="418" customFormat="1" ht="30" customHeight="1" x14ac:dyDescent="0.35">
      <c r="A124" s="1352"/>
      <c r="B124" s="1353">
        <v>12</v>
      </c>
      <c r="C124" s="1354" t="s">
        <v>354</v>
      </c>
      <c r="D124" s="1356">
        <v>550000000</v>
      </c>
      <c r="E124" s="1355"/>
      <c r="F124" s="421"/>
    </row>
    <row r="125" spans="1:6" s="321" customFormat="1" ht="30" customHeight="1" x14ac:dyDescent="0.35">
      <c r="A125" s="360" t="s">
        <v>18</v>
      </c>
      <c r="B125" s="461" t="s">
        <v>589</v>
      </c>
      <c r="C125" s="360" t="s">
        <v>590</v>
      </c>
      <c r="D125" s="459">
        <f>SUM(D126:D131)</f>
        <v>188400000</v>
      </c>
      <c r="E125" s="145"/>
      <c r="F125" s="364"/>
    </row>
    <row r="126" spans="1:6" s="321" customFormat="1" ht="30" customHeight="1" x14ac:dyDescent="0.35">
      <c r="A126" s="331"/>
      <c r="B126" s="333">
        <v>1</v>
      </c>
      <c r="C126" s="456" t="s">
        <v>263</v>
      </c>
      <c r="D126" s="334">
        <v>25400000</v>
      </c>
      <c r="E126" s="334"/>
      <c r="F126" s="364"/>
    </row>
    <row r="127" spans="1:6" s="321" customFormat="1" ht="30" customHeight="1" x14ac:dyDescent="0.35">
      <c r="A127" s="150"/>
      <c r="B127" s="155">
        <v>2</v>
      </c>
      <c r="C127" s="371" t="s">
        <v>264</v>
      </c>
      <c r="D127" s="153">
        <v>82000000</v>
      </c>
      <c r="E127" s="153" t="s">
        <v>265</v>
      </c>
      <c r="F127" s="364"/>
    </row>
    <row r="128" spans="1:6" s="321" customFormat="1" ht="30" customHeight="1" x14ac:dyDescent="0.35">
      <c r="A128" s="150"/>
      <c r="B128" s="155">
        <v>3</v>
      </c>
      <c r="C128" s="371" t="s">
        <v>266</v>
      </c>
      <c r="D128" s="153">
        <v>20000000</v>
      </c>
      <c r="E128" s="153"/>
      <c r="F128" s="364"/>
    </row>
    <row r="129" spans="1:6" s="321" customFormat="1" ht="30" customHeight="1" x14ac:dyDescent="0.35">
      <c r="A129" s="150"/>
      <c r="B129" s="155">
        <v>4</v>
      </c>
      <c r="C129" s="371" t="s">
        <v>267</v>
      </c>
      <c r="D129" s="153">
        <v>36000000</v>
      </c>
      <c r="E129" s="153"/>
      <c r="F129" s="364"/>
    </row>
    <row r="130" spans="1:6" s="321" customFormat="1" ht="30" customHeight="1" x14ac:dyDescent="0.35">
      <c r="A130" s="150"/>
      <c r="B130" s="155">
        <v>5</v>
      </c>
      <c r="C130" s="371" t="s">
        <v>268</v>
      </c>
      <c r="D130" s="153">
        <v>20000000</v>
      </c>
      <c r="E130" s="153" t="s">
        <v>245</v>
      </c>
      <c r="F130" s="364"/>
    </row>
    <row r="131" spans="1:6" s="418" customFormat="1" ht="30" customHeight="1" x14ac:dyDescent="0.35">
      <c r="A131" s="454"/>
      <c r="B131" s="442">
        <v>6</v>
      </c>
      <c r="C131" s="443" t="s">
        <v>269</v>
      </c>
      <c r="D131" s="455">
        <v>5000000</v>
      </c>
      <c r="E131" s="444" t="s">
        <v>270</v>
      </c>
      <c r="F131" s="421"/>
    </row>
    <row r="132" spans="1:6" s="321" customFormat="1" ht="30" customHeight="1" x14ac:dyDescent="0.35">
      <c r="A132" s="451" t="s">
        <v>4</v>
      </c>
      <c r="B132" s="452" t="s">
        <v>595</v>
      </c>
      <c r="C132" s="453" t="s">
        <v>594</v>
      </c>
      <c r="D132" s="459">
        <f>SUM(D133)</f>
        <v>60640800.000000007</v>
      </c>
      <c r="E132" s="450"/>
      <c r="F132" s="364"/>
    </row>
    <row r="133" spans="1:6" s="418" customFormat="1" ht="30" customHeight="1" x14ac:dyDescent="0.35">
      <c r="A133" s="445"/>
      <c r="B133" s="446">
        <v>1</v>
      </c>
      <c r="C133" s="447" t="s">
        <v>457</v>
      </c>
      <c r="D133" s="448">
        <f>4000*13782*1.1</f>
        <v>60640800.000000007</v>
      </c>
      <c r="E133" s="449" t="s">
        <v>894</v>
      </c>
      <c r="F133" s="421" t="s">
        <v>541</v>
      </c>
    </row>
    <row r="134" spans="1:6" s="321" customFormat="1" ht="30.75" customHeight="1" x14ac:dyDescent="0.35">
      <c r="B134" s="158"/>
      <c r="C134" s="159" t="s">
        <v>273</v>
      </c>
      <c r="D134" s="431"/>
      <c r="E134" s="160"/>
      <c r="F134" s="364"/>
    </row>
    <row r="135" spans="1:6" s="321" customFormat="1" ht="14" x14ac:dyDescent="0.35">
      <c r="B135" s="158"/>
      <c r="C135" s="159"/>
      <c r="D135" s="162"/>
      <c r="E135" s="161"/>
      <c r="F135" s="364"/>
    </row>
    <row r="136" spans="1:6" s="321" customFormat="1" ht="14" x14ac:dyDescent="0.35">
      <c r="B136" s="158"/>
      <c r="C136" s="159"/>
      <c r="D136" s="431"/>
      <c r="E136" s="161"/>
      <c r="F136" s="364"/>
    </row>
    <row r="137" spans="1:6" s="321" customFormat="1" ht="14" x14ac:dyDescent="0.35">
      <c r="B137" s="158"/>
      <c r="C137" s="159"/>
      <c r="D137" s="431"/>
      <c r="E137" s="161"/>
      <c r="F137" s="364"/>
    </row>
    <row r="138" spans="1:6" s="321" customFormat="1" ht="14" x14ac:dyDescent="0.35">
      <c r="B138" s="158"/>
      <c r="C138" s="159"/>
      <c r="D138" s="431"/>
      <c r="E138" s="161"/>
      <c r="F138" s="364"/>
    </row>
    <row r="139" spans="1:6" s="321" customFormat="1" ht="14" x14ac:dyDescent="0.35">
      <c r="B139" s="158"/>
      <c r="C139" s="159" t="s">
        <v>274</v>
      </c>
      <c r="D139" s="431"/>
      <c r="E139" s="161"/>
      <c r="F139" s="364"/>
    </row>
    <row r="140" spans="1:6" s="321" customFormat="1" ht="14" x14ac:dyDescent="0.35">
      <c r="B140" s="158"/>
      <c r="C140" s="159"/>
      <c r="D140" s="431"/>
      <c r="E140" s="161"/>
      <c r="F140" s="364"/>
    </row>
    <row r="141" spans="1:6" s="321" customFormat="1" ht="14" x14ac:dyDescent="0.35">
      <c r="B141" s="158"/>
      <c r="C141" s="159"/>
      <c r="D141" s="431"/>
      <c r="E141" s="160"/>
      <c r="F141" s="364"/>
    </row>
    <row r="142" spans="1:6" s="321" customFormat="1" ht="14" x14ac:dyDescent="0.35">
      <c r="B142" s="158"/>
      <c r="C142" s="159"/>
      <c r="D142" s="431"/>
      <c r="E142" s="161"/>
      <c r="F142" s="364"/>
    </row>
    <row r="143" spans="1:6" s="321" customFormat="1" ht="14" x14ac:dyDescent="0.35">
      <c r="B143" s="158"/>
      <c r="C143" s="159"/>
      <c r="D143" s="431"/>
      <c r="E143" s="161"/>
      <c r="F143" s="364"/>
    </row>
    <row r="144" spans="1:6" s="321" customFormat="1" ht="14" x14ac:dyDescent="0.35">
      <c r="B144" s="158"/>
      <c r="C144" s="159"/>
      <c r="D144" s="431"/>
      <c r="E144" s="161"/>
      <c r="F144" s="364"/>
    </row>
    <row r="145" spans="2:6" s="321" customFormat="1" ht="14" x14ac:dyDescent="0.35">
      <c r="B145" s="158"/>
      <c r="C145" s="159"/>
      <c r="D145" s="431"/>
      <c r="E145" s="161"/>
      <c r="F145" s="364"/>
    </row>
    <row r="146" spans="2:6" s="321" customFormat="1" ht="14" x14ac:dyDescent="0.35">
      <c r="B146" s="158"/>
      <c r="C146" s="159"/>
      <c r="D146" s="431"/>
      <c r="E146" s="160"/>
      <c r="F146" s="364"/>
    </row>
    <row r="147" spans="2:6" s="321" customFormat="1" ht="14" x14ac:dyDescent="0.35">
      <c r="B147" s="158"/>
      <c r="C147" s="159"/>
      <c r="D147" s="431"/>
      <c r="E147" s="161"/>
      <c r="F147" s="364"/>
    </row>
    <row r="148" spans="2:6" s="321" customFormat="1" ht="14" x14ac:dyDescent="0.35">
      <c r="B148" s="158"/>
      <c r="C148" s="159"/>
      <c r="D148" s="431"/>
      <c r="E148" s="161"/>
      <c r="F148" s="364"/>
    </row>
    <row r="149" spans="2:6" s="321" customFormat="1" ht="14" x14ac:dyDescent="0.35">
      <c r="B149" s="158"/>
      <c r="C149" s="159"/>
      <c r="D149" s="431"/>
      <c r="E149" s="161"/>
      <c r="F149" s="364"/>
    </row>
    <row r="150" spans="2:6" s="321" customFormat="1" ht="14" x14ac:dyDescent="0.35">
      <c r="B150" s="158"/>
      <c r="C150" s="159"/>
      <c r="D150" s="431"/>
      <c r="E150" s="161"/>
      <c r="F150" s="364"/>
    </row>
    <row r="151" spans="2:6" s="321" customFormat="1" ht="14" x14ac:dyDescent="0.35">
      <c r="B151" s="158"/>
      <c r="C151" s="159"/>
      <c r="D151" s="431"/>
      <c r="E151" s="160"/>
      <c r="F151" s="364"/>
    </row>
    <row r="152" spans="2:6" s="321" customFormat="1" ht="14" x14ac:dyDescent="0.35">
      <c r="B152" s="158"/>
      <c r="C152" s="159"/>
      <c r="D152" s="431"/>
      <c r="E152" s="161"/>
      <c r="F152" s="364"/>
    </row>
    <row r="153" spans="2:6" s="321" customFormat="1" ht="14" x14ac:dyDescent="0.35">
      <c r="B153" s="158"/>
      <c r="C153" s="159"/>
      <c r="D153" s="431"/>
      <c r="E153" s="161"/>
      <c r="F153" s="364"/>
    </row>
    <row r="154" spans="2:6" s="321" customFormat="1" ht="14" x14ac:dyDescent="0.35">
      <c r="B154" s="158"/>
      <c r="C154" s="159"/>
      <c r="D154" s="431"/>
      <c r="E154" s="161"/>
      <c r="F154" s="364"/>
    </row>
    <row r="155" spans="2:6" s="321" customFormat="1" ht="14" x14ac:dyDescent="0.35">
      <c r="B155" s="158"/>
      <c r="C155" s="159"/>
      <c r="D155" s="431"/>
      <c r="E155" s="161"/>
      <c r="F155" s="364"/>
    </row>
    <row r="156" spans="2:6" s="321" customFormat="1" ht="14" x14ac:dyDescent="0.35">
      <c r="B156" s="158"/>
      <c r="C156" s="159"/>
      <c r="D156" s="431"/>
      <c r="E156" s="160"/>
      <c r="F156" s="364"/>
    </row>
    <row r="157" spans="2:6" s="321" customFormat="1" ht="14" x14ac:dyDescent="0.35">
      <c r="B157" s="158"/>
      <c r="C157" s="159"/>
      <c r="D157" s="431"/>
      <c r="E157" s="161"/>
      <c r="F157" s="364"/>
    </row>
    <row r="158" spans="2:6" s="321" customFormat="1" ht="14" x14ac:dyDescent="0.35">
      <c r="B158" s="158"/>
      <c r="C158" s="159"/>
      <c r="D158" s="431"/>
      <c r="E158" s="161"/>
      <c r="F158" s="364"/>
    </row>
    <row r="159" spans="2:6" s="321" customFormat="1" ht="14" x14ac:dyDescent="0.35">
      <c r="B159" s="158"/>
      <c r="C159" s="159"/>
      <c r="D159" s="431"/>
      <c r="E159" s="161"/>
      <c r="F159" s="364"/>
    </row>
    <row r="160" spans="2:6" s="321" customFormat="1" ht="14" x14ac:dyDescent="0.35">
      <c r="B160" s="158"/>
      <c r="C160" s="159"/>
      <c r="D160" s="431"/>
      <c r="E160" s="161"/>
      <c r="F160" s="364"/>
    </row>
    <row r="161" spans="2:6" s="321" customFormat="1" ht="14" x14ac:dyDescent="0.35">
      <c r="B161" s="158"/>
      <c r="C161" s="159"/>
      <c r="D161" s="431"/>
      <c r="E161" s="160"/>
      <c r="F161" s="364"/>
    </row>
    <row r="162" spans="2:6" s="321" customFormat="1" ht="14" x14ac:dyDescent="0.35">
      <c r="B162" s="158"/>
      <c r="C162" s="159"/>
      <c r="D162" s="431"/>
      <c r="E162" s="161"/>
      <c r="F162" s="364"/>
    </row>
    <row r="163" spans="2:6" s="321" customFormat="1" ht="14" x14ac:dyDescent="0.35">
      <c r="B163" s="158"/>
      <c r="D163" s="162"/>
      <c r="E163" s="162"/>
      <c r="F163" s="364"/>
    </row>
    <row r="164" spans="2:6" s="321" customFormat="1" ht="14" x14ac:dyDescent="0.35">
      <c r="B164" s="158"/>
      <c r="D164" s="431"/>
      <c r="E164" s="161"/>
      <c r="F164" s="364"/>
    </row>
    <row r="165" spans="2:6" s="321" customFormat="1" ht="19.5" customHeight="1" x14ac:dyDescent="0.35">
      <c r="B165" s="158"/>
      <c r="D165" s="162"/>
      <c r="E165" s="162"/>
      <c r="F165" s="364"/>
    </row>
    <row r="166" spans="2:6" s="321" customFormat="1" ht="21.75" customHeight="1" x14ac:dyDescent="0.35">
      <c r="B166" s="158"/>
      <c r="D166" s="162"/>
      <c r="E166" s="163"/>
      <c r="F166" s="364"/>
    </row>
    <row r="167" spans="2:6" s="321" customFormat="1" ht="21" customHeight="1" x14ac:dyDescent="0.35">
      <c r="B167" s="158"/>
      <c r="D167" s="162"/>
      <c r="E167" s="162"/>
      <c r="F167" s="364"/>
    </row>
    <row r="168" spans="2:6" ht="21.75" customHeight="1" x14ac:dyDescent="0.35">
      <c r="E168" s="164"/>
    </row>
    <row r="169" spans="2:6" ht="15" customHeight="1" x14ac:dyDescent="0.35">
      <c r="E169" s="164"/>
    </row>
    <row r="170" spans="2:6" ht="15" customHeight="1" x14ac:dyDescent="0.35">
      <c r="D170" s="164"/>
      <c r="E170" s="164"/>
    </row>
    <row r="171" spans="2:6" ht="15" customHeight="1" x14ac:dyDescent="0.35">
      <c r="E171" s="164"/>
    </row>
    <row r="172" spans="2:6" ht="15" customHeight="1" x14ac:dyDescent="0.35">
      <c r="E172" s="164"/>
    </row>
    <row r="173" spans="2:6" ht="15" customHeight="1" x14ac:dyDescent="0.35"/>
    <row r="174" spans="2:6" ht="15" customHeight="1" x14ac:dyDescent="0.35"/>
    <row r="175" spans="2:6" ht="15" customHeight="1" x14ac:dyDescent="0.35"/>
  </sheetData>
  <printOptions horizontalCentered="1"/>
  <pageMargins left="0.2" right="0.2" top="0.35972222199999998" bottom="0.49" header="0.196527777777778" footer="0.209722222222222"/>
  <pageSetup paperSize="9" scale="68" firstPageNumber="4294963191" fitToHeight="2" orientation="landscape" r:id="rId1"/>
  <headerFooter alignWithMargins="0">
    <oddFooter>&amp;L&amp;F/&amp;A&amp;R&amp;P/&amp;N</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BF84"/>
  <sheetViews>
    <sheetView topLeftCell="H1" zoomScaleNormal="100" zoomScaleSheetLayoutView="55" workbookViewId="0">
      <selection activeCell="O54" sqref="O54"/>
    </sheetView>
  </sheetViews>
  <sheetFormatPr defaultColWidth="9.1796875" defaultRowHeight="12.5" outlineLevelRow="1" x14ac:dyDescent="0.35"/>
  <cols>
    <col min="1" max="2" width="4.7265625" style="279" hidden="1" customWidth="1"/>
    <col min="3" max="3" width="9.7265625" style="279" hidden="1" customWidth="1"/>
    <col min="4" max="4" width="32.1796875" style="279" hidden="1" customWidth="1"/>
    <col min="5" max="5" width="12.26953125" style="785" hidden="1" customWidth="1"/>
    <col min="6" max="6" width="12.26953125" style="786" hidden="1" customWidth="1"/>
    <col min="7" max="7" width="12.26953125" style="787" hidden="1" customWidth="1"/>
    <col min="8" max="9" width="4.7265625" style="279" customWidth="1"/>
    <col min="10" max="10" width="9.7265625" style="279" hidden="1" customWidth="1"/>
    <col min="11" max="11" width="35.7265625" style="279" hidden="1" customWidth="1"/>
    <col min="12" max="12" width="12.26953125" style="785" hidden="1" customWidth="1"/>
    <col min="13" max="13" width="12.26953125" style="786" hidden="1" customWidth="1"/>
    <col min="14" max="14" width="12.26953125" style="787" hidden="1" customWidth="1"/>
    <col min="15" max="15" width="30.1796875" style="280" customWidth="1"/>
    <col min="16" max="16" width="14.453125" style="279" customWidth="1"/>
    <col min="17" max="17" width="11.81640625" style="279" customWidth="1"/>
    <col min="18" max="18" width="14.81640625" style="742" customWidth="1"/>
    <col min="19" max="19" width="12.453125" style="279" customWidth="1"/>
    <col min="20" max="20" width="14.54296875" style="264" customWidth="1"/>
    <col min="21" max="21" width="12" style="264" customWidth="1"/>
    <col min="22" max="22" width="17.81640625" style="264" customWidth="1"/>
    <col min="23" max="23" width="15.7265625" style="264" customWidth="1"/>
    <col min="24" max="24" width="16.1796875" style="264" customWidth="1"/>
    <col min="25" max="26" width="12.54296875" style="264" customWidth="1"/>
    <col min="27" max="27" width="17.26953125" style="245" customWidth="1"/>
    <col min="28" max="28" width="10.81640625" style="264" customWidth="1"/>
    <col min="29" max="29" width="11.26953125" style="264" customWidth="1"/>
    <col min="30" max="30" width="21.26953125" style="892" customWidth="1"/>
    <col min="31" max="31" width="14.26953125" style="264" hidden="1" customWidth="1"/>
    <col min="32" max="32" width="14" style="264" hidden="1" customWidth="1"/>
    <col min="33" max="33" width="18.1796875" style="264" bestFit="1" customWidth="1"/>
    <col min="34" max="34" width="15" style="892" bestFit="1" customWidth="1"/>
    <col min="35" max="16384" width="9.1796875" style="264"/>
  </cols>
  <sheetData>
    <row r="1" spans="1:34" s="235" customFormat="1" ht="19.5" customHeight="1" x14ac:dyDescent="0.35">
      <c r="A1" s="233" t="s">
        <v>360</v>
      </c>
      <c r="B1" s="233"/>
      <c r="C1" s="233"/>
      <c r="D1" s="233"/>
      <c r="E1" s="770"/>
      <c r="F1" s="771"/>
      <c r="G1" s="772"/>
      <c r="H1" s="233"/>
      <c r="I1" s="233"/>
      <c r="J1" s="233"/>
      <c r="K1" s="233"/>
      <c r="L1" s="770"/>
      <c r="M1" s="771"/>
      <c r="N1" s="772"/>
      <c r="O1" s="233"/>
      <c r="P1" s="232"/>
      <c r="Q1" s="232"/>
      <c r="R1" s="722"/>
      <c r="S1" s="232"/>
      <c r="T1" s="234"/>
      <c r="U1" s="234"/>
      <c r="V1" s="234"/>
      <c r="W1" s="234"/>
      <c r="Y1" s="234"/>
      <c r="Z1" s="234"/>
      <c r="AA1" s="723"/>
      <c r="AB1" s="234"/>
      <c r="AC1" s="234"/>
      <c r="AD1" s="1122"/>
      <c r="AE1" s="234"/>
      <c r="AH1" s="261"/>
    </row>
    <row r="2" spans="1:34" s="235" customFormat="1" ht="23" x14ac:dyDescent="0.35">
      <c r="A2" s="233" t="s">
        <v>361</v>
      </c>
      <c r="B2" s="233"/>
      <c r="C2" s="233"/>
      <c r="D2" s="233"/>
      <c r="E2" s="735"/>
      <c r="F2" s="258"/>
      <c r="G2" s="773"/>
      <c r="H2" s="1125" t="s">
        <v>1045</v>
      </c>
      <c r="I2" s="1126"/>
      <c r="J2" s="1126"/>
      <c r="K2" s="1126"/>
      <c r="L2" s="1127"/>
      <c r="M2" s="1128"/>
      <c r="N2" s="1127"/>
      <c r="O2" s="1126"/>
      <c r="P2" s="1126"/>
      <c r="Q2" s="1129"/>
      <c r="R2" s="1130"/>
      <c r="S2" s="1131"/>
      <c r="T2" s="1131"/>
      <c r="U2" s="1126"/>
      <c r="V2" s="1132"/>
      <c r="W2" s="1132"/>
      <c r="X2" s="1132"/>
      <c r="Y2" s="1132"/>
      <c r="Z2" s="1132"/>
      <c r="AA2" s="1133"/>
      <c r="AB2" s="1131"/>
      <c r="AC2" s="1131"/>
      <c r="AD2" s="1134"/>
      <c r="AE2" s="234"/>
      <c r="AH2" s="261"/>
    </row>
    <row r="3" spans="1:34" s="235" customFormat="1" ht="13" x14ac:dyDescent="0.35">
      <c r="A3" s="721" t="s">
        <v>972</v>
      </c>
      <c r="B3" s="721"/>
      <c r="C3" s="234"/>
      <c r="D3" s="233"/>
      <c r="E3" s="735"/>
      <c r="F3" s="258"/>
      <c r="G3" s="773"/>
      <c r="H3" s="721"/>
      <c r="I3" s="721"/>
      <c r="J3" s="234"/>
      <c r="K3" s="233"/>
      <c r="L3" s="735"/>
      <c r="M3" s="258"/>
      <c r="N3" s="773"/>
      <c r="O3" s="233"/>
      <c r="P3" s="232"/>
      <c r="Q3" s="236"/>
      <c r="R3" s="725"/>
      <c r="S3" s="238"/>
      <c r="T3" s="239"/>
      <c r="U3" s="234"/>
      <c r="V3" s="234"/>
      <c r="W3" s="234"/>
      <c r="X3" s="239"/>
      <c r="Y3" s="234"/>
      <c r="Z3" s="239"/>
      <c r="AA3" s="243"/>
      <c r="AB3" s="239"/>
      <c r="AC3" s="239"/>
      <c r="AD3" s="1122"/>
      <c r="AE3" s="234"/>
      <c r="AH3" s="261"/>
    </row>
    <row r="4" spans="1:34" s="235" customFormat="1" ht="13" x14ac:dyDescent="0.35">
      <c r="A4" s="238"/>
      <c r="B4" s="238"/>
      <c r="C4" s="239"/>
      <c r="D4" s="239"/>
      <c r="E4" s="773"/>
      <c r="F4" s="261"/>
      <c r="G4" s="773"/>
      <c r="H4" s="238"/>
      <c r="I4" s="238"/>
      <c r="J4" s="239"/>
      <c r="K4" s="239"/>
      <c r="L4" s="773"/>
      <c r="M4" s="261"/>
      <c r="N4" s="773"/>
      <c r="O4" s="239"/>
      <c r="P4" s="239"/>
      <c r="Q4" s="239"/>
      <c r="R4" s="243"/>
      <c r="S4" s="239"/>
      <c r="T4" s="239"/>
      <c r="U4" s="239"/>
      <c r="V4" s="724">
        <v>1300000</v>
      </c>
      <c r="W4" s="724">
        <v>3750000</v>
      </c>
      <c r="X4" s="239">
        <v>1000000</v>
      </c>
      <c r="Y4" s="234"/>
      <c r="Z4" s="239"/>
      <c r="AA4" s="243"/>
      <c r="AB4" s="239"/>
      <c r="AC4" s="239"/>
      <c r="AD4" s="261"/>
      <c r="AE4" s="239"/>
      <c r="AF4" s="239"/>
      <c r="AH4" s="261"/>
    </row>
    <row r="5" spans="1:34" s="235" customFormat="1" ht="12.75" customHeight="1" x14ac:dyDescent="0.35">
      <c r="A5" s="1387" t="s">
        <v>362</v>
      </c>
      <c r="B5" s="1388"/>
      <c r="C5" s="1371" t="s">
        <v>363</v>
      </c>
      <c r="D5" s="1371" t="s">
        <v>364</v>
      </c>
      <c r="E5" s="1391" t="s">
        <v>366</v>
      </c>
      <c r="F5" s="1391" t="s">
        <v>367</v>
      </c>
      <c r="G5" s="1391" t="s">
        <v>375</v>
      </c>
      <c r="H5" s="1380" t="s">
        <v>362</v>
      </c>
      <c r="I5" s="1381"/>
      <c r="J5" s="1370" t="s">
        <v>363</v>
      </c>
      <c r="K5" s="1370" t="s">
        <v>364</v>
      </c>
      <c r="L5" s="1378" t="s">
        <v>366</v>
      </c>
      <c r="M5" s="1378" t="s">
        <v>367</v>
      </c>
      <c r="N5" s="1378" t="s">
        <v>375</v>
      </c>
      <c r="O5" s="1372" t="s">
        <v>365</v>
      </c>
      <c r="P5" s="1374" t="s">
        <v>1065</v>
      </c>
      <c r="Q5" s="1375"/>
      <c r="R5" s="1376" t="s">
        <v>366</v>
      </c>
      <c r="S5" s="1376" t="s">
        <v>367</v>
      </c>
      <c r="T5" s="1376" t="s">
        <v>368</v>
      </c>
      <c r="U5" s="1370" t="s">
        <v>369</v>
      </c>
      <c r="V5" s="1370" t="s">
        <v>370</v>
      </c>
      <c r="W5" s="1370" t="s">
        <v>371</v>
      </c>
      <c r="X5" s="1370" t="s">
        <v>372</v>
      </c>
      <c r="Y5" s="1393" t="s">
        <v>373</v>
      </c>
      <c r="Z5" s="1370" t="s">
        <v>374</v>
      </c>
      <c r="AA5" s="1376" t="s">
        <v>375</v>
      </c>
      <c r="AB5" s="1376" t="s">
        <v>376</v>
      </c>
      <c r="AC5" s="1376" t="s">
        <v>377</v>
      </c>
      <c r="AD5" s="1394" t="s">
        <v>378</v>
      </c>
      <c r="AE5" s="1384" t="s">
        <v>379</v>
      </c>
      <c r="AF5" s="1386" t="s">
        <v>380</v>
      </c>
      <c r="AH5" s="261"/>
    </row>
    <row r="6" spans="1:34" s="235" customFormat="1" ht="36" customHeight="1" x14ac:dyDescent="0.35">
      <c r="A6" s="1389"/>
      <c r="B6" s="1390"/>
      <c r="C6" s="1371"/>
      <c r="D6" s="1371"/>
      <c r="E6" s="1392"/>
      <c r="F6" s="1392"/>
      <c r="G6" s="1392"/>
      <c r="H6" s="1382"/>
      <c r="I6" s="1383"/>
      <c r="J6" s="1370"/>
      <c r="K6" s="1370"/>
      <c r="L6" s="1379"/>
      <c r="M6" s="1379"/>
      <c r="N6" s="1379"/>
      <c r="O6" s="1373"/>
      <c r="P6" s="1278" t="s">
        <v>381</v>
      </c>
      <c r="Q6" s="1278" t="s">
        <v>382</v>
      </c>
      <c r="R6" s="1377"/>
      <c r="S6" s="1377"/>
      <c r="T6" s="1377"/>
      <c r="U6" s="1370"/>
      <c r="V6" s="1370"/>
      <c r="W6" s="1370"/>
      <c r="X6" s="1370"/>
      <c r="Y6" s="1393"/>
      <c r="Z6" s="1370"/>
      <c r="AA6" s="1377"/>
      <c r="AB6" s="1377"/>
      <c r="AC6" s="1377"/>
      <c r="AD6" s="1394"/>
      <c r="AE6" s="1385"/>
      <c r="AF6" s="1386"/>
      <c r="AH6" s="261"/>
    </row>
    <row r="7" spans="1:34" s="235" customFormat="1" ht="15.75" customHeight="1" outlineLevel="1" x14ac:dyDescent="0.35">
      <c r="A7" s="744"/>
      <c r="B7" s="744"/>
      <c r="C7" s="745" t="s">
        <v>163</v>
      </c>
      <c r="D7" s="746" t="s">
        <v>954</v>
      </c>
      <c r="E7" s="774"/>
      <c r="F7" s="774"/>
      <c r="G7" s="774"/>
      <c r="H7" s="744"/>
      <c r="I7" s="744"/>
      <c r="J7" s="745" t="s">
        <v>163</v>
      </c>
      <c r="K7" s="746" t="s">
        <v>954</v>
      </c>
      <c r="L7" s="774"/>
      <c r="M7" s="774"/>
      <c r="N7" s="774"/>
      <c r="O7" s="753" t="s">
        <v>954</v>
      </c>
      <c r="P7" s="745"/>
      <c r="Q7" s="745"/>
      <c r="R7" s="754"/>
      <c r="S7" s="754"/>
      <c r="T7" s="754"/>
      <c r="U7" s="745"/>
      <c r="V7" s="745"/>
      <c r="W7" s="745"/>
      <c r="X7" s="745"/>
      <c r="Y7" s="755"/>
      <c r="Z7" s="745"/>
      <c r="AA7" s="754"/>
      <c r="AB7" s="754"/>
      <c r="AC7" s="754"/>
      <c r="AD7" s="1123"/>
      <c r="AE7" s="753"/>
      <c r="AF7" s="755"/>
      <c r="AH7" s="261"/>
    </row>
    <row r="8" spans="1:34" s="244" customFormat="1" ht="15.75" customHeight="1" outlineLevel="1" x14ac:dyDescent="0.25">
      <c r="A8" s="726">
        <v>1</v>
      </c>
      <c r="B8" s="726">
        <v>1</v>
      </c>
      <c r="C8" s="728" t="s">
        <v>946</v>
      </c>
      <c r="D8" s="241" t="s">
        <v>947</v>
      </c>
      <c r="E8" s="248">
        <v>75000000</v>
      </c>
      <c r="F8" s="248">
        <v>0</v>
      </c>
      <c r="G8" s="775">
        <v>0</v>
      </c>
      <c r="H8" s="790">
        <v>1</v>
      </c>
      <c r="I8" s="790">
        <v>1</v>
      </c>
      <c r="J8" s="791" t="s">
        <v>946</v>
      </c>
      <c r="K8" s="792" t="s">
        <v>947</v>
      </c>
      <c r="L8" s="793">
        <v>75000000</v>
      </c>
      <c r="M8" s="793">
        <v>0</v>
      </c>
      <c r="N8" s="794">
        <v>0</v>
      </c>
      <c r="O8" s="241" t="s">
        <v>425</v>
      </c>
      <c r="P8" s="247">
        <v>43080</v>
      </c>
      <c r="Q8" s="727"/>
      <c r="R8" s="241">
        <f>L8</f>
        <v>75000000</v>
      </c>
      <c r="S8" s="241">
        <v>0</v>
      </c>
      <c r="T8" s="249">
        <f>SUM(R8:S8)</f>
        <v>75000000</v>
      </c>
      <c r="U8" s="250">
        <f>R8/12</f>
        <v>6250000</v>
      </c>
      <c r="V8" s="250">
        <f>IF(T8&gt;26000000,26000000*20.5%,T8*20.5%)</f>
        <v>5330000</v>
      </c>
      <c r="W8" s="250">
        <f>IF(T8&gt;75000000,75000000*1%,T8*1%)</f>
        <v>750000</v>
      </c>
      <c r="X8" s="731">
        <f>$X$4/12</f>
        <v>83333.333333333328</v>
      </c>
      <c r="Y8" s="730">
        <f>IF(T8&gt;26000000,26000000*2%,T8*2%)</f>
        <v>520000</v>
      </c>
      <c r="Z8" s="251">
        <f>(T8*30*0.09%+T8*3*0.36%+0.6%*42000000)/12</f>
        <v>257250</v>
      </c>
      <c r="AA8" s="252">
        <v>0</v>
      </c>
      <c r="AB8" s="249"/>
      <c r="AC8" s="249"/>
      <c r="AD8" s="251">
        <f>SUM(T8:AC8)+AE8</f>
        <v>88190583.333333328</v>
      </c>
      <c r="AE8" s="253"/>
      <c r="AF8" s="251"/>
      <c r="AG8" s="235"/>
      <c r="AH8" s="261"/>
    </row>
    <row r="9" spans="1:34" s="254" customFormat="1" ht="15.75" customHeight="1" outlineLevel="1" x14ac:dyDescent="0.35">
      <c r="A9" s="726">
        <v>2</v>
      </c>
      <c r="B9" s="726">
        <v>2</v>
      </c>
      <c r="C9" s="240" t="s">
        <v>949</v>
      </c>
      <c r="D9" s="241" t="s">
        <v>950</v>
      </c>
      <c r="E9" s="248">
        <v>20000000</v>
      </c>
      <c r="F9" s="248">
        <v>0</v>
      </c>
      <c r="G9" s="775">
        <v>0</v>
      </c>
      <c r="H9" s="790">
        <v>2</v>
      </c>
      <c r="I9" s="790">
        <v>2</v>
      </c>
      <c r="J9" s="795" t="s">
        <v>414</v>
      </c>
      <c r="K9" s="796" t="s">
        <v>941</v>
      </c>
      <c r="L9" s="793">
        <v>15000000</v>
      </c>
      <c r="M9" s="793">
        <v>0</v>
      </c>
      <c r="N9" s="794">
        <v>0</v>
      </c>
      <c r="O9" s="241" t="s">
        <v>1038</v>
      </c>
      <c r="P9" s="247">
        <v>42887</v>
      </c>
      <c r="Q9" s="727"/>
      <c r="R9" s="241">
        <f t="shared" ref="R9:R46" si="0">L9</f>
        <v>15000000</v>
      </c>
      <c r="S9" s="241">
        <v>0</v>
      </c>
      <c r="T9" s="249">
        <f>SUM(R9:S9)</f>
        <v>15000000</v>
      </c>
      <c r="U9" s="250">
        <f>R9/12</f>
        <v>1250000</v>
      </c>
      <c r="V9" s="250">
        <f>IF(T9&gt;26000000,26000000*20.5%,T9*20.5%)</f>
        <v>3075000</v>
      </c>
      <c r="W9" s="250">
        <f>IF(T9&gt;75000000,75000000*1%,T9*1%)</f>
        <v>150000</v>
      </c>
      <c r="X9" s="250">
        <f>$X$4/12</f>
        <v>83333.333333333328</v>
      </c>
      <c r="Y9" s="250">
        <f>IF(T9&gt;26000000,26000000*2%,T9*2%)</f>
        <v>300000</v>
      </c>
      <c r="Z9" s="251">
        <f>(T9*30*0.09%+T9*3*0.36%+0.6%*42000000)/12</f>
        <v>68250</v>
      </c>
      <c r="AA9" s="252">
        <v>0</v>
      </c>
      <c r="AB9" s="732"/>
      <c r="AC9" s="732"/>
      <c r="AD9" s="251">
        <f>SUM(T9:AC9)+AE9</f>
        <v>19926583.333333332</v>
      </c>
      <c r="AE9" s="733"/>
      <c r="AF9" s="734"/>
      <c r="AH9" s="891"/>
    </row>
    <row r="10" spans="1:34" s="254" customFormat="1" ht="15.75" customHeight="1" outlineLevel="1" x14ac:dyDescent="0.35">
      <c r="A10" s="747"/>
      <c r="B10" s="747"/>
      <c r="C10" s="748" t="s">
        <v>118</v>
      </c>
      <c r="D10" s="749" t="s">
        <v>953</v>
      </c>
      <c r="E10" s="776"/>
      <c r="F10" s="776"/>
      <c r="G10" s="777"/>
      <c r="H10" s="747"/>
      <c r="I10" s="747"/>
      <c r="J10" s="748" t="s">
        <v>118</v>
      </c>
      <c r="K10" s="749" t="s">
        <v>953</v>
      </c>
      <c r="L10" s="776"/>
      <c r="M10" s="776"/>
      <c r="N10" s="777"/>
      <c r="O10" s="749" t="s">
        <v>953</v>
      </c>
      <c r="P10" s="757"/>
      <c r="Q10" s="758"/>
      <c r="R10" s="756"/>
      <c r="S10" s="756"/>
      <c r="T10" s="759"/>
      <c r="U10" s="760"/>
      <c r="V10" s="760"/>
      <c r="W10" s="760"/>
      <c r="X10" s="760"/>
      <c r="Y10" s="760"/>
      <c r="Z10" s="761"/>
      <c r="AA10" s="762"/>
      <c r="AB10" s="763"/>
      <c r="AC10" s="763"/>
      <c r="AD10" s="761"/>
      <c r="AE10" s="764"/>
      <c r="AF10" s="765"/>
      <c r="AH10" s="891"/>
    </row>
    <row r="11" spans="1:34" s="245" customFormat="1" ht="15.75" customHeight="1" outlineLevel="1" x14ac:dyDescent="0.35">
      <c r="A11" s="726">
        <v>3</v>
      </c>
      <c r="B11" s="726">
        <v>1</v>
      </c>
      <c r="C11" s="240" t="s">
        <v>403</v>
      </c>
      <c r="D11" s="241" t="s">
        <v>931</v>
      </c>
      <c r="E11" s="248">
        <v>18900000</v>
      </c>
      <c r="F11" s="248">
        <v>0</v>
      </c>
      <c r="G11" s="775">
        <v>0</v>
      </c>
      <c r="H11" s="790">
        <v>3</v>
      </c>
      <c r="I11" s="790">
        <v>1</v>
      </c>
      <c r="J11" s="795" t="s">
        <v>403</v>
      </c>
      <c r="K11" s="792" t="s">
        <v>931</v>
      </c>
      <c r="L11" s="793">
        <v>18900000</v>
      </c>
      <c r="M11" s="793">
        <v>0</v>
      </c>
      <c r="N11" s="794">
        <v>0</v>
      </c>
      <c r="O11" s="241" t="s">
        <v>404</v>
      </c>
      <c r="P11" s="247">
        <v>42948</v>
      </c>
      <c r="Q11" s="727"/>
      <c r="R11" s="241">
        <f t="shared" si="0"/>
        <v>18900000</v>
      </c>
      <c r="S11" s="241">
        <v>0</v>
      </c>
      <c r="T11" s="249">
        <f t="shared" ref="T11:T13" si="1">SUM(R11:S11)</f>
        <v>18900000</v>
      </c>
      <c r="U11" s="250">
        <f t="shared" ref="U11:U13" si="2">R11/12</f>
        <v>1575000</v>
      </c>
      <c r="V11" s="250">
        <f t="shared" ref="V11:V13" si="3">IF(T11&gt;26000000,26000000*20.5%,T11*20.5%)</f>
        <v>3874500</v>
      </c>
      <c r="W11" s="250">
        <f t="shared" ref="W11:W13" si="4">IF(T11&gt;75000000,75000000*1%,T11*1%)</f>
        <v>189000</v>
      </c>
      <c r="X11" s="250">
        <f>$X$4/12</f>
        <v>83333.333333333328</v>
      </c>
      <c r="Y11" s="250">
        <f t="shared" ref="Y11:Y13" si="5">IF(T11&gt;26000000,26000000*2%,T11*2%)</f>
        <v>378000</v>
      </c>
      <c r="Z11" s="251">
        <f t="shared" ref="Z11:Z13" si="6">(T11*30*0.09%+T11*3*0.36%+0.6%*42000000)/12</f>
        <v>80535</v>
      </c>
      <c r="AA11" s="252">
        <v>0</v>
      </c>
      <c r="AB11" s="249"/>
      <c r="AC11" s="249"/>
      <c r="AD11" s="251">
        <f>SUM(T11:AC11)+AE11</f>
        <v>25080368.333333332</v>
      </c>
      <c r="AE11" s="253"/>
      <c r="AF11" s="251"/>
      <c r="AG11" s="242"/>
      <c r="AH11" s="773"/>
    </row>
    <row r="12" spans="1:34" s="244" customFormat="1" ht="15.75" customHeight="1" outlineLevel="1" x14ac:dyDescent="0.25">
      <c r="A12" s="726">
        <v>4</v>
      </c>
      <c r="B12" s="726">
        <v>2</v>
      </c>
      <c r="C12" s="728" t="s">
        <v>422</v>
      </c>
      <c r="D12" s="241" t="s">
        <v>948</v>
      </c>
      <c r="E12" s="248">
        <v>5500000</v>
      </c>
      <c r="F12" s="248">
        <v>0</v>
      </c>
      <c r="G12" s="775">
        <v>0</v>
      </c>
      <c r="H12" s="790">
        <v>4</v>
      </c>
      <c r="I12" s="790">
        <v>2</v>
      </c>
      <c r="J12" s="791" t="s">
        <v>422</v>
      </c>
      <c r="K12" s="792" t="s">
        <v>948</v>
      </c>
      <c r="L12" s="793">
        <v>5500000</v>
      </c>
      <c r="M12" s="793">
        <v>0</v>
      </c>
      <c r="N12" s="794">
        <v>0</v>
      </c>
      <c r="O12" s="241" t="s">
        <v>423</v>
      </c>
      <c r="P12" s="247">
        <v>43009</v>
      </c>
      <c r="Q12" s="727"/>
      <c r="R12" s="241">
        <f t="shared" si="0"/>
        <v>5500000</v>
      </c>
      <c r="S12" s="241">
        <v>0</v>
      </c>
      <c r="T12" s="249">
        <f t="shared" si="1"/>
        <v>5500000</v>
      </c>
      <c r="U12" s="250">
        <f t="shared" si="2"/>
        <v>458333.33333333331</v>
      </c>
      <c r="V12" s="250">
        <f t="shared" si="3"/>
        <v>1127500</v>
      </c>
      <c r="W12" s="250">
        <f t="shared" si="4"/>
        <v>55000</v>
      </c>
      <c r="X12" s="250">
        <f>$X$4/12</f>
        <v>83333.333333333328</v>
      </c>
      <c r="Y12" s="250">
        <f t="shared" si="5"/>
        <v>110000</v>
      </c>
      <c r="Z12" s="251">
        <f t="shared" si="6"/>
        <v>38325</v>
      </c>
      <c r="AA12" s="252">
        <v>0</v>
      </c>
      <c r="AB12" s="249"/>
      <c r="AC12" s="249"/>
      <c r="AD12" s="251">
        <f>SUM(T12:AC12)+AE12</f>
        <v>7372491.666666666</v>
      </c>
      <c r="AE12" s="253"/>
      <c r="AF12" s="251"/>
      <c r="AG12" s="235"/>
      <c r="AH12" s="261"/>
    </row>
    <row r="13" spans="1:34" s="244" customFormat="1" ht="15.75" customHeight="1" outlineLevel="1" x14ac:dyDescent="0.25">
      <c r="A13" s="726">
        <v>5</v>
      </c>
      <c r="B13" s="726">
        <v>3</v>
      </c>
      <c r="C13" s="728" t="s">
        <v>421</v>
      </c>
      <c r="D13" s="241" t="s">
        <v>884</v>
      </c>
      <c r="E13" s="248">
        <v>5500000</v>
      </c>
      <c r="F13" s="248">
        <v>0</v>
      </c>
      <c r="G13" s="775">
        <v>0</v>
      </c>
      <c r="H13" s="790">
        <v>5</v>
      </c>
      <c r="I13" s="790">
        <v>3</v>
      </c>
      <c r="J13" s="791" t="s">
        <v>421</v>
      </c>
      <c r="K13" s="792" t="s">
        <v>884</v>
      </c>
      <c r="L13" s="793">
        <v>5500000</v>
      </c>
      <c r="M13" s="793">
        <v>0</v>
      </c>
      <c r="N13" s="794">
        <v>0</v>
      </c>
      <c r="O13" s="241" t="s">
        <v>423</v>
      </c>
      <c r="P13" s="247">
        <v>43009</v>
      </c>
      <c r="Q13" s="727"/>
      <c r="R13" s="241">
        <f t="shared" si="0"/>
        <v>5500000</v>
      </c>
      <c r="S13" s="241">
        <v>0</v>
      </c>
      <c r="T13" s="249">
        <f t="shared" si="1"/>
        <v>5500000</v>
      </c>
      <c r="U13" s="250">
        <f t="shared" si="2"/>
        <v>458333.33333333331</v>
      </c>
      <c r="V13" s="250">
        <f t="shared" si="3"/>
        <v>1127500</v>
      </c>
      <c r="W13" s="250">
        <f t="shared" si="4"/>
        <v>55000</v>
      </c>
      <c r="X13" s="250">
        <f>$X$4/12</f>
        <v>83333.333333333328</v>
      </c>
      <c r="Y13" s="250">
        <f t="shared" si="5"/>
        <v>110000</v>
      </c>
      <c r="Z13" s="251">
        <f t="shared" si="6"/>
        <v>38325</v>
      </c>
      <c r="AA13" s="252">
        <v>0</v>
      </c>
      <c r="AB13" s="249"/>
      <c r="AC13" s="249"/>
      <c r="AD13" s="251">
        <f>SUM(T13:AC13)+AE13</f>
        <v>7372491.666666666</v>
      </c>
      <c r="AE13" s="253"/>
      <c r="AF13" s="251"/>
      <c r="AH13" s="773"/>
    </row>
    <row r="14" spans="1:34" s="254" customFormat="1" ht="15.75" customHeight="1" outlineLevel="1" x14ac:dyDescent="0.35">
      <c r="A14" s="747"/>
      <c r="B14" s="747"/>
      <c r="C14" s="748" t="s">
        <v>79</v>
      </c>
      <c r="D14" s="749" t="s">
        <v>956</v>
      </c>
      <c r="E14" s="776"/>
      <c r="F14" s="776"/>
      <c r="G14" s="777"/>
      <c r="H14" s="747"/>
      <c r="I14" s="747"/>
      <c r="J14" s="748" t="s">
        <v>79</v>
      </c>
      <c r="K14" s="749" t="s">
        <v>956</v>
      </c>
      <c r="L14" s="776"/>
      <c r="M14" s="776"/>
      <c r="N14" s="777"/>
      <c r="O14" s="749" t="s">
        <v>956</v>
      </c>
      <c r="P14" s="757"/>
      <c r="Q14" s="758"/>
      <c r="R14" s="756"/>
      <c r="S14" s="756"/>
      <c r="T14" s="759"/>
      <c r="U14" s="760"/>
      <c r="V14" s="760"/>
      <c r="W14" s="760"/>
      <c r="X14" s="760"/>
      <c r="Y14" s="760"/>
      <c r="Z14" s="761"/>
      <c r="AA14" s="762"/>
      <c r="AB14" s="763"/>
      <c r="AC14" s="763"/>
      <c r="AD14" s="761"/>
      <c r="AE14" s="764"/>
      <c r="AF14" s="765"/>
      <c r="AH14" s="891"/>
    </row>
    <row r="15" spans="1:34" s="244" customFormat="1" ht="15.75" customHeight="1" outlineLevel="1" x14ac:dyDescent="0.35">
      <c r="A15" s="726">
        <v>6</v>
      </c>
      <c r="B15" s="726">
        <v>1</v>
      </c>
      <c r="C15" s="240" t="s">
        <v>410</v>
      </c>
      <c r="D15" s="241" t="s">
        <v>938</v>
      </c>
      <c r="E15" s="248">
        <v>6000000</v>
      </c>
      <c r="F15" s="248">
        <v>0</v>
      </c>
      <c r="G15" s="775">
        <v>0</v>
      </c>
      <c r="H15" s="790">
        <v>6</v>
      </c>
      <c r="I15" s="790">
        <v>1</v>
      </c>
      <c r="J15" s="795" t="s">
        <v>410</v>
      </c>
      <c r="K15" s="792" t="s">
        <v>938</v>
      </c>
      <c r="L15" s="793">
        <v>6000000</v>
      </c>
      <c r="M15" s="793">
        <v>0</v>
      </c>
      <c r="N15" s="794">
        <v>0</v>
      </c>
      <c r="O15" s="241" t="s">
        <v>411</v>
      </c>
      <c r="P15" s="247">
        <v>42937</v>
      </c>
      <c r="Q15" s="727"/>
      <c r="R15" s="241">
        <f t="shared" si="0"/>
        <v>6000000</v>
      </c>
      <c r="S15" s="241">
        <v>0</v>
      </c>
      <c r="T15" s="249">
        <f>SUM(R15:S15)</f>
        <v>6000000</v>
      </c>
      <c r="U15" s="250">
        <f>R15/12</f>
        <v>500000</v>
      </c>
      <c r="V15" s="250">
        <f>IF(T15&gt;26000000,26000000*20.5%,T15*20.5%)</f>
        <v>1230000</v>
      </c>
      <c r="W15" s="250">
        <f>IF(T15&gt;75000000,75000000*1%,T15*1%)</f>
        <v>60000</v>
      </c>
      <c r="X15" s="250">
        <f>$X$4/12</f>
        <v>83333.333333333328</v>
      </c>
      <c r="Y15" s="250">
        <f>IF(T15&gt;26000000,26000000*2%,T15*2%)</f>
        <v>120000</v>
      </c>
      <c r="Z15" s="251">
        <f>(T15*30*0.09%+T15*3*0.36%+0.6%*42000000)/12</f>
        <v>39900</v>
      </c>
      <c r="AA15" s="252">
        <v>0</v>
      </c>
      <c r="AB15" s="249"/>
      <c r="AC15" s="249"/>
      <c r="AD15" s="251">
        <f>SUM(T15:AC15)+AE15</f>
        <v>8033233.333333333</v>
      </c>
      <c r="AE15" s="253"/>
      <c r="AF15" s="251"/>
      <c r="AG15" s="242"/>
      <c r="AH15" s="773"/>
    </row>
    <row r="16" spans="1:34" s="254" customFormat="1" ht="15.75" customHeight="1" outlineLevel="1" x14ac:dyDescent="0.35">
      <c r="A16" s="747"/>
      <c r="B16" s="747"/>
      <c r="C16" s="748" t="s">
        <v>13</v>
      </c>
      <c r="D16" s="749" t="s">
        <v>957</v>
      </c>
      <c r="E16" s="776"/>
      <c r="F16" s="776"/>
      <c r="G16" s="777"/>
      <c r="H16" s="747"/>
      <c r="I16" s="747"/>
      <c r="J16" s="748" t="s">
        <v>13</v>
      </c>
      <c r="K16" s="749" t="s">
        <v>957</v>
      </c>
      <c r="L16" s="776"/>
      <c r="M16" s="776"/>
      <c r="N16" s="777"/>
      <c r="O16" s="749" t="s">
        <v>957</v>
      </c>
      <c r="P16" s="757"/>
      <c r="Q16" s="758"/>
      <c r="R16" s="756"/>
      <c r="S16" s="756"/>
      <c r="T16" s="759"/>
      <c r="U16" s="760"/>
      <c r="V16" s="760"/>
      <c r="W16" s="760"/>
      <c r="X16" s="760"/>
      <c r="Y16" s="760"/>
      <c r="Z16" s="761"/>
      <c r="AA16" s="762"/>
      <c r="AB16" s="763"/>
      <c r="AC16" s="763"/>
      <c r="AD16" s="761"/>
      <c r="AE16" s="764"/>
      <c r="AF16" s="765"/>
      <c r="AH16" s="891"/>
    </row>
    <row r="17" spans="1:37" s="245" customFormat="1" ht="15.75" customHeight="1" outlineLevel="1" x14ac:dyDescent="0.35">
      <c r="A17" s="1368">
        <v>7</v>
      </c>
      <c r="B17" s="1368">
        <v>1</v>
      </c>
      <c r="C17" s="240" t="s">
        <v>387</v>
      </c>
      <c r="D17" s="241" t="s">
        <v>920</v>
      </c>
      <c r="E17" s="248">
        <v>12000000</v>
      </c>
      <c r="F17" s="248">
        <v>0</v>
      </c>
      <c r="G17" s="775">
        <v>300000</v>
      </c>
      <c r="H17" s="790">
        <v>7</v>
      </c>
      <c r="I17" s="790">
        <v>1</v>
      </c>
      <c r="J17" s="795" t="s">
        <v>951</v>
      </c>
      <c r="K17" s="792" t="s">
        <v>952</v>
      </c>
      <c r="L17" s="793">
        <v>10000000</v>
      </c>
      <c r="M17" s="793">
        <v>0</v>
      </c>
      <c r="N17" s="794">
        <v>0</v>
      </c>
      <c r="O17" s="241" t="s">
        <v>388</v>
      </c>
      <c r="P17" s="247">
        <v>43084</v>
      </c>
      <c r="Q17" s="727"/>
      <c r="R17" s="241">
        <f t="shared" si="0"/>
        <v>10000000</v>
      </c>
      <c r="S17" s="241">
        <v>0</v>
      </c>
      <c r="T17" s="249">
        <f t="shared" ref="T17:T18" si="7">SUM(R17:S17)</f>
        <v>10000000</v>
      </c>
      <c r="U17" s="250">
        <f t="shared" ref="U17:U18" si="8">R17/12</f>
        <v>833333.33333333337</v>
      </c>
      <c r="V17" s="250">
        <f t="shared" ref="V17:V18" si="9">IF(T17&gt;26000000,26000000*20.5%,T17*20.5%)</f>
        <v>2049999.9999999998</v>
      </c>
      <c r="W17" s="250">
        <f t="shared" ref="W17:W18" si="10">IF(T17&gt;75000000,75000000*1%,T17*1%)</f>
        <v>100000</v>
      </c>
      <c r="X17" s="250">
        <f>$X$4/12</f>
        <v>83333.333333333328</v>
      </c>
      <c r="Y17" s="250">
        <f t="shared" ref="Y17:Y18" si="11">IF(T17&gt;26000000,26000000*2%,T17*2%)</f>
        <v>200000</v>
      </c>
      <c r="Z17" s="251">
        <f t="shared" ref="Z17:Z18" si="12">(T17*30*0.09%+T17*3*0.36%+0.6%*42000000)/12</f>
        <v>52500</v>
      </c>
      <c r="AA17" s="252">
        <v>0</v>
      </c>
      <c r="AB17" s="249"/>
      <c r="AC17" s="249"/>
      <c r="AD17" s="251">
        <f>SUM(T17:AC17)+AE17</f>
        <v>13319166.666666668</v>
      </c>
      <c r="AE17" s="253"/>
      <c r="AF17" s="251"/>
      <c r="AG17" s="242"/>
      <c r="AH17" s="773"/>
    </row>
    <row r="18" spans="1:37" s="235" customFormat="1" ht="15.75" customHeight="1" outlineLevel="1" x14ac:dyDescent="0.25">
      <c r="A18" s="1369"/>
      <c r="B18" s="1369"/>
      <c r="C18" s="751" t="s">
        <v>951</v>
      </c>
      <c r="D18" s="752" t="s">
        <v>952</v>
      </c>
      <c r="E18" s="778">
        <v>10000000</v>
      </c>
      <c r="F18" s="778">
        <v>0</v>
      </c>
      <c r="G18" s="775"/>
      <c r="H18" s="790">
        <v>8</v>
      </c>
      <c r="I18" s="790">
        <v>2</v>
      </c>
      <c r="J18" s="791" t="s">
        <v>401</v>
      </c>
      <c r="K18" s="792" t="s">
        <v>929</v>
      </c>
      <c r="L18" s="793">
        <v>10000000</v>
      </c>
      <c r="M18" s="793">
        <v>0</v>
      </c>
      <c r="N18" s="794"/>
      <c r="O18" s="752" t="s">
        <v>388</v>
      </c>
      <c r="P18" s="247">
        <v>42065</v>
      </c>
      <c r="Q18" s="727"/>
      <c r="R18" s="752">
        <f t="shared" si="0"/>
        <v>10000000</v>
      </c>
      <c r="S18" s="752">
        <v>0</v>
      </c>
      <c r="T18" s="249">
        <f t="shared" si="7"/>
        <v>10000000</v>
      </c>
      <c r="U18" s="250">
        <f t="shared" si="8"/>
        <v>833333.33333333337</v>
      </c>
      <c r="V18" s="250">
        <f t="shared" si="9"/>
        <v>2049999.9999999998</v>
      </c>
      <c r="W18" s="250">
        <f t="shared" si="10"/>
        <v>100000</v>
      </c>
      <c r="X18" s="250">
        <f>$X$4/12</f>
        <v>83333.333333333328</v>
      </c>
      <c r="Y18" s="250">
        <f t="shared" si="11"/>
        <v>200000</v>
      </c>
      <c r="Z18" s="251">
        <f t="shared" si="12"/>
        <v>52500</v>
      </c>
      <c r="AA18" s="252"/>
      <c r="AB18" s="249"/>
      <c r="AC18" s="249"/>
      <c r="AD18" s="251">
        <f>SUM(T18:AC18)+AE18</f>
        <v>13319166.666666668</v>
      </c>
      <c r="AE18" s="253"/>
      <c r="AF18" s="251"/>
      <c r="AH18" s="261"/>
    </row>
    <row r="19" spans="1:37" s="254" customFormat="1" ht="15.75" customHeight="1" outlineLevel="1" x14ac:dyDescent="0.35">
      <c r="A19" s="747"/>
      <c r="B19" s="747"/>
      <c r="C19" s="750" t="s">
        <v>960</v>
      </c>
      <c r="D19" s="749" t="s">
        <v>955</v>
      </c>
      <c r="E19" s="776"/>
      <c r="F19" s="776"/>
      <c r="G19" s="777"/>
      <c r="H19" s="747"/>
      <c r="I19" s="747"/>
      <c r="J19" s="750" t="s">
        <v>960</v>
      </c>
      <c r="K19" s="749" t="s">
        <v>955</v>
      </c>
      <c r="L19" s="776"/>
      <c r="M19" s="776"/>
      <c r="N19" s="777"/>
      <c r="O19" s="749" t="s">
        <v>955</v>
      </c>
      <c r="P19" s="757"/>
      <c r="Q19" s="758"/>
      <c r="R19" s="756"/>
      <c r="S19" s="756"/>
      <c r="T19" s="759"/>
      <c r="U19" s="760"/>
      <c r="V19" s="760"/>
      <c r="W19" s="760"/>
      <c r="X19" s="760"/>
      <c r="Y19" s="760"/>
      <c r="Z19" s="761"/>
      <c r="AA19" s="762"/>
      <c r="AB19" s="763"/>
      <c r="AC19" s="763"/>
      <c r="AD19" s="761"/>
      <c r="AE19" s="764"/>
      <c r="AF19" s="765"/>
      <c r="AH19" s="891"/>
    </row>
    <row r="20" spans="1:37" s="244" customFormat="1" ht="15.75" customHeight="1" outlineLevel="1" x14ac:dyDescent="0.25">
      <c r="A20" s="726">
        <v>8</v>
      </c>
      <c r="B20" s="726">
        <v>1</v>
      </c>
      <c r="C20" s="728" t="s">
        <v>414</v>
      </c>
      <c r="D20" s="241" t="s">
        <v>941</v>
      </c>
      <c r="E20" s="248">
        <v>10500000</v>
      </c>
      <c r="F20" s="248">
        <v>0</v>
      </c>
      <c r="G20" s="775">
        <v>0</v>
      </c>
      <c r="H20" s="790">
        <v>9</v>
      </c>
      <c r="I20" s="790">
        <v>1</v>
      </c>
      <c r="J20" s="791" t="s">
        <v>935</v>
      </c>
      <c r="K20" s="792" t="s">
        <v>936</v>
      </c>
      <c r="L20" s="793">
        <f>8000000+2000000</f>
        <v>10000000</v>
      </c>
      <c r="M20" s="793">
        <v>0</v>
      </c>
      <c r="N20" s="794">
        <v>0</v>
      </c>
      <c r="O20" s="241" t="s">
        <v>415</v>
      </c>
      <c r="P20" s="247">
        <v>43040</v>
      </c>
      <c r="Q20" s="727"/>
      <c r="R20" s="241">
        <f t="shared" si="0"/>
        <v>10000000</v>
      </c>
      <c r="S20" s="241">
        <v>0</v>
      </c>
      <c r="T20" s="249">
        <f t="shared" ref="T20:T24" si="13">SUM(R20:S20)</f>
        <v>10000000</v>
      </c>
      <c r="U20" s="250">
        <f t="shared" ref="U20:U24" si="14">R20/12</f>
        <v>833333.33333333337</v>
      </c>
      <c r="V20" s="250">
        <f t="shared" ref="V20:V24" si="15">IF(T20&gt;26000000,26000000*20.5%,T20*20.5%)</f>
        <v>2049999.9999999998</v>
      </c>
      <c r="W20" s="250">
        <f t="shared" ref="W20:W24" si="16">IF(T20&gt;75000000,75000000*1%,T20*1%)</f>
        <v>100000</v>
      </c>
      <c r="X20" s="250">
        <f>$X$4/12</f>
        <v>83333.333333333328</v>
      </c>
      <c r="Y20" s="250">
        <f t="shared" ref="Y20:Y24" si="17">IF(T20&gt;26000000,26000000*2%,T20*2%)</f>
        <v>200000</v>
      </c>
      <c r="Z20" s="251">
        <f t="shared" ref="Z20:Z24" si="18">(T20*30*0.09%+T20*3*0.36%+0.6%*42000000)/12</f>
        <v>52500</v>
      </c>
      <c r="AA20" s="252">
        <v>0</v>
      </c>
      <c r="AB20" s="249"/>
      <c r="AC20" s="249"/>
      <c r="AD20" s="251">
        <f>SUM(T20:AC20)+AE20</f>
        <v>13319166.666666668</v>
      </c>
      <c r="AE20" s="253"/>
      <c r="AF20" s="251"/>
      <c r="AG20" s="242"/>
      <c r="AH20" s="773"/>
    </row>
    <row r="21" spans="1:37" s="245" customFormat="1" ht="15.75" customHeight="1" outlineLevel="1" x14ac:dyDescent="0.35">
      <c r="A21" s="726">
        <v>9</v>
      </c>
      <c r="B21" s="726">
        <v>2</v>
      </c>
      <c r="C21" s="240" t="s">
        <v>935</v>
      </c>
      <c r="D21" s="241" t="s">
        <v>936</v>
      </c>
      <c r="E21" s="248">
        <v>8000000</v>
      </c>
      <c r="F21" s="248">
        <v>0</v>
      </c>
      <c r="G21" s="775">
        <v>0</v>
      </c>
      <c r="H21" s="790">
        <v>10</v>
      </c>
      <c r="I21" s="790">
        <v>2</v>
      </c>
      <c r="J21" s="795"/>
      <c r="K21" s="792" t="s">
        <v>961</v>
      </c>
      <c r="L21" s="793">
        <v>5500000</v>
      </c>
      <c r="M21" s="793">
        <v>0</v>
      </c>
      <c r="N21" s="794">
        <v>0</v>
      </c>
      <c r="O21" s="241" t="s">
        <v>964</v>
      </c>
      <c r="P21" s="247">
        <v>43090</v>
      </c>
      <c r="Q21" s="727"/>
      <c r="R21" s="241">
        <f t="shared" si="0"/>
        <v>5500000</v>
      </c>
      <c r="S21" s="241">
        <v>0</v>
      </c>
      <c r="T21" s="249">
        <f t="shared" si="13"/>
        <v>5500000</v>
      </c>
      <c r="U21" s="250">
        <f t="shared" si="14"/>
        <v>458333.33333333331</v>
      </c>
      <c r="V21" s="250">
        <f t="shared" si="15"/>
        <v>1127500</v>
      </c>
      <c r="W21" s="250">
        <f t="shared" si="16"/>
        <v>55000</v>
      </c>
      <c r="X21" s="250">
        <f>$X$4/12</f>
        <v>83333.333333333328</v>
      </c>
      <c r="Y21" s="250">
        <f t="shared" si="17"/>
        <v>110000</v>
      </c>
      <c r="Z21" s="251">
        <f t="shared" si="18"/>
        <v>38325</v>
      </c>
      <c r="AA21" s="252">
        <v>0</v>
      </c>
      <c r="AB21" s="249"/>
      <c r="AC21" s="249"/>
      <c r="AD21" s="251">
        <f>SUM(T21:AC21)+AE21</f>
        <v>7372491.666666666</v>
      </c>
      <c r="AE21" s="253"/>
      <c r="AF21" s="251"/>
      <c r="AG21" s="242"/>
      <c r="AH21" s="773"/>
    </row>
    <row r="22" spans="1:37" s="246" customFormat="1" ht="15.75" customHeight="1" outlineLevel="1" x14ac:dyDescent="0.35">
      <c r="A22" s="726">
        <v>10</v>
      </c>
      <c r="B22" s="726">
        <v>3</v>
      </c>
      <c r="C22" s="240" t="s">
        <v>401</v>
      </c>
      <c r="D22" s="241" t="s">
        <v>929</v>
      </c>
      <c r="E22" s="248">
        <v>7350000</v>
      </c>
      <c r="F22" s="248">
        <v>0</v>
      </c>
      <c r="G22" s="775">
        <v>0</v>
      </c>
      <c r="H22" s="790">
        <v>11</v>
      </c>
      <c r="I22" s="790">
        <v>3</v>
      </c>
      <c r="J22" s="795"/>
      <c r="K22" s="792" t="s">
        <v>962</v>
      </c>
      <c r="L22" s="793">
        <v>5500000</v>
      </c>
      <c r="M22" s="793">
        <v>0</v>
      </c>
      <c r="N22" s="794">
        <v>0</v>
      </c>
      <c r="O22" s="241" t="s">
        <v>964</v>
      </c>
      <c r="P22" s="247"/>
      <c r="Q22" s="727"/>
      <c r="R22" s="241">
        <f t="shared" si="0"/>
        <v>5500000</v>
      </c>
      <c r="S22" s="241">
        <v>0</v>
      </c>
      <c r="T22" s="249">
        <f t="shared" si="13"/>
        <v>5500000</v>
      </c>
      <c r="U22" s="250">
        <f t="shared" si="14"/>
        <v>458333.33333333331</v>
      </c>
      <c r="V22" s="250">
        <f t="shared" si="15"/>
        <v>1127500</v>
      </c>
      <c r="W22" s="250">
        <f t="shared" si="16"/>
        <v>55000</v>
      </c>
      <c r="X22" s="250">
        <f>$X$4/12</f>
        <v>83333.333333333328</v>
      </c>
      <c r="Y22" s="250">
        <f t="shared" si="17"/>
        <v>110000</v>
      </c>
      <c r="Z22" s="251">
        <f t="shared" si="18"/>
        <v>38325</v>
      </c>
      <c r="AA22" s="252">
        <v>0</v>
      </c>
      <c r="AB22" s="249"/>
      <c r="AC22" s="249"/>
      <c r="AD22" s="251">
        <f>SUM(T22:AC22)+AE22</f>
        <v>7372491.666666666</v>
      </c>
      <c r="AE22" s="253"/>
      <c r="AF22" s="251"/>
      <c r="AG22" s="242"/>
      <c r="AH22" s="773"/>
      <c r="AI22" s="245"/>
      <c r="AJ22" s="245"/>
      <c r="AK22" s="245"/>
    </row>
    <row r="23" spans="1:37" s="244" customFormat="1" ht="15.75" customHeight="1" outlineLevel="1" x14ac:dyDescent="0.25">
      <c r="A23" s="726">
        <v>11</v>
      </c>
      <c r="B23" s="726">
        <v>4</v>
      </c>
      <c r="C23" s="728" t="s">
        <v>424</v>
      </c>
      <c r="D23" s="241" t="s">
        <v>940</v>
      </c>
      <c r="E23" s="248">
        <v>6200000</v>
      </c>
      <c r="F23" s="248">
        <v>0</v>
      </c>
      <c r="G23" s="775">
        <v>0</v>
      </c>
      <c r="H23" s="790">
        <v>12</v>
      </c>
      <c r="I23" s="790">
        <v>4</v>
      </c>
      <c r="J23" s="791"/>
      <c r="K23" s="792" t="s">
        <v>962</v>
      </c>
      <c r="L23" s="793">
        <v>5500000</v>
      </c>
      <c r="M23" s="793">
        <v>0</v>
      </c>
      <c r="N23" s="794">
        <v>0</v>
      </c>
      <c r="O23" s="241" t="s">
        <v>964</v>
      </c>
      <c r="P23" s="247"/>
      <c r="Q23" s="727"/>
      <c r="R23" s="241">
        <f t="shared" si="0"/>
        <v>5500000</v>
      </c>
      <c r="S23" s="241">
        <v>0</v>
      </c>
      <c r="T23" s="249">
        <f t="shared" si="13"/>
        <v>5500000</v>
      </c>
      <c r="U23" s="250">
        <f t="shared" si="14"/>
        <v>458333.33333333331</v>
      </c>
      <c r="V23" s="250">
        <f t="shared" si="15"/>
        <v>1127500</v>
      </c>
      <c r="W23" s="250">
        <f t="shared" si="16"/>
        <v>55000</v>
      </c>
      <c r="X23" s="250">
        <f>$X$4/12</f>
        <v>83333.333333333328</v>
      </c>
      <c r="Y23" s="250">
        <f t="shared" si="17"/>
        <v>110000</v>
      </c>
      <c r="Z23" s="251">
        <f t="shared" si="18"/>
        <v>38325</v>
      </c>
      <c r="AA23" s="252">
        <v>0</v>
      </c>
      <c r="AB23" s="249"/>
      <c r="AC23" s="249"/>
      <c r="AD23" s="251">
        <f>SUM(T23:AC23)+AE23</f>
        <v>7372491.666666666</v>
      </c>
      <c r="AE23" s="253"/>
      <c r="AF23" s="251"/>
      <c r="AG23" s="242"/>
      <c r="AH23" s="773"/>
    </row>
    <row r="24" spans="1:37" s="244" customFormat="1" ht="15.75" customHeight="1" outlineLevel="1" x14ac:dyDescent="0.25">
      <c r="A24" s="726">
        <v>12</v>
      </c>
      <c r="B24" s="726">
        <v>5</v>
      </c>
      <c r="C24" s="800"/>
      <c r="D24" s="241" t="s">
        <v>961</v>
      </c>
      <c r="E24" s="799">
        <v>5500000</v>
      </c>
      <c r="F24" s="248">
        <v>0</v>
      </c>
      <c r="G24" s="775">
        <v>0</v>
      </c>
      <c r="H24" s="790">
        <v>13</v>
      </c>
      <c r="I24" s="790">
        <v>5</v>
      </c>
      <c r="J24" s="791"/>
      <c r="K24" s="792" t="s">
        <v>962</v>
      </c>
      <c r="L24" s="793">
        <v>5500000</v>
      </c>
      <c r="M24" s="793">
        <v>0</v>
      </c>
      <c r="N24" s="794">
        <v>0</v>
      </c>
      <c r="O24" s="241" t="s">
        <v>964</v>
      </c>
      <c r="P24" s="247"/>
      <c r="Q24" s="727"/>
      <c r="R24" s="241">
        <f t="shared" si="0"/>
        <v>5500000</v>
      </c>
      <c r="S24" s="241">
        <v>0</v>
      </c>
      <c r="T24" s="249">
        <f t="shared" si="13"/>
        <v>5500000</v>
      </c>
      <c r="U24" s="250">
        <f t="shared" si="14"/>
        <v>458333.33333333331</v>
      </c>
      <c r="V24" s="250">
        <f t="shared" si="15"/>
        <v>1127500</v>
      </c>
      <c r="W24" s="250">
        <f t="shared" si="16"/>
        <v>55000</v>
      </c>
      <c r="X24" s="250">
        <f>$X$4/12</f>
        <v>83333.333333333328</v>
      </c>
      <c r="Y24" s="250">
        <f t="shared" si="17"/>
        <v>110000</v>
      </c>
      <c r="Z24" s="251">
        <f t="shared" si="18"/>
        <v>38325</v>
      </c>
      <c r="AA24" s="252">
        <v>0</v>
      </c>
      <c r="AB24" s="249"/>
      <c r="AC24" s="249"/>
      <c r="AD24" s="251">
        <f>SUM(T24:AC24)+AE24</f>
        <v>7372491.666666666</v>
      </c>
      <c r="AE24" s="253"/>
      <c r="AF24" s="251"/>
      <c r="AG24" s="242"/>
      <c r="AH24" s="773"/>
    </row>
    <row r="25" spans="1:37" s="254" customFormat="1" ht="15.75" customHeight="1" outlineLevel="1" x14ac:dyDescent="0.35">
      <c r="A25" s="747"/>
      <c r="B25" s="747"/>
      <c r="C25" s="748" t="s">
        <v>79</v>
      </c>
      <c r="D25" s="749" t="s">
        <v>958</v>
      </c>
      <c r="E25" s="776"/>
      <c r="F25" s="776"/>
      <c r="G25" s="777"/>
      <c r="H25" s="747"/>
      <c r="I25" s="747"/>
      <c r="J25" s="748" t="s">
        <v>79</v>
      </c>
      <c r="K25" s="749" t="s">
        <v>958</v>
      </c>
      <c r="L25" s="776"/>
      <c r="M25" s="776"/>
      <c r="N25" s="777"/>
      <c r="O25" s="749" t="s">
        <v>958</v>
      </c>
      <c r="P25" s="757"/>
      <c r="Q25" s="758"/>
      <c r="R25" s="756"/>
      <c r="S25" s="756"/>
      <c r="T25" s="759"/>
      <c r="U25" s="760"/>
      <c r="V25" s="760"/>
      <c r="W25" s="760"/>
      <c r="X25" s="760"/>
      <c r="Y25" s="760"/>
      <c r="Z25" s="761"/>
      <c r="AA25" s="762"/>
      <c r="AB25" s="763"/>
      <c r="AC25" s="763"/>
      <c r="AD25" s="761"/>
      <c r="AE25" s="764"/>
      <c r="AF25" s="765"/>
      <c r="AH25" s="891"/>
    </row>
    <row r="26" spans="1:37" s="245" customFormat="1" ht="15.75" customHeight="1" outlineLevel="1" x14ac:dyDescent="0.35">
      <c r="A26" s="726">
        <v>13</v>
      </c>
      <c r="B26" s="726">
        <v>1</v>
      </c>
      <c r="C26" s="240" t="s">
        <v>397</v>
      </c>
      <c r="D26" s="241" t="s">
        <v>927</v>
      </c>
      <c r="E26" s="248">
        <v>6300000</v>
      </c>
      <c r="F26" s="248">
        <v>500000</v>
      </c>
      <c r="G26" s="775">
        <v>0</v>
      </c>
      <c r="H26" s="790">
        <v>14</v>
      </c>
      <c r="I26" s="790">
        <v>1</v>
      </c>
      <c r="J26" s="795" t="s">
        <v>397</v>
      </c>
      <c r="K26" s="792" t="s">
        <v>927</v>
      </c>
      <c r="L26" s="793">
        <v>6300000</v>
      </c>
      <c r="M26" s="793">
        <v>500000</v>
      </c>
      <c r="N26" s="794">
        <v>0</v>
      </c>
      <c r="O26" s="241" t="s">
        <v>398</v>
      </c>
      <c r="P26" s="247">
        <v>41730</v>
      </c>
      <c r="Q26" s="727"/>
      <c r="R26" s="241">
        <f t="shared" si="0"/>
        <v>6300000</v>
      </c>
      <c r="S26" s="241">
        <v>500000</v>
      </c>
      <c r="T26" s="249">
        <f t="shared" ref="T26:T30" si="19">SUM(R26:S26)</f>
        <v>6800000</v>
      </c>
      <c r="U26" s="250">
        <f t="shared" ref="U26:U30" si="20">R26/12</f>
        <v>525000</v>
      </c>
      <c r="V26" s="250">
        <f t="shared" ref="V26:V30" si="21">IF(T26&gt;26000000,26000000*20.5%,T26*20.5%)</f>
        <v>1394000</v>
      </c>
      <c r="W26" s="250">
        <f t="shared" ref="W26:W30" si="22">IF(T26&gt;75000000,75000000*1%,T26*1%)</f>
        <v>68000</v>
      </c>
      <c r="X26" s="250">
        <f>$X$4/12</f>
        <v>83333.333333333328</v>
      </c>
      <c r="Y26" s="250">
        <f t="shared" ref="Y26:Y30" si="23">IF(T26&gt;26000000,26000000*2%,T26*2%)</f>
        <v>136000</v>
      </c>
      <c r="Z26" s="251">
        <f t="shared" ref="Z26:Z30" si="24">(T26*30*0.09%+T26*3*0.36%+0.6%*42000000)/12</f>
        <v>42420</v>
      </c>
      <c r="AA26" s="252">
        <v>0</v>
      </c>
      <c r="AB26" s="249"/>
      <c r="AC26" s="249"/>
      <c r="AD26" s="251">
        <f>SUM(T26:AC26)+AE26</f>
        <v>9048753.333333334</v>
      </c>
      <c r="AE26" s="253"/>
      <c r="AF26" s="251"/>
      <c r="AG26" s="242"/>
      <c r="AH26" s="773"/>
    </row>
    <row r="27" spans="1:37" s="245" customFormat="1" ht="15.75" customHeight="1" outlineLevel="1" x14ac:dyDescent="0.35">
      <c r="A27" s="726">
        <v>14</v>
      </c>
      <c r="B27" s="726">
        <v>2</v>
      </c>
      <c r="C27" s="240" t="s">
        <v>399</v>
      </c>
      <c r="D27" s="241" t="s">
        <v>928</v>
      </c>
      <c r="E27" s="248">
        <v>5800000</v>
      </c>
      <c r="F27" s="248">
        <v>0</v>
      </c>
      <c r="G27" s="775">
        <v>0</v>
      </c>
      <c r="H27" s="790">
        <v>15</v>
      </c>
      <c r="I27" s="790">
        <v>2</v>
      </c>
      <c r="J27" s="795" t="s">
        <v>399</v>
      </c>
      <c r="K27" s="792" t="s">
        <v>928</v>
      </c>
      <c r="L27" s="793">
        <v>5800000</v>
      </c>
      <c r="M27" s="793">
        <v>0</v>
      </c>
      <c r="N27" s="794">
        <v>0</v>
      </c>
      <c r="O27" s="241" t="s">
        <v>400</v>
      </c>
      <c r="P27" s="247">
        <v>41778</v>
      </c>
      <c r="Q27" s="727"/>
      <c r="R27" s="241">
        <f t="shared" si="0"/>
        <v>5800000</v>
      </c>
      <c r="S27" s="241">
        <v>0</v>
      </c>
      <c r="T27" s="249">
        <f t="shared" si="19"/>
        <v>5800000</v>
      </c>
      <c r="U27" s="250">
        <f t="shared" si="20"/>
        <v>483333.33333333331</v>
      </c>
      <c r="V27" s="250">
        <f t="shared" si="21"/>
        <v>1189000</v>
      </c>
      <c r="W27" s="250">
        <f t="shared" si="22"/>
        <v>58000</v>
      </c>
      <c r="X27" s="250">
        <f>$X$4/12</f>
        <v>83333.333333333328</v>
      </c>
      <c r="Y27" s="250">
        <f t="shared" si="23"/>
        <v>116000</v>
      </c>
      <c r="Z27" s="251">
        <f t="shared" si="24"/>
        <v>39270</v>
      </c>
      <c r="AA27" s="252">
        <v>0</v>
      </c>
      <c r="AB27" s="249"/>
      <c r="AC27" s="249"/>
      <c r="AD27" s="251">
        <f>SUM(T27:AC27)+AE27</f>
        <v>7768936.666666666</v>
      </c>
      <c r="AE27" s="253"/>
      <c r="AF27" s="251"/>
      <c r="AG27" s="242"/>
      <c r="AH27" s="773"/>
    </row>
    <row r="28" spans="1:37" s="246" customFormat="1" ht="15.75" customHeight="1" outlineLevel="1" x14ac:dyDescent="0.35">
      <c r="A28" s="726">
        <v>15</v>
      </c>
      <c r="B28" s="726">
        <v>3</v>
      </c>
      <c r="C28" s="240" t="s">
        <v>402</v>
      </c>
      <c r="D28" s="241" t="s">
        <v>930</v>
      </c>
      <c r="E28" s="248">
        <v>5800000</v>
      </c>
      <c r="F28" s="248">
        <v>0</v>
      </c>
      <c r="G28" s="775">
        <v>0</v>
      </c>
      <c r="H28" s="790">
        <v>16</v>
      </c>
      <c r="I28" s="790">
        <v>3</v>
      </c>
      <c r="J28" s="795" t="s">
        <v>402</v>
      </c>
      <c r="K28" s="792" t="s">
        <v>930</v>
      </c>
      <c r="L28" s="793">
        <v>5800000</v>
      </c>
      <c r="M28" s="793">
        <v>0</v>
      </c>
      <c r="N28" s="794">
        <v>0</v>
      </c>
      <c r="O28" s="241" t="s">
        <v>400</v>
      </c>
      <c r="P28" s="247">
        <v>42222</v>
      </c>
      <c r="Q28" s="727"/>
      <c r="R28" s="241">
        <f t="shared" si="0"/>
        <v>5800000</v>
      </c>
      <c r="S28" s="241">
        <v>0</v>
      </c>
      <c r="T28" s="249">
        <f t="shared" si="19"/>
        <v>5800000</v>
      </c>
      <c r="U28" s="250">
        <f t="shared" si="20"/>
        <v>483333.33333333331</v>
      </c>
      <c r="V28" s="250">
        <f t="shared" si="21"/>
        <v>1189000</v>
      </c>
      <c r="W28" s="250">
        <f t="shared" si="22"/>
        <v>58000</v>
      </c>
      <c r="X28" s="250">
        <f>$X$4/12</f>
        <v>83333.333333333328</v>
      </c>
      <c r="Y28" s="250">
        <f t="shared" si="23"/>
        <v>116000</v>
      </c>
      <c r="Z28" s="251">
        <f t="shared" si="24"/>
        <v>39270</v>
      </c>
      <c r="AA28" s="252">
        <v>0</v>
      </c>
      <c r="AB28" s="249"/>
      <c r="AC28" s="249"/>
      <c r="AD28" s="251">
        <f>SUM(T28:AC28)+AE28</f>
        <v>7768936.666666666</v>
      </c>
      <c r="AE28" s="253"/>
      <c r="AF28" s="251"/>
      <c r="AG28" s="242"/>
      <c r="AH28" s="773"/>
      <c r="AI28" s="245"/>
      <c r="AJ28" s="245"/>
      <c r="AK28" s="245"/>
    </row>
    <row r="29" spans="1:37" s="244" customFormat="1" ht="14.25" customHeight="1" outlineLevel="1" x14ac:dyDescent="0.35">
      <c r="A29" s="726">
        <v>16</v>
      </c>
      <c r="B29" s="726">
        <v>4</v>
      </c>
      <c r="C29" s="240" t="s">
        <v>412</v>
      </c>
      <c r="D29" s="241" t="s">
        <v>939</v>
      </c>
      <c r="E29" s="248">
        <v>5500000</v>
      </c>
      <c r="F29" s="248">
        <v>0</v>
      </c>
      <c r="G29" s="775">
        <v>0</v>
      </c>
      <c r="H29" s="790">
        <v>17</v>
      </c>
      <c r="I29" s="790">
        <v>4</v>
      </c>
      <c r="J29" s="795" t="s">
        <v>412</v>
      </c>
      <c r="K29" s="792" t="s">
        <v>939</v>
      </c>
      <c r="L29" s="793">
        <v>5500000</v>
      </c>
      <c r="M29" s="793">
        <v>0</v>
      </c>
      <c r="N29" s="794">
        <v>0</v>
      </c>
      <c r="O29" s="241" t="s">
        <v>413</v>
      </c>
      <c r="P29" s="247">
        <v>42858</v>
      </c>
      <c r="Q29" s="727"/>
      <c r="R29" s="241">
        <f t="shared" si="0"/>
        <v>5500000</v>
      </c>
      <c r="S29" s="241">
        <v>0</v>
      </c>
      <c r="T29" s="249">
        <f t="shared" si="19"/>
        <v>5500000</v>
      </c>
      <c r="U29" s="250">
        <f t="shared" si="20"/>
        <v>458333.33333333331</v>
      </c>
      <c r="V29" s="250">
        <f t="shared" si="21"/>
        <v>1127500</v>
      </c>
      <c r="W29" s="250">
        <f t="shared" si="22"/>
        <v>55000</v>
      </c>
      <c r="X29" s="250">
        <f>$X$4/12</f>
        <v>83333.333333333328</v>
      </c>
      <c r="Y29" s="250">
        <f t="shared" si="23"/>
        <v>110000</v>
      </c>
      <c r="Z29" s="251">
        <f t="shared" si="24"/>
        <v>38325</v>
      </c>
      <c r="AA29" s="252">
        <v>0</v>
      </c>
      <c r="AB29" s="249"/>
      <c r="AC29" s="249"/>
      <c r="AD29" s="251">
        <f>SUM(T29:AC29)+AE29</f>
        <v>7372491.666666666</v>
      </c>
      <c r="AE29" s="253"/>
      <c r="AF29" s="251"/>
      <c r="AG29" s="242"/>
      <c r="AH29" s="773"/>
    </row>
    <row r="30" spans="1:37" s="245" customFormat="1" ht="15.75" customHeight="1" outlineLevel="1" x14ac:dyDescent="0.35">
      <c r="A30" s="726">
        <v>17</v>
      </c>
      <c r="B30" s="726">
        <v>5</v>
      </c>
      <c r="C30" s="240" t="s">
        <v>407</v>
      </c>
      <c r="D30" s="241" t="s">
        <v>933</v>
      </c>
      <c r="E30" s="248">
        <v>5500000</v>
      </c>
      <c r="F30" s="248">
        <v>0</v>
      </c>
      <c r="G30" s="775">
        <v>0</v>
      </c>
      <c r="H30" s="790">
        <v>18</v>
      </c>
      <c r="I30" s="790">
        <v>5</v>
      </c>
      <c r="J30" s="795" t="s">
        <v>407</v>
      </c>
      <c r="K30" s="792" t="s">
        <v>933</v>
      </c>
      <c r="L30" s="793">
        <v>5500000</v>
      </c>
      <c r="M30" s="793">
        <v>0</v>
      </c>
      <c r="N30" s="794">
        <v>0</v>
      </c>
      <c r="O30" s="241" t="s">
        <v>400</v>
      </c>
      <c r="P30" s="247">
        <v>42814</v>
      </c>
      <c r="Q30" s="727"/>
      <c r="R30" s="241">
        <f t="shared" si="0"/>
        <v>5500000</v>
      </c>
      <c r="S30" s="241">
        <v>0</v>
      </c>
      <c r="T30" s="249">
        <f t="shared" si="19"/>
        <v>5500000</v>
      </c>
      <c r="U30" s="250">
        <f t="shared" si="20"/>
        <v>458333.33333333331</v>
      </c>
      <c r="V30" s="250">
        <f t="shared" si="21"/>
        <v>1127500</v>
      </c>
      <c r="W30" s="250">
        <f t="shared" si="22"/>
        <v>55000</v>
      </c>
      <c r="X30" s="250">
        <f>$X$4/12</f>
        <v>83333.333333333328</v>
      </c>
      <c r="Y30" s="250">
        <f t="shared" si="23"/>
        <v>110000</v>
      </c>
      <c r="Z30" s="251">
        <f t="shared" si="24"/>
        <v>38325</v>
      </c>
      <c r="AA30" s="252">
        <v>0</v>
      </c>
      <c r="AB30" s="249"/>
      <c r="AC30" s="249"/>
      <c r="AD30" s="251">
        <f>SUM(T30:AC30)+AE30</f>
        <v>7372491.666666666</v>
      </c>
      <c r="AE30" s="253"/>
      <c r="AF30" s="251"/>
      <c r="AG30" s="242"/>
      <c r="AH30" s="773"/>
    </row>
    <row r="31" spans="1:37" s="254" customFormat="1" ht="15.75" customHeight="1" outlineLevel="1" x14ac:dyDescent="0.35">
      <c r="A31" s="747"/>
      <c r="B31" s="747"/>
      <c r="C31" s="748" t="s">
        <v>79</v>
      </c>
      <c r="D31" s="749" t="s">
        <v>959</v>
      </c>
      <c r="E31" s="776"/>
      <c r="F31" s="776"/>
      <c r="G31" s="777"/>
      <c r="H31" s="747"/>
      <c r="I31" s="747"/>
      <c r="J31" s="748" t="s">
        <v>79</v>
      </c>
      <c r="K31" s="749" t="s">
        <v>959</v>
      </c>
      <c r="L31" s="776"/>
      <c r="M31" s="776"/>
      <c r="N31" s="777"/>
      <c r="O31" s="749" t="s">
        <v>959</v>
      </c>
      <c r="P31" s="757"/>
      <c r="Q31" s="758"/>
      <c r="R31" s="756"/>
      <c r="S31" s="756"/>
      <c r="T31" s="759"/>
      <c r="U31" s="760"/>
      <c r="V31" s="760"/>
      <c r="W31" s="760"/>
      <c r="X31" s="760"/>
      <c r="Y31" s="760"/>
      <c r="Z31" s="761"/>
      <c r="AA31" s="762"/>
      <c r="AB31" s="763"/>
      <c r="AC31" s="763"/>
      <c r="AD31" s="761"/>
      <c r="AE31" s="764"/>
      <c r="AF31" s="765"/>
      <c r="AH31" s="891"/>
    </row>
    <row r="32" spans="1:37" s="244" customFormat="1" ht="15.75" customHeight="1" outlineLevel="1" x14ac:dyDescent="0.25">
      <c r="A32" s="726">
        <v>18</v>
      </c>
      <c r="B32" s="726">
        <v>1</v>
      </c>
      <c r="C32" s="728" t="s">
        <v>416</v>
      </c>
      <c r="D32" s="241" t="s">
        <v>942</v>
      </c>
      <c r="E32" s="248">
        <v>38000000</v>
      </c>
      <c r="F32" s="248">
        <v>0</v>
      </c>
      <c r="G32" s="775">
        <v>500000</v>
      </c>
      <c r="H32" s="790">
        <v>19</v>
      </c>
      <c r="I32" s="790">
        <v>1</v>
      </c>
      <c r="J32" s="791" t="s">
        <v>416</v>
      </c>
      <c r="K32" s="792" t="s">
        <v>942</v>
      </c>
      <c r="L32" s="793">
        <v>38000000</v>
      </c>
      <c r="M32" s="793">
        <v>0</v>
      </c>
      <c r="N32" s="794">
        <v>500000</v>
      </c>
      <c r="O32" s="241" t="s">
        <v>417</v>
      </c>
      <c r="P32" s="247">
        <v>42975</v>
      </c>
      <c r="Q32" s="727"/>
      <c r="R32" s="241">
        <f t="shared" si="0"/>
        <v>38000000</v>
      </c>
      <c r="S32" s="241">
        <v>0</v>
      </c>
      <c r="T32" s="249">
        <f t="shared" ref="T32:T46" si="25">SUM(R32:S32)</f>
        <v>38000000</v>
      </c>
      <c r="U32" s="250">
        <f t="shared" ref="U32:U46" si="26">R32/12</f>
        <v>3166666.6666666665</v>
      </c>
      <c r="V32" s="250">
        <f t="shared" ref="V32:V46" si="27">IF(T32&gt;26000000,26000000*20.5%,T32*20.5%)</f>
        <v>5330000</v>
      </c>
      <c r="W32" s="250">
        <f t="shared" ref="W32:W46" si="28">IF(T32&gt;75000000,75000000*1%,T32*1%)</f>
        <v>380000</v>
      </c>
      <c r="X32" s="250">
        <f t="shared" ref="X32:X46" si="29">$X$4/12</f>
        <v>83333.333333333328</v>
      </c>
      <c r="Y32" s="250">
        <f t="shared" ref="Y32:Y46" si="30">IF(T32&gt;26000000,26000000*2%,T32*2%)</f>
        <v>520000</v>
      </c>
      <c r="Z32" s="251">
        <f t="shared" ref="Z32:Z46" si="31">(T32*30*0.09%+T32*3*0.36%+0.6%*42000000)/12</f>
        <v>140700</v>
      </c>
      <c r="AA32" s="252">
        <v>500000</v>
      </c>
      <c r="AB32" s="249"/>
      <c r="AC32" s="249"/>
      <c r="AD32" s="251">
        <f t="shared" ref="AD32:AD46" si="32">SUM(T32:AC32)+AE32</f>
        <v>48120700</v>
      </c>
      <c r="AE32" s="253"/>
      <c r="AF32" s="251"/>
      <c r="AG32" s="242"/>
      <c r="AH32" s="773"/>
    </row>
    <row r="33" spans="1:58" s="245" customFormat="1" ht="15.75" customHeight="1" outlineLevel="1" x14ac:dyDescent="0.35">
      <c r="A33" s="726">
        <v>19</v>
      </c>
      <c r="B33" s="726">
        <f>B32+1</f>
        <v>2</v>
      </c>
      <c r="C33" s="240" t="s">
        <v>392</v>
      </c>
      <c r="D33" s="241" t="s">
        <v>923</v>
      </c>
      <c r="E33" s="248">
        <v>12500000</v>
      </c>
      <c r="F33" s="248">
        <v>1200000</v>
      </c>
      <c r="G33" s="775">
        <v>300000</v>
      </c>
      <c r="H33" s="790">
        <f>H32+1</f>
        <v>20</v>
      </c>
      <c r="I33" s="790">
        <f>I32+1</f>
        <v>2</v>
      </c>
      <c r="J33" s="795" t="s">
        <v>392</v>
      </c>
      <c r="K33" s="792" t="s">
        <v>923</v>
      </c>
      <c r="L33" s="793">
        <v>12500000</v>
      </c>
      <c r="M33" s="793">
        <v>1200000</v>
      </c>
      <c r="N33" s="794">
        <v>300000</v>
      </c>
      <c r="O33" s="241" t="s">
        <v>393</v>
      </c>
      <c r="P33" s="247">
        <v>41295</v>
      </c>
      <c r="Q33" s="727"/>
      <c r="R33" s="241">
        <f t="shared" si="0"/>
        <v>12500000</v>
      </c>
      <c r="S33" s="241">
        <v>1200000</v>
      </c>
      <c r="T33" s="249">
        <f t="shared" si="25"/>
        <v>13700000</v>
      </c>
      <c r="U33" s="250">
        <f t="shared" si="26"/>
        <v>1041666.6666666666</v>
      </c>
      <c r="V33" s="250">
        <f t="shared" si="27"/>
        <v>2808500</v>
      </c>
      <c r="W33" s="250">
        <f t="shared" si="28"/>
        <v>137000</v>
      </c>
      <c r="X33" s="250">
        <f t="shared" si="29"/>
        <v>83333.333333333328</v>
      </c>
      <c r="Y33" s="250">
        <f t="shared" si="30"/>
        <v>274000</v>
      </c>
      <c r="Z33" s="251">
        <f t="shared" si="31"/>
        <v>64155</v>
      </c>
      <c r="AA33" s="252">
        <v>300000</v>
      </c>
      <c r="AB33" s="249"/>
      <c r="AC33" s="249"/>
      <c r="AD33" s="251">
        <f t="shared" si="32"/>
        <v>18408654.999999996</v>
      </c>
      <c r="AE33" s="253"/>
      <c r="AF33" s="251"/>
      <c r="AG33" s="242"/>
      <c r="AH33" s="773"/>
    </row>
    <row r="34" spans="1:58" s="244" customFormat="1" ht="15.75" customHeight="1" outlineLevel="1" x14ac:dyDescent="0.35">
      <c r="A34" s="726">
        <v>20</v>
      </c>
      <c r="B34" s="726">
        <f t="shared" ref="B34:B45" si="33">B33+1</f>
        <v>3</v>
      </c>
      <c r="C34" s="240" t="s">
        <v>383</v>
      </c>
      <c r="D34" s="241" t="s">
        <v>918</v>
      </c>
      <c r="E34" s="248">
        <v>10500000</v>
      </c>
      <c r="F34" s="248">
        <v>800000</v>
      </c>
      <c r="G34" s="775">
        <v>200000</v>
      </c>
      <c r="H34" s="790">
        <f t="shared" ref="H34:H46" si="34">H33+1</f>
        <v>21</v>
      </c>
      <c r="I34" s="790">
        <f t="shared" ref="I34:I46" si="35">I33+1</f>
        <v>3</v>
      </c>
      <c r="J34" s="795" t="s">
        <v>383</v>
      </c>
      <c r="K34" s="792" t="s">
        <v>918</v>
      </c>
      <c r="L34" s="793">
        <v>10500000</v>
      </c>
      <c r="M34" s="793">
        <v>800000</v>
      </c>
      <c r="N34" s="794">
        <v>200000</v>
      </c>
      <c r="O34" s="241" t="s">
        <v>384</v>
      </c>
      <c r="P34" s="247">
        <v>40770</v>
      </c>
      <c r="Q34" s="727"/>
      <c r="R34" s="241">
        <f t="shared" si="0"/>
        <v>10500000</v>
      </c>
      <c r="S34" s="241">
        <v>800000</v>
      </c>
      <c r="T34" s="249">
        <f t="shared" si="25"/>
        <v>11300000</v>
      </c>
      <c r="U34" s="250">
        <f t="shared" si="26"/>
        <v>875000</v>
      </c>
      <c r="V34" s="250">
        <f t="shared" si="27"/>
        <v>2316500</v>
      </c>
      <c r="W34" s="250">
        <f t="shared" si="28"/>
        <v>113000</v>
      </c>
      <c r="X34" s="250">
        <f t="shared" si="29"/>
        <v>83333.333333333328</v>
      </c>
      <c r="Y34" s="250">
        <f t="shared" si="30"/>
        <v>226000</v>
      </c>
      <c r="Z34" s="251">
        <f t="shared" si="31"/>
        <v>56595</v>
      </c>
      <c r="AA34" s="252">
        <v>200000</v>
      </c>
      <c r="AB34" s="249"/>
      <c r="AC34" s="249"/>
      <c r="AD34" s="251">
        <f t="shared" si="32"/>
        <v>15170428.333333334</v>
      </c>
      <c r="AE34" s="253"/>
      <c r="AF34" s="251"/>
      <c r="AG34" s="242"/>
      <c r="AH34" s="773"/>
    </row>
    <row r="35" spans="1:58" s="245" customFormat="1" ht="15.75" customHeight="1" outlineLevel="1" x14ac:dyDescent="0.35">
      <c r="A35" s="726">
        <v>21</v>
      </c>
      <c r="B35" s="726">
        <f t="shared" si="33"/>
        <v>4</v>
      </c>
      <c r="C35" s="240" t="s">
        <v>389</v>
      </c>
      <c r="D35" s="241" t="s">
        <v>921</v>
      </c>
      <c r="E35" s="248">
        <v>6300000</v>
      </c>
      <c r="F35" s="248">
        <v>0</v>
      </c>
      <c r="G35" s="775">
        <v>0</v>
      </c>
      <c r="H35" s="790">
        <f t="shared" si="34"/>
        <v>22</v>
      </c>
      <c r="I35" s="790">
        <f t="shared" si="35"/>
        <v>4</v>
      </c>
      <c r="J35" s="795" t="s">
        <v>389</v>
      </c>
      <c r="K35" s="792" t="s">
        <v>921</v>
      </c>
      <c r="L35" s="793">
        <v>6300000</v>
      </c>
      <c r="M35" s="793">
        <v>0</v>
      </c>
      <c r="N35" s="794">
        <v>0</v>
      </c>
      <c r="O35" s="241" t="s">
        <v>390</v>
      </c>
      <c r="P35" s="247">
        <v>41091</v>
      </c>
      <c r="Q35" s="727"/>
      <c r="R35" s="241">
        <f t="shared" si="0"/>
        <v>6300000</v>
      </c>
      <c r="S35" s="241">
        <v>0</v>
      </c>
      <c r="T35" s="249">
        <f t="shared" ref="T35:T41" si="36">SUM(R35:S35)</f>
        <v>6300000</v>
      </c>
      <c r="U35" s="250">
        <f t="shared" ref="U35:U40" si="37">R35/12</f>
        <v>525000</v>
      </c>
      <c r="V35" s="250">
        <f t="shared" ref="V35:V40" si="38">IF(T35&gt;26000000,26000000*20.5%,T35*20.5%)</f>
        <v>1291500</v>
      </c>
      <c r="W35" s="250">
        <f t="shared" ref="W35:W40" si="39">IF(T35&gt;75000000,75000000*1%,T35*1%)</f>
        <v>63000</v>
      </c>
      <c r="X35" s="250">
        <f t="shared" si="29"/>
        <v>83333.333333333328</v>
      </c>
      <c r="Y35" s="250">
        <f t="shared" ref="Y35:Y40" si="40">IF(T35&gt;26000000,26000000*2%,T35*2%)</f>
        <v>126000</v>
      </c>
      <c r="Z35" s="251">
        <f t="shared" ref="Z35:Z40" si="41">(T35*30*0.09%+T35*3*0.36%+0.6%*42000000)/12</f>
        <v>40845</v>
      </c>
      <c r="AA35" s="252">
        <v>0</v>
      </c>
      <c r="AB35" s="249"/>
      <c r="AC35" s="249"/>
      <c r="AD35" s="251">
        <f t="shared" si="32"/>
        <v>8429678.3333333321</v>
      </c>
      <c r="AE35" s="253"/>
      <c r="AF35" s="251"/>
      <c r="AG35" s="242"/>
      <c r="AH35" s="773"/>
    </row>
    <row r="36" spans="1:58" s="245" customFormat="1" ht="15.75" customHeight="1" outlineLevel="1" x14ac:dyDescent="0.35">
      <c r="A36" s="726">
        <v>22</v>
      </c>
      <c r="B36" s="726">
        <f t="shared" si="33"/>
        <v>5</v>
      </c>
      <c r="C36" s="240" t="s">
        <v>395</v>
      </c>
      <c r="D36" s="241" t="s">
        <v>925</v>
      </c>
      <c r="E36" s="248">
        <v>6300000</v>
      </c>
      <c r="F36" s="248">
        <v>0</v>
      </c>
      <c r="G36" s="775">
        <v>0</v>
      </c>
      <c r="H36" s="790">
        <f t="shared" si="34"/>
        <v>23</v>
      </c>
      <c r="I36" s="790">
        <f t="shared" si="35"/>
        <v>5</v>
      </c>
      <c r="J36" s="795" t="s">
        <v>395</v>
      </c>
      <c r="K36" s="792" t="s">
        <v>925</v>
      </c>
      <c r="L36" s="793">
        <v>6300000</v>
      </c>
      <c r="M36" s="793">
        <v>0</v>
      </c>
      <c r="N36" s="794">
        <v>0</v>
      </c>
      <c r="O36" s="241" t="s">
        <v>390</v>
      </c>
      <c r="P36" s="247">
        <v>41533</v>
      </c>
      <c r="Q36" s="727"/>
      <c r="R36" s="241">
        <f t="shared" si="0"/>
        <v>6300000</v>
      </c>
      <c r="S36" s="241">
        <v>0</v>
      </c>
      <c r="T36" s="249">
        <f t="shared" si="36"/>
        <v>6300000</v>
      </c>
      <c r="U36" s="250">
        <f t="shared" si="37"/>
        <v>525000</v>
      </c>
      <c r="V36" s="250">
        <f t="shared" si="38"/>
        <v>1291500</v>
      </c>
      <c r="W36" s="250">
        <f t="shared" si="39"/>
        <v>63000</v>
      </c>
      <c r="X36" s="250">
        <f t="shared" si="29"/>
        <v>83333.333333333328</v>
      </c>
      <c r="Y36" s="250">
        <f t="shared" si="40"/>
        <v>126000</v>
      </c>
      <c r="Z36" s="251">
        <f t="shared" si="41"/>
        <v>40845</v>
      </c>
      <c r="AA36" s="252">
        <v>0</v>
      </c>
      <c r="AB36" s="249"/>
      <c r="AC36" s="249"/>
      <c r="AD36" s="251">
        <f t="shared" si="32"/>
        <v>8429678.3333333321</v>
      </c>
      <c r="AE36" s="253"/>
      <c r="AF36" s="251"/>
      <c r="AG36" s="242"/>
      <c r="AH36" s="773"/>
    </row>
    <row r="37" spans="1:58" s="244" customFormat="1" ht="15.75" customHeight="1" outlineLevel="1" x14ac:dyDescent="0.25">
      <c r="A37" s="726">
        <v>23</v>
      </c>
      <c r="B37" s="726">
        <f t="shared" si="33"/>
        <v>6</v>
      </c>
      <c r="C37" s="728" t="s">
        <v>418</v>
      </c>
      <c r="D37" s="241" t="s">
        <v>943</v>
      </c>
      <c r="E37" s="248">
        <v>6300000</v>
      </c>
      <c r="F37" s="248">
        <v>0</v>
      </c>
      <c r="G37" s="775">
        <v>0</v>
      </c>
      <c r="H37" s="790">
        <f t="shared" si="34"/>
        <v>24</v>
      </c>
      <c r="I37" s="790">
        <f t="shared" si="35"/>
        <v>6</v>
      </c>
      <c r="J37" s="791" t="s">
        <v>418</v>
      </c>
      <c r="K37" s="792" t="s">
        <v>943</v>
      </c>
      <c r="L37" s="793">
        <v>6300000</v>
      </c>
      <c r="M37" s="793">
        <v>0</v>
      </c>
      <c r="N37" s="794">
        <v>0</v>
      </c>
      <c r="O37" s="241" t="s">
        <v>406</v>
      </c>
      <c r="P37" s="247">
        <v>42954</v>
      </c>
      <c r="Q37" s="727"/>
      <c r="R37" s="241">
        <f t="shared" si="0"/>
        <v>6300000</v>
      </c>
      <c r="S37" s="241">
        <v>0</v>
      </c>
      <c r="T37" s="249">
        <f t="shared" si="36"/>
        <v>6300000</v>
      </c>
      <c r="U37" s="250">
        <f t="shared" si="37"/>
        <v>525000</v>
      </c>
      <c r="V37" s="250">
        <f t="shared" si="38"/>
        <v>1291500</v>
      </c>
      <c r="W37" s="250">
        <f t="shared" si="39"/>
        <v>63000</v>
      </c>
      <c r="X37" s="250">
        <f t="shared" si="29"/>
        <v>83333.333333333328</v>
      </c>
      <c r="Y37" s="250">
        <f t="shared" si="40"/>
        <v>126000</v>
      </c>
      <c r="Z37" s="251">
        <f t="shared" si="41"/>
        <v>40845</v>
      </c>
      <c r="AA37" s="252">
        <v>0</v>
      </c>
      <c r="AB37" s="249"/>
      <c r="AC37" s="249"/>
      <c r="AD37" s="251">
        <f t="shared" si="32"/>
        <v>8429678.3333333321</v>
      </c>
      <c r="AE37" s="253"/>
      <c r="AF37" s="251"/>
      <c r="AG37" s="242"/>
      <c r="AH37" s="773"/>
    </row>
    <row r="38" spans="1:58" s="245" customFormat="1" ht="15.75" customHeight="1" outlineLevel="1" x14ac:dyDescent="0.35">
      <c r="A38" s="726">
        <v>24</v>
      </c>
      <c r="B38" s="726">
        <f t="shared" si="33"/>
        <v>7</v>
      </c>
      <c r="C38" s="240" t="s">
        <v>408</v>
      </c>
      <c r="D38" s="241" t="s">
        <v>934</v>
      </c>
      <c r="E38" s="248">
        <v>6300000</v>
      </c>
      <c r="F38" s="248">
        <v>0</v>
      </c>
      <c r="G38" s="775">
        <v>0</v>
      </c>
      <c r="H38" s="790">
        <f t="shared" si="34"/>
        <v>25</v>
      </c>
      <c r="I38" s="790">
        <f t="shared" si="35"/>
        <v>7</v>
      </c>
      <c r="J38" s="795" t="s">
        <v>408</v>
      </c>
      <c r="K38" s="792" t="s">
        <v>934</v>
      </c>
      <c r="L38" s="793">
        <v>6300000</v>
      </c>
      <c r="M38" s="793">
        <v>0</v>
      </c>
      <c r="N38" s="794">
        <v>0</v>
      </c>
      <c r="O38" s="241" t="s">
        <v>406</v>
      </c>
      <c r="P38" s="247">
        <v>42576</v>
      </c>
      <c r="Q38" s="727"/>
      <c r="R38" s="241">
        <f t="shared" si="0"/>
        <v>6300000</v>
      </c>
      <c r="S38" s="241">
        <v>0</v>
      </c>
      <c r="T38" s="249">
        <f t="shared" si="36"/>
        <v>6300000</v>
      </c>
      <c r="U38" s="250">
        <f t="shared" si="37"/>
        <v>525000</v>
      </c>
      <c r="V38" s="250">
        <f t="shared" si="38"/>
        <v>1291500</v>
      </c>
      <c r="W38" s="250">
        <f t="shared" si="39"/>
        <v>63000</v>
      </c>
      <c r="X38" s="250">
        <f t="shared" si="29"/>
        <v>83333.333333333328</v>
      </c>
      <c r="Y38" s="250">
        <f t="shared" si="40"/>
        <v>126000</v>
      </c>
      <c r="Z38" s="251">
        <f t="shared" si="41"/>
        <v>40845</v>
      </c>
      <c r="AA38" s="252">
        <v>0</v>
      </c>
      <c r="AB38" s="249"/>
      <c r="AC38" s="249"/>
      <c r="AD38" s="251">
        <f t="shared" si="32"/>
        <v>8429678.3333333321</v>
      </c>
      <c r="AE38" s="253"/>
      <c r="AF38" s="251"/>
      <c r="AG38" s="242"/>
      <c r="AH38" s="773"/>
    </row>
    <row r="39" spans="1:58" s="245" customFormat="1" ht="15.75" customHeight="1" outlineLevel="1" x14ac:dyDescent="0.35">
      <c r="A39" s="726">
        <v>25</v>
      </c>
      <c r="B39" s="726">
        <f t="shared" si="33"/>
        <v>8</v>
      </c>
      <c r="C39" s="240" t="s">
        <v>391</v>
      </c>
      <c r="D39" s="241" t="s">
        <v>922</v>
      </c>
      <c r="E39" s="248">
        <v>8400000</v>
      </c>
      <c r="F39" s="248">
        <v>0</v>
      </c>
      <c r="G39" s="775">
        <v>0</v>
      </c>
      <c r="H39" s="790">
        <f t="shared" si="34"/>
        <v>26</v>
      </c>
      <c r="I39" s="790">
        <f t="shared" si="35"/>
        <v>8</v>
      </c>
      <c r="J39" s="795" t="s">
        <v>391</v>
      </c>
      <c r="K39" s="792" t="s">
        <v>922</v>
      </c>
      <c r="L39" s="793">
        <v>8400000</v>
      </c>
      <c r="M39" s="793">
        <v>0</v>
      </c>
      <c r="N39" s="794">
        <v>0</v>
      </c>
      <c r="O39" s="241" t="s">
        <v>386</v>
      </c>
      <c r="P39" s="247">
        <v>41276</v>
      </c>
      <c r="Q39" s="727"/>
      <c r="R39" s="241">
        <f t="shared" si="0"/>
        <v>8400000</v>
      </c>
      <c r="S39" s="241">
        <v>0</v>
      </c>
      <c r="T39" s="249">
        <f t="shared" si="36"/>
        <v>8400000</v>
      </c>
      <c r="U39" s="250">
        <f t="shared" si="37"/>
        <v>700000</v>
      </c>
      <c r="V39" s="250">
        <f t="shared" si="38"/>
        <v>1722000</v>
      </c>
      <c r="W39" s="250">
        <f t="shared" si="39"/>
        <v>84000</v>
      </c>
      <c r="X39" s="250">
        <f t="shared" si="29"/>
        <v>83333.333333333328</v>
      </c>
      <c r="Y39" s="250">
        <f t="shared" si="40"/>
        <v>168000</v>
      </c>
      <c r="Z39" s="251">
        <f t="shared" si="41"/>
        <v>47460</v>
      </c>
      <c r="AA39" s="252">
        <v>0</v>
      </c>
      <c r="AB39" s="249"/>
      <c r="AC39" s="249"/>
      <c r="AD39" s="251">
        <f t="shared" si="32"/>
        <v>11204793.333333334</v>
      </c>
      <c r="AE39" s="253"/>
      <c r="AF39" s="251"/>
      <c r="AG39" s="242"/>
      <c r="AH39" s="773"/>
    </row>
    <row r="40" spans="1:58" s="245" customFormat="1" ht="15.75" customHeight="1" outlineLevel="1" x14ac:dyDescent="0.35">
      <c r="A40" s="726">
        <v>26</v>
      </c>
      <c r="B40" s="726">
        <f t="shared" si="33"/>
        <v>9</v>
      </c>
      <c r="C40" s="240" t="s">
        <v>405</v>
      </c>
      <c r="D40" s="241" t="s">
        <v>932</v>
      </c>
      <c r="E40" s="248">
        <v>6300000</v>
      </c>
      <c r="F40" s="248">
        <v>0</v>
      </c>
      <c r="G40" s="775">
        <v>0</v>
      </c>
      <c r="H40" s="790">
        <f t="shared" si="34"/>
        <v>27</v>
      </c>
      <c r="I40" s="790">
        <f t="shared" si="35"/>
        <v>9</v>
      </c>
      <c r="J40" s="795" t="s">
        <v>405</v>
      </c>
      <c r="K40" s="792" t="s">
        <v>932</v>
      </c>
      <c r="L40" s="793">
        <v>6300000</v>
      </c>
      <c r="M40" s="793">
        <v>0</v>
      </c>
      <c r="N40" s="794">
        <v>0</v>
      </c>
      <c r="O40" s="241" t="s">
        <v>406</v>
      </c>
      <c r="P40" s="247">
        <v>42485</v>
      </c>
      <c r="Q40" s="727"/>
      <c r="R40" s="241">
        <f t="shared" si="0"/>
        <v>6300000</v>
      </c>
      <c r="S40" s="241">
        <v>0</v>
      </c>
      <c r="T40" s="249">
        <f t="shared" si="36"/>
        <v>6300000</v>
      </c>
      <c r="U40" s="250">
        <f t="shared" si="37"/>
        <v>525000</v>
      </c>
      <c r="V40" s="250">
        <f t="shared" si="38"/>
        <v>1291500</v>
      </c>
      <c r="W40" s="250">
        <f t="shared" si="39"/>
        <v>63000</v>
      </c>
      <c r="X40" s="250">
        <f t="shared" si="29"/>
        <v>83333.333333333328</v>
      </c>
      <c r="Y40" s="250">
        <f t="shared" si="40"/>
        <v>126000</v>
      </c>
      <c r="Z40" s="251">
        <f t="shared" si="41"/>
        <v>40845</v>
      </c>
      <c r="AA40" s="252">
        <v>0</v>
      </c>
      <c r="AB40" s="249"/>
      <c r="AC40" s="249"/>
      <c r="AD40" s="251">
        <f t="shared" si="32"/>
        <v>8429678.3333333321</v>
      </c>
      <c r="AE40" s="253"/>
      <c r="AF40" s="251"/>
      <c r="AG40" s="242"/>
      <c r="AH40" s="773"/>
    </row>
    <row r="41" spans="1:58" s="244" customFormat="1" ht="15.75" customHeight="1" outlineLevel="1" x14ac:dyDescent="0.35">
      <c r="A41" s="726">
        <v>27</v>
      </c>
      <c r="B41" s="726">
        <f t="shared" si="33"/>
        <v>10</v>
      </c>
      <c r="C41" s="240" t="s">
        <v>385</v>
      </c>
      <c r="D41" s="241" t="s">
        <v>919</v>
      </c>
      <c r="E41" s="248">
        <v>8200000</v>
      </c>
      <c r="F41" s="248">
        <v>0</v>
      </c>
      <c r="G41" s="775">
        <v>0</v>
      </c>
      <c r="H41" s="790">
        <f t="shared" si="34"/>
        <v>28</v>
      </c>
      <c r="I41" s="790">
        <f t="shared" si="35"/>
        <v>10</v>
      </c>
      <c r="J41" s="795" t="s">
        <v>385</v>
      </c>
      <c r="K41" s="792" t="s">
        <v>919</v>
      </c>
      <c r="L41" s="793">
        <v>8200000</v>
      </c>
      <c r="M41" s="793">
        <v>0</v>
      </c>
      <c r="N41" s="794">
        <v>0</v>
      </c>
      <c r="O41" s="241" t="s">
        <v>386</v>
      </c>
      <c r="P41" s="247">
        <v>40801</v>
      </c>
      <c r="Q41" s="727"/>
      <c r="R41" s="241">
        <f t="shared" si="0"/>
        <v>8200000</v>
      </c>
      <c r="S41" s="241">
        <v>0</v>
      </c>
      <c r="T41" s="249">
        <f t="shared" si="36"/>
        <v>8200000</v>
      </c>
      <c r="U41" s="250">
        <f t="shared" si="26"/>
        <v>683333.33333333337</v>
      </c>
      <c r="V41" s="250">
        <f t="shared" si="27"/>
        <v>1681000</v>
      </c>
      <c r="W41" s="250">
        <f t="shared" si="28"/>
        <v>82000</v>
      </c>
      <c r="X41" s="250">
        <f t="shared" si="29"/>
        <v>83333.333333333328</v>
      </c>
      <c r="Y41" s="250">
        <f t="shared" si="30"/>
        <v>164000</v>
      </c>
      <c r="Z41" s="251">
        <f t="shared" si="31"/>
        <v>46830</v>
      </c>
      <c r="AA41" s="252">
        <v>0</v>
      </c>
      <c r="AB41" s="249"/>
      <c r="AC41" s="249"/>
      <c r="AD41" s="251">
        <f t="shared" si="32"/>
        <v>10940496.666666668</v>
      </c>
      <c r="AE41" s="253"/>
      <c r="AF41" s="251"/>
      <c r="AG41" s="242"/>
      <c r="AH41" s="773"/>
    </row>
    <row r="42" spans="1:58" s="246" customFormat="1" ht="15.75" customHeight="1" outlineLevel="1" x14ac:dyDescent="0.35">
      <c r="A42" s="726">
        <v>28</v>
      </c>
      <c r="B42" s="726">
        <f t="shared" si="33"/>
        <v>11</v>
      </c>
      <c r="C42" s="240" t="s">
        <v>396</v>
      </c>
      <c r="D42" s="241" t="s">
        <v>926</v>
      </c>
      <c r="E42" s="248">
        <v>6300000</v>
      </c>
      <c r="F42" s="248">
        <v>0</v>
      </c>
      <c r="G42" s="775">
        <v>0</v>
      </c>
      <c r="H42" s="790">
        <f t="shared" si="34"/>
        <v>29</v>
      </c>
      <c r="I42" s="790">
        <f t="shared" si="35"/>
        <v>11</v>
      </c>
      <c r="J42" s="795" t="s">
        <v>396</v>
      </c>
      <c r="K42" s="792" t="s">
        <v>926</v>
      </c>
      <c r="L42" s="793">
        <v>6300000</v>
      </c>
      <c r="M42" s="793">
        <v>0</v>
      </c>
      <c r="N42" s="794">
        <v>0</v>
      </c>
      <c r="O42" s="241" t="s">
        <v>390</v>
      </c>
      <c r="P42" s="247">
        <v>41548</v>
      </c>
      <c r="Q42" s="727"/>
      <c r="R42" s="241">
        <f t="shared" si="0"/>
        <v>6300000</v>
      </c>
      <c r="S42" s="241">
        <v>0</v>
      </c>
      <c r="T42" s="249">
        <f>SUM(R42:S42)</f>
        <v>6300000</v>
      </c>
      <c r="U42" s="250">
        <f>R42/12</f>
        <v>525000</v>
      </c>
      <c r="V42" s="250">
        <f>IF(T42&gt;26000000,26000000*20.5%,T42*20.5%)</f>
        <v>1291500</v>
      </c>
      <c r="W42" s="250">
        <f>IF(T42&gt;75000000,75000000*1%,T42*1%)</f>
        <v>63000</v>
      </c>
      <c r="X42" s="250">
        <f t="shared" si="29"/>
        <v>83333.333333333328</v>
      </c>
      <c r="Y42" s="250">
        <f>IF(T42&gt;26000000,26000000*2%,T42*2%)</f>
        <v>126000</v>
      </c>
      <c r="Z42" s="251">
        <f>(T42*30*0.09%+T42*3*0.36%+0.6%*42000000)/12</f>
        <v>40845</v>
      </c>
      <c r="AA42" s="252">
        <v>0</v>
      </c>
      <c r="AB42" s="249"/>
      <c r="AC42" s="249"/>
      <c r="AD42" s="251">
        <f t="shared" si="32"/>
        <v>8429678.3333333321</v>
      </c>
      <c r="AE42" s="253"/>
      <c r="AF42" s="251"/>
      <c r="AG42" s="242"/>
      <c r="AH42" s="773"/>
      <c r="AI42" s="245"/>
      <c r="AJ42" s="245"/>
      <c r="AK42" s="245"/>
      <c r="AL42" s="245"/>
      <c r="AM42" s="245"/>
      <c r="AN42" s="245"/>
      <c r="AO42" s="245"/>
      <c r="AP42" s="245"/>
      <c r="AQ42" s="245"/>
      <c r="AR42" s="245"/>
      <c r="AS42" s="245"/>
      <c r="AT42" s="245"/>
      <c r="AU42" s="245"/>
      <c r="AV42" s="245"/>
      <c r="AW42" s="245"/>
      <c r="AX42" s="245"/>
      <c r="AY42" s="245"/>
      <c r="AZ42" s="245"/>
      <c r="BA42" s="245"/>
      <c r="BB42" s="245"/>
      <c r="BC42" s="245"/>
      <c r="BD42" s="245"/>
      <c r="BE42" s="245"/>
      <c r="BF42" s="245"/>
    </row>
    <row r="43" spans="1:58" s="245" customFormat="1" ht="15.75" customHeight="1" outlineLevel="1" x14ac:dyDescent="0.35">
      <c r="A43" s="726">
        <v>29</v>
      </c>
      <c r="B43" s="726">
        <f t="shared" si="33"/>
        <v>12</v>
      </c>
      <c r="C43" s="240" t="s">
        <v>394</v>
      </c>
      <c r="D43" s="241" t="s">
        <v>924</v>
      </c>
      <c r="E43" s="248">
        <v>8400000</v>
      </c>
      <c r="F43" s="248">
        <v>0</v>
      </c>
      <c r="G43" s="775">
        <v>0</v>
      </c>
      <c r="H43" s="790">
        <f t="shared" si="34"/>
        <v>30</v>
      </c>
      <c r="I43" s="790">
        <f t="shared" si="35"/>
        <v>12</v>
      </c>
      <c r="J43" s="795" t="s">
        <v>394</v>
      </c>
      <c r="K43" s="792" t="s">
        <v>924</v>
      </c>
      <c r="L43" s="793">
        <v>8400000</v>
      </c>
      <c r="M43" s="793">
        <v>0</v>
      </c>
      <c r="N43" s="794">
        <v>0</v>
      </c>
      <c r="O43" s="241" t="s">
        <v>386</v>
      </c>
      <c r="P43" s="247">
        <v>41487</v>
      </c>
      <c r="Q43" s="727"/>
      <c r="R43" s="241">
        <f t="shared" si="0"/>
        <v>8400000</v>
      </c>
      <c r="S43" s="241">
        <v>0</v>
      </c>
      <c r="T43" s="249">
        <f t="shared" si="25"/>
        <v>8400000</v>
      </c>
      <c r="U43" s="250">
        <f t="shared" si="26"/>
        <v>700000</v>
      </c>
      <c r="V43" s="250">
        <f t="shared" si="27"/>
        <v>1722000</v>
      </c>
      <c r="W43" s="250">
        <f t="shared" si="28"/>
        <v>84000</v>
      </c>
      <c r="X43" s="250">
        <f t="shared" si="29"/>
        <v>83333.333333333328</v>
      </c>
      <c r="Y43" s="250">
        <f t="shared" si="30"/>
        <v>168000</v>
      </c>
      <c r="Z43" s="251">
        <f t="shared" si="31"/>
        <v>47460</v>
      </c>
      <c r="AA43" s="252">
        <v>0</v>
      </c>
      <c r="AB43" s="249"/>
      <c r="AC43" s="249"/>
      <c r="AD43" s="251">
        <f t="shared" si="32"/>
        <v>11204793.333333334</v>
      </c>
      <c r="AE43" s="253"/>
      <c r="AF43" s="251"/>
      <c r="AG43" s="242"/>
      <c r="AH43" s="773"/>
    </row>
    <row r="44" spans="1:58" s="244" customFormat="1" ht="15.75" customHeight="1" outlineLevel="1" x14ac:dyDescent="0.35">
      <c r="A44" s="726">
        <v>30</v>
      </c>
      <c r="B44" s="726">
        <f t="shared" si="33"/>
        <v>13</v>
      </c>
      <c r="C44" s="729" t="s">
        <v>420</v>
      </c>
      <c r="D44" s="241" t="s">
        <v>944</v>
      </c>
      <c r="E44" s="248">
        <v>6300000</v>
      </c>
      <c r="F44" s="248">
        <v>0</v>
      </c>
      <c r="G44" s="775">
        <v>0</v>
      </c>
      <c r="H44" s="790">
        <f t="shared" si="34"/>
        <v>31</v>
      </c>
      <c r="I44" s="790">
        <f t="shared" si="35"/>
        <v>13</v>
      </c>
      <c r="J44" s="798" t="s">
        <v>420</v>
      </c>
      <c r="K44" s="792" t="s">
        <v>944</v>
      </c>
      <c r="L44" s="793">
        <v>6300000</v>
      </c>
      <c r="M44" s="793">
        <v>0</v>
      </c>
      <c r="N44" s="794">
        <v>0</v>
      </c>
      <c r="O44" s="241" t="s">
        <v>406</v>
      </c>
      <c r="P44" s="247">
        <v>42975</v>
      </c>
      <c r="Q44" s="727"/>
      <c r="R44" s="241">
        <f t="shared" si="0"/>
        <v>6300000</v>
      </c>
      <c r="S44" s="241">
        <v>0</v>
      </c>
      <c r="T44" s="249">
        <f>SUM(R44:S44)</f>
        <v>6300000</v>
      </c>
      <c r="U44" s="250">
        <f>R44/12</f>
        <v>525000</v>
      </c>
      <c r="V44" s="250">
        <f>IF(T44&gt;26000000,26000000*20.5%,T44*20.5%)</f>
        <v>1291500</v>
      </c>
      <c r="W44" s="250">
        <f>IF(T44&gt;75000000,75000000*1%,T44*1%)</f>
        <v>63000</v>
      </c>
      <c r="X44" s="250">
        <f t="shared" si="29"/>
        <v>83333.333333333328</v>
      </c>
      <c r="Y44" s="250">
        <f>IF(T44&gt;26000000,26000000*2%,T44*2%)</f>
        <v>126000</v>
      </c>
      <c r="Z44" s="251">
        <f>(T44*30*0.09%+T44*3*0.36%+0.6%*42000000)/12</f>
        <v>40845</v>
      </c>
      <c r="AA44" s="252">
        <v>0</v>
      </c>
      <c r="AB44" s="249"/>
      <c r="AC44" s="249"/>
      <c r="AD44" s="251">
        <f t="shared" si="32"/>
        <v>8429678.3333333321</v>
      </c>
      <c r="AE44" s="253"/>
      <c r="AF44" s="251"/>
      <c r="AG44" s="242"/>
      <c r="AH44" s="773"/>
    </row>
    <row r="45" spans="1:58" s="245" customFormat="1" ht="15.75" customHeight="1" outlineLevel="1" x14ac:dyDescent="0.35">
      <c r="A45" s="743">
        <v>31</v>
      </c>
      <c r="B45" s="743">
        <f t="shared" si="33"/>
        <v>14</v>
      </c>
      <c r="C45" s="240" t="s">
        <v>409</v>
      </c>
      <c r="D45" s="241" t="s">
        <v>937</v>
      </c>
      <c r="E45" s="248">
        <v>8000000</v>
      </c>
      <c r="F45" s="248">
        <v>800000</v>
      </c>
      <c r="G45" s="775">
        <v>200000</v>
      </c>
      <c r="H45" s="797">
        <f t="shared" si="34"/>
        <v>32</v>
      </c>
      <c r="I45" s="797">
        <f t="shared" si="35"/>
        <v>14</v>
      </c>
      <c r="J45" s="795" t="s">
        <v>409</v>
      </c>
      <c r="K45" s="792" t="s">
        <v>937</v>
      </c>
      <c r="L45" s="793">
        <v>8000000</v>
      </c>
      <c r="M45" s="793">
        <v>800000</v>
      </c>
      <c r="N45" s="794">
        <v>200000</v>
      </c>
      <c r="O45" s="241" t="s">
        <v>386</v>
      </c>
      <c r="P45" s="247">
        <v>42688</v>
      </c>
      <c r="Q45" s="727"/>
      <c r="R45" s="241">
        <f t="shared" si="0"/>
        <v>8000000</v>
      </c>
      <c r="S45" s="241">
        <v>800000</v>
      </c>
      <c r="T45" s="249">
        <f t="shared" si="25"/>
        <v>8800000</v>
      </c>
      <c r="U45" s="250">
        <f t="shared" si="26"/>
        <v>666666.66666666663</v>
      </c>
      <c r="V45" s="250">
        <f t="shared" si="27"/>
        <v>1804000</v>
      </c>
      <c r="W45" s="250">
        <f t="shared" si="28"/>
        <v>88000</v>
      </c>
      <c r="X45" s="250">
        <f t="shared" si="29"/>
        <v>83333.333333333328</v>
      </c>
      <c r="Y45" s="250">
        <f t="shared" si="30"/>
        <v>176000</v>
      </c>
      <c r="Z45" s="251">
        <f t="shared" si="31"/>
        <v>48720</v>
      </c>
      <c r="AA45" s="252">
        <v>200000</v>
      </c>
      <c r="AB45" s="249"/>
      <c r="AC45" s="249"/>
      <c r="AD45" s="251">
        <f t="shared" si="32"/>
        <v>11866720</v>
      </c>
      <c r="AE45" s="253"/>
      <c r="AF45" s="251"/>
      <c r="AG45" s="242"/>
      <c r="AH45" s="773"/>
    </row>
    <row r="46" spans="1:58" s="244" customFormat="1" ht="15.75" customHeight="1" outlineLevel="1" x14ac:dyDescent="0.25">
      <c r="A46" s="726">
        <v>32</v>
      </c>
      <c r="B46" s="726">
        <f>B45+1</f>
        <v>15</v>
      </c>
      <c r="C46" s="728" t="s">
        <v>419</v>
      </c>
      <c r="D46" s="241" t="s">
        <v>945</v>
      </c>
      <c r="E46" s="248">
        <v>6300000</v>
      </c>
      <c r="F46" s="248">
        <v>0</v>
      </c>
      <c r="G46" s="775">
        <v>0</v>
      </c>
      <c r="H46" s="790">
        <f t="shared" si="34"/>
        <v>33</v>
      </c>
      <c r="I46" s="790">
        <f t="shared" si="35"/>
        <v>15</v>
      </c>
      <c r="J46" s="791" t="s">
        <v>419</v>
      </c>
      <c r="K46" s="792" t="s">
        <v>945</v>
      </c>
      <c r="L46" s="793">
        <v>6300000</v>
      </c>
      <c r="M46" s="793">
        <v>0</v>
      </c>
      <c r="N46" s="794">
        <v>0</v>
      </c>
      <c r="O46" s="241" t="s">
        <v>406</v>
      </c>
      <c r="P46" s="247">
        <v>42986</v>
      </c>
      <c r="Q46" s="727"/>
      <c r="R46" s="241">
        <f t="shared" si="0"/>
        <v>6300000</v>
      </c>
      <c r="S46" s="241">
        <v>0</v>
      </c>
      <c r="T46" s="249">
        <f t="shared" si="25"/>
        <v>6300000</v>
      </c>
      <c r="U46" s="250">
        <f t="shared" si="26"/>
        <v>525000</v>
      </c>
      <c r="V46" s="250">
        <f t="shared" si="27"/>
        <v>1291500</v>
      </c>
      <c r="W46" s="250">
        <f t="shared" si="28"/>
        <v>63000</v>
      </c>
      <c r="X46" s="250">
        <f t="shared" si="29"/>
        <v>83333.333333333328</v>
      </c>
      <c r="Y46" s="730">
        <f t="shared" si="30"/>
        <v>126000</v>
      </c>
      <c r="Z46" s="250">
        <f t="shared" si="31"/>
        <v>40845</v>
      </c>
      <c r="AA46" s="252">
        <v>0</v>
      </c>
      <c r="AB46" s="249"/>
      <c r="AC46" s="249"/>
      <c r="AD46" s="251">
        <f t="shared" si="32"/>
        <v>8429678.3333333321</v>
      </c>
      <c r="AE46" s="253"/>
      <c r="AF46" s="251"/>
      <c r="AG46" s="235"/>
      <c r="AH46" s="261"/>
    </row>
    <row r="47" spans="1:58" s="244" customFormat="1" ht="15.75" customHeight="1" x14ac:dyDescent="0.35">
      <c r="A47" s="766"/>
      <c r="B47" s="766"/>
      <c r="C47" s="767"/>
      <c r="D47" s="789" t="s">
        <v>217</v>
      </c>
      <c r="E47" s="788">
        <f>SUM(E8:E46)</f>
        <v>363750000</v>
      </c>
      <c r="F47" s="788">
        <f>SUM(F8:F46)</f>
        <v>3300000</v>
      </c>
      <c r="G47" s="788">
        <f>SUM(G8:G46)</f>
        <v>1500000</v>
      </c>
      <c r="H47" s="1279"/>
      <c r="I47" s="1279"/>
      <c r="J47" s="1280"/>
      <c r="K47" s="1281"/>
      <c r="L47" s="985">
        <f>SUM(L8:L46)</f>
        <v>351200000</v>
      </c>
      <c r="M47" s="985">
        <f>SUM(M8:M46)</f>
        <v>3300000</v>
      </c>
      <c r="N47" s="985">
        <f>SUM(N8:N46)</f>
        <v>1200000</v>
      </c>
      <c r="O47" s="1282"/>
      <c r="P47" s="1283"/>
      <c r="Q47" s="1284"/>
      <c r="R47" s="1285">
        <f>SUM(R8:R46)</f>
        <v>351200000</v>
      </c>
      <c r="S47" s="1285">
        <f>SUM(S8:S46)</f>
        <v>3300000</v>
      </c>
      <c r="T47" s="1285">
        <f>SUM(T8:T46)</f>
        <v>354500000</v>
      </c>
      <c r="U47" s="1286">
        <f t="shared" ref="U47:AC47" si="42">SUM(U8:U46)</f>
        <v>29266666.666666675</v>
      </c>
      <c r="V47" s="1286">
        <f t="shared" si="42"/>
        <v>60167500</v>
      </c>
      <c r="W47" s="1286">
        <f t="shared" si="42"/>
        <v>3545000</v>
      </c>
      <c r="X47" s="1286">
        <f t="shared" si="42"/>
        <v>2750000.0000000005</v>
      </c>
      <c r="Y47" s="1286">
        <f t="shared" si="42"/>
        <v>5870000</v>
      </c>
      <c r="Z47" s="1287">
        <f t="shared" si="42"/>
        <v>1809675</v>
      </c>
      <c r="AA47" s="1285">
        <f t="shared" si="42"/>
        <v>1200000</v>
      </c>
      <c r="AB47" s="1285">
        <f t="shared" si="42"/>
        <v>0</v>
      </c>
      <c r="AC47" s="1285">
        <f t="shared" si="42"/>
        <v>0</v>
      </c>
      <c r="AD47" s="1287">
        <f>SUM(AD8:AD46)</f>
        <v>459108841.66666639</v>
      </c>
      <c r="AE47" s="769"/>
      <c r="AF47" s="768"/>
      <c r="AH47" s="773"/>
    </row>
    <row r="48" spans="1:58" ht="14" x14ac:dyDescent="0.35">
      <c r="A48" s="255"/>
      <c r="B48" s="255"/>
      <c r="C48" s="256"/>
      <c r="D48" s="257"/>
      <c r="E48" s="735"/>
      <c r="F48" s="258"/>
      <c r="G48" s="779"/>
      <c r="H48" s="255"/>
      <c r="I48" s="255"/>
      <c r="J48" s="256"/>
      <c r="K48" s="801" t="s">
        <v>963</v>
      </c>
      <c r="L48" s="802">
        <f>E47+F47+G47-L47-M47-N47</f>
        <v>12850000</v>
      </c>
      <c r="M48" s="258"/>
      <c r="N48" s="779"/>
      <c r="O48" s="257"/>
      <c r="P48" s="236"/>
      <c r="Q48" s="237"/>
      <c r="R48" s="735"/>
      <c r="S48" s="259"/>
      <c r="T48" s="259"/>
      <c r="U48" s="260"/>
      <c r="V48" s="260"/>
      <c r="W48" s="260"/>
      <c r="X48" s="260"/>
      <c r="Y48" s="260"/>
      <c r="Z48" s="261"/>
      <c r="AA48" s="1138" t="s">
        <v>1071</v>
      </c>
      <c r="AB48" s="262"/>
      <c r="AC48" s="1135"/>
      <c r="AD48" s="1136">
        <f>AD47*9%</f>
        <v>41319795.74999997</v>
      </c>
      <c r="AE48" s="263"/>
      <c r="AF48" s="235"/>
    </row>
    <row r="49" spans="1:34" ht="14" x14ac:dyDescent="0.3">
      <c r="A49" s="255"/>
      <c r="B49" s="255"/>
      <c r="C49" s="256"/>
      <c r="D49" s="257"/>
      <c r="E49" s="780"/>
      <c r="F49" s="781"/>
      <c r="G49" s="782"/>
      <c r="H49" s="255"/>
      <c r="I49" s="255"/>
      <c r="J49" s="256"/>
      <c r="K49" s="257"/>
      <c r="L49" s="780"/>
      <c r="M49" s="781"/>
      <c r="N49" s="782"/>
      <c r="O49" s="257"/>
      <c r="P49" s="236"/>
      <c r="Q49" s="265"/>
      <c r="R49" s="736"/>
      <c r="S49" s="266"/>
      <c r="T49" s="267"/>
      <c r="U49" s="737"/>
      <c r="V49" s="738"/>
      <c r="W49" s="739"/>
      <c r="X49" s="739"/>
      <c r="Y49" s="739"/>
      <c r="Z49" s="268"/>
      <c r="AA49" s="1139" t="s">
        <v>1046</v>
      </c>
      <c r="AB49" s="267"/>
      <c r="AC49" s="267"/>
      <c r="AD49" s="1136">
        <f>AD47+AD48</f>
        <v>500428637.41666639</v>
      </c>
      <c r="AE49" s="263"/>
      <c r="AF49" s="235"/>
    </row>
    <row r="50" spans="1:34" ht="5.15" customHeight="1" x14ac:dyDescent="0.35">
      <c r="A50" s="255"/>
      <c r="B50" s="255"/>
      <c r="C50" s="256"/>
      <c r="D50" s="239"/>
      <c r="E50" s="780"/>
      <c r="F50" s="781"/>
      <c r="G50" s="782"/>
      <c r="H50" s="255"/>
      <c r="I50" s="255"/>
      <c r="J50" s="256"/>
      <c r="K50" s="239"/>
      <c r="L50" s="780"/>
      <c r="M50" s="781"/>
      <c r="N50" s="782"/>
      <c r="O50" s="268"/>
      <c r="P50" s="804"/>
      <c r="Q50" s="265"/>
      <c r="R50" s="736"/>
      <c r="S50" s="265"/>
      <c r="T50" s="739"/>
      <c r="U50" s="738"/>
      <c r="W50" s="739"/>
      <c r="X50" s="267"/>
      <c r="Y50" s="267"/>
      <c r="Z50" s="268"/>
      <c r="AA50" s="740"/>
      <c r="AB50" s="267"/>
      <c r="AC50" s="267"/>
      <c r="AD50" s="261"/>
      <c r="AE50" s="263"/>
      <c r="AF50" s="235"/>
    </row>
    <row r="51" spans="1:34" s="1149" customFormat="1" ht="13" x14ac:dyDescent="0.3">
      <c r="A51" s="801"/>
      <c r="B51" s="801"/>
      <c r="C51" s="1140"/>
      <c r="D51" s="886"/>
      <c r="E51" s="887"/>
      <c r="F51" s="1141"/>
      <c r="G51" s="1142"/>
      <c r="H51" s="801"/>
      <c r="I51" s="801"/>
      <c r="J51" s="1140"/>
      <c r="K51" s="886"/>
      <c r="L51" s="887"/>
      <c r="M51" s="1141"/>
      <c r="N51" s="1142"/>
      <c r="O51" s="1156" t="s">
        <v>1015</v>
      </c>
      <c r="P51" s="886"/>
      <c r="Q51" s="886"/>
      <c r="R51" s="890"/>
      <c r="S51" s="1157" t="s">
        <v>1015</v>
      </c>
      <c r="T51" s="1143"/>
      <c r="U51" s="1143"/>
      <c r="V51" s="1144"/>
      <c r="W51" s="1143"/>
      <c r="X51" s="1158" t="s">
        <v>1048</v>
      </c>
      <c r="Y51" s="1145"/>
      <c r="Z51" s="1146"/>
      <c r="AA51" s="1137"/>
      <c r="AB51" s="1145"/>
      <c r="AC51" s="1156" t="s">
        <v>1015</v>
      </c>
      <c r="AD51" s="1136"/>
      <c r="AE51" s="1147"/>
      <c r="AF51" s="1148"/>
      <c r="AH51" s="1150"/>
    </row>
    <row r="52" spans="1:34" s="1149" customFormat="1" ht="13" x14ac:dyDescent="0.3">
      <c r="A52" s="801"/>
      <c r="B52" s="801"/>
      <c r="C52" s="1140"/>
      <c r="D52" s="886"/>
      <c r="E52" s="887"/>
      <c r="F52" s="1141"/>
      <c r="G52" s="1142"/>
      <c r="H52" s="801"/>
      <c r="I52" s="801"/>
      <c r="J52" s="1140"/>
      <c r="K52" s="886"/>
      <c r="L52" s="887"/>
      <c r="M52" s="1141"/>
      <c r="N52" s="1142"/>
      <c r="O52" s="886"/>
      <c r="P52" s="886"/>
      <c r="Q52" s="886"/>
      <c r="R52" s="890"/>
      <c r="S52" s="890"/>
      <c r="T52" s="1145"/>
      <c r="U52" s="1145"/>
      <c r="V52" s="1146"/>
      <c r="W52" s="1145"/>
      <c r="X52" s="886"/>
      <c r="Y52" s="1145"/>
      <c r="Z52" s="1146"/>
      <c r="AA52" s="1137"/>
      <c r="AB52" s="1145"/>
      <c r="AC52" s="886"/>
      <c r="AD52" s="1136"/>
      <c r="AE52" s="1147"/>
      <c r="AF52" s="1148"/>
      <c r="AH52" s="1150"/>
    </row>
    <row r="53" spans="1:34" s="1149" customFormat="1" ht="13" x14ac:dyDescent="0.3">
      <c r="A53" s="801"/>
      <c r="B53" s="801"/>
      <c r="C53" s="1140"/>
      <c r="D53" s="886"/>
      <c r="E53" s="887"/>
      <c r="F53" s="1141"/>
      <c r="G53" s="1142"/>
      <c r="H53" s="801"/>
      <c r="I53" s="801"/>
      <c r="J53" s="1140"/>
      <c r="K53" s="886"/>
      <c r="L53" s="887"/>
      <c r="M53" s="1141"/>
      <c r="N53" s="1142"/>
      <c r="O53" s="886"/>
      <c r="P53" s="886"/>
      <c r="Q53" s="886"/>
      <c r="R53" s="890"/>
      <c r="S53" s="890"/>
      <c r="T53" s="1145"/>
      <c r="U53" s="1145"/>
      <c r="V53" s="1146"/>
      <c r="W53" s="1145"/>
      <c r="X53" s="886"/>
      <c r="Y53" s="1145"/>
      <c r="Z53" s="1146"/>
      <c r="AA53" s="1137"/>
      <c r="AB53" s="1145"/>
      <c r="AC53" s="886"/>
      <c r="AD53" s="1136"/>
      <c r="AE53" s="1147"/>
      <c r="AF53" s="1148"/>
      <c r="AH53" s="1150"/>
    </row>
    <row r="54" spans="1:34" s="1149" customFormat="1" ht="13" x14ac:dyDescent="0.3">
      <c r="A54" s="801"/>
      <c r="B54" s="801"/>
      <c r="C54" s="1140"/>
      <c r="D54" s="886"/>
      <c r="E54" s="887"/>
      <c r="F54" s="1141"/>
      <c r="G54" s="1142"/>
      <c r="H54" s="801"/>
      <c r="I54" s="801"/>
      <c r="J54" s="1140"/>
      <c r="K54" s="886"/>
      <c r="L54" s="887"/>
      <c r="M54" s="1141"/>
      <c r="N54" s="1142"/>
      <c r="O54" s="886"/>
      <c r="P54" s="886"/>
      <c r="Q54" s="886"/>
      <c r="R54" s="890"/>
      <c r="S54" s="890"/>
      <c r="T54" s="1145"/>
      <c r="U54" s="1145"/>
      <c r="V54" s="1146"/>
      <c r="W54" s="1145"/>
      <c r="X54" s="886"/>
      <c r="Y54" s="1145"/>
      <c r="Z54" s="1146"/>
      <c r="AA54" s="1137"/>
      <c r="AB54" s="1145"/>
      <c r="AC54" s="886"/>
      <c r="AD54" s="1136"/>
      <c r="AE54" s="1147"/>
      <c r="AF54" s="1148"/>
      <c r="AH54" s="1150"/>
    </row>
    <row r="55" spans="1:34" s="1149" customFormat="1" ht="13" x14ac:dyDescent="0.3">
      <c r="A55" s="801"/>
      <c r="B55" s="801"/>
      <c r="C55" s="1140"/>
      <c r="D55" s="886"/>
      <c r="E55" s="887"/>
      <c r="F55" s="1141"/>
      <c r="G55" s="1142"/>
      <c r="H55" s="801"/>
      <c r="I55" s="801"/>
      <c r="J55" s="1140"/>
      <c r="K55" s="886"/>
      <c r="L55" s="887"/>
      <c r="M55" s="1141"/>
      <c r="N55" s="1142"/>
      <c r="O55" s="886"/>
      <c r="P55" s="886"/>
      <c r="Q55" s="886"/>
      <c r="R55" s="890"/>
      <c r="S55" s="890"/>
      <c r="T55" s="1145"/>
      <c r="U55" s="1145"/>
      <c r="V55" s="1146"/>
      <c r="W55" s="1145"/>
      <c r="X55" s="886"/>
      <c r="Y55" s="1145"/>
      <c r="Z55" s="1146"/>
      <c r="AA55" s="1137"/>
      <c r="AB55" s="1145"/>
      <c r="AC55" s="886"/>
      <c r="AD55" s="1136"/>
      <c r="AE55" s="1147"/>
      <c r="AF55" s="1148"/>
      <c r="AH55" s="1150"/>
    </row>
    <row r="56" spans="1:34" s="1149" customFormat="1" ht="13" x14ac:dyDescent="0.3">
      <c r="A56" s="801"/>
      <c r="B56" s="801"/>
      <c r="C56" s="1140"/>
      <c r="D56" s="886"/>
      <c r="E56" s="887"/>
      <c r="F56" s="1141"/>
      <c r="G56" s="1142"/>
      <c r="H56" s="801"/>
      <c r="I56" s="801"/>
      <c r="J56" s="1140"/>
      <c r="K56" s="886"/>
      <c r="L56" s="887"/>
      <c r="M56" s="1141"/>
      <c r="N56" s="1142"/>
      <c r="O56" s="886" t="s">
        <v>994</v>
      </c>
      <c r="P56" s="886"/>
      <c r="Q56" s="886"/>
      <c r="R56" s="890"/>
      <c r="S56" s="890" t="s">
        <v>995</v>
      </c>
      <c r="T56" s="1145"/>
      <c r="U56" s="1145"/>
      <c r="V56" s="1146"/>
      <c r="W56" s="1145"/>
      <c r="X56" s="886" t="s">
        <v>996</v>
      </c>
      <c r="Y56" s="1145"/>
      <c r="Z56" s="1146"/>
      <c r="AA56" s="1137"/>
      <c r="AB56" s="1145"/>
      <c r="AC56" s="886" t="s">
        <v>997</v>
      </c>
      <c r="AD56" s="1136"/>
      <c r="AE56" s="1147"/>
      <c r="AF56" s="1148"/>
      <c r="AH56" s="1150"/>
    </row>
    <row r="57" spans="1:34" x14ac:dyDescent="0.25">
      <c r="A57" s="255"/>
      <c r="B57" s="255"/>
      <c r="C57" s="256"/>
      <c r="D57" s="265"/>
      <c r="E57" s="780"/>
      <c r="F57" s="781"/>
      <c r="G57" s="782"/>
      <c r="H57" s="255"/>
      <c r="I57" s="255"/>
      <c r="J57" s="256"/>
      <c r="K57" s="265"/>
      <c r="L57" s="780"/>
      <c r="M57" s="781"/>
      <c r="N57" s="782"/>
      <c r="O57" s="268"/>
      <c r="P57" s="265"/>
      <c r="Q57" s="265"/>
      <c r="R57" s="736"/>
      <c r="S57" s="265"/>
      <c r="T57" s="267"/>
      <c r="U57" s="267"/>
      <c r="V57" s="268"/>
      <c r="W57" s="267"/>
      <c r="X57" s="267"/>
      <c r="Y57" s="267"/>
      <c r="Z57" s="268"/>
      <c r="AA57" s="740"/>
      <c r="AB57" s="267"/>
      <c r="AC57" s="267"/>
      <c r="AD57" s="261"/>
      <c r="AE57" s="263"/>
      <c r="AF57" s="235"/>
    </row>
    <row r="58" spans="1:34" s="275" customFormat="1" ht="13" x14ac:dyDescent="0.3">
      <c r="A58" s="269"/>
      <c r="B58" s="269"/>
      <c r="C58" s="270"/>
      <c r="D58" s="271"/>
      <c r="E58" s="783"/>
      <c r="F58" s="784"/>
      <c r="G58" s="783"/>
      <c r="H58" s="269"/>
      <c r="I58" s="269"/>
      <c r="J58" s="270"/>
      <c r="K58" s="271"/>
      <c r="L58" s="783"/>
      <c r="M58" s="784"/>
      <c r="N58" s="783"/>
      <c r="O58" s="1160" t="s">
        <v>1015</v>
      </c>
      <c r="P58" s="1151"/>
      <c r="Q58" s="1151"/>
      <c r="R58" s="741"/>
      <c r="S58" s="273"/>
      <c r="T58" s="274"/>
      <c r="V58" s="1159" t="s">
        <v>1015</v>
      </c>
      <c r="W58" s="274"/>
      <c r="X58" s="274"/>
      <c r="Y58" s="274"/>
      <c r="AB58" s="1038" t="s">
        <v>1015</v>
      </c>
      <c r="AC58" s="273"/>
      <c r="AD58" s="1122"/>
      <c r="AE58" s="276"/>
      <c r="AF58" s="277"/>
      <c r="AH58" s="893"/>
    </row>
    <row r="59" spans="1:34" x14ac:dyDescent="0.25">
      <c r="A59" s="255"/>
      <c r="B59" s="255"/>
      <c r="C59" s="256"/>
      <c r="D59" s="278"/>
      <c r="E59" s="735"/>
      <c r="F59" s="258"/>
      <c r="G59" s="780"/>
      <c r="H59" s="255"/>
      <c r="I59" s="255"/>
      <c r="J59" s="256"/>
      <c r="K59" s="278"/>
      <c r="L59" s="735"/>
      <c r="M59" s="258"/>
      <c r="N59" s="780"/>
      <c r="O59" s="1152"/>
      <c r="P59" s="1152"/>
      <c r="Q59" s="1153"/>
      <c r="R59" s="735"/>
      <c r="S59" s="259"/>
      <c r="T59" s="259"/>
      <c r="V59" s="260"/>
      <c r="W59" s="267"/>
      <c r="X59" s="267"/>
      <c r="Y59" s="267"/>
      <c r="AB59" s="736"/>
      <c r="AC59" s="265"/>
      <c r="AD59" s="261"/>
      <c r="AE59" s="263"/>
      <c r="AF59" s="235"/>
    </row>
    <row r="60" spans="1:34" s="278" customFormat="1" ht="13" x14ac:dyDescent="0.3">
      <c r="A60" s="265"/>
      <c r="B60" s="265"/>
      <c r="C60" s="265"/>
      <c r="D60" s="801" t="s">
        <v>965</v>
      </c>
      <c r="E60" s="780"/>
      <c r="F60" s="781"/>
      <c r="G60" s="803"/>
      <c r="H60" s="265"/>
      <c r="I60" s="265"/>
      <c r="J60" s="265"/>
      <c r="K60" s="257"/>
      <c r="L60" s="887" t="s">
        <v>966</v>
      </c>
      <c r="M60" s="781"/>
      <c r="N60" s="803"/>
      <c r="O60" s="1124"/>
      <c r="P60" s="1124"/>
      <c r="Q60" s="1152"/>
      <c r="R60" s="736"/>
      <c r="S60" s="886"/>
      <c r="X60" s="265"/>
      <c r="AB60" s="890"/>
      <c r="AD60" s="894"/>
      <c r="AH60" s="894"/>
    </row>
    <row r="61" spans="1:34" s="267" customFormat="1" x14ac:dyDescent="0.25">
      <c r="A61" s="265"/>
      <c r="B61" s="265"/>
      <c r="D61" s="279"/>
      <c r="E61" s="780"/>
      <c r="F61" s="781"/>
      <c r="G61" s="782"/>
      <c r="H61" s="265"/>
      <c r="I61" s="265"/>
      <c r="K61" s="279"/>
      <c r="L61" s="780"/>
      <c r="M61" s="781"/>
      <c r="N61" s="782"/>
      <c r="O61" s="1154"/>
      <c r="P61" s="1154"/>
      <c r="Q61" s="1152"/>
      <c r="R61" s="736"/>
      <c r="S61" s="265"/>
      <c r="AB61" s="740"/>
      <c r="AD61" s="895"/>
      <c r="AH61" s="895"/>
    </row>
    <row r="62" spans="1:34" s="267" customFormat="1" x14ac:dyDescent="0.25">
      <c r="A62" s="265"/>
      <c r="B62" s="265"/>
      <c r="D62" s="279"/>
      <c r="E62" s="780"/>
      <c r="F62" s="781"/>
      <c r="G62" s="782"/>
      <c r="H62" s="265"/>
      <c r="I62" s="265"/>
      <c r="K62" s="279"/>
      <c r="L62" s="780"/>
      <c r="M62" s="781"/>
      <c r="N62" s="782"/>
      <c r="O62" s="1154"/>
      <c r="P62" s="1154"/>
      <c r="Q62" s="1152"/>
      <c r="R62" s="736"/>
      <c r="S62" s="265"/>
      <c r="AB62" s="740"/>
      <c r="AD62" s="895"/>
      <c r="AH62" s="895"/>
    </row>
    <row r="63" spans="1:34" s="267" customFormat="1" ht="13" x14ac:dyDescent="0.3">
      <c r="A63" s="265"/>
      <c r="B63" s="265"/>
      <c r="D63" s="279"/>
      <c r="E63" s="780"/>
      <c r="F63" s="781"/>
      <c r="G63" s="782"/>
      <c r="H63" s="265"/>
      <c r="I63" s="265"/>
      <c r="K63" s="279"/>
      <c r="L63" s="780"/>
      <c r="M63" s="781"/>
      <c r="N63" s="782"/>
      <c r="O63" s="1155" t="s">
        <v>1001</v>
      </c>
      <c r="P63" s="1155"/>
      <c r="Q63" s="1152"/>
      <c r="R63" s="736"/>
      <c r="S63" s="265"/>
      <c r="V63" s="886" t="s">
        <v>1002</v>
      </c>
      <c r="AB63" s="1028" t="s">
        <v>1000</v>
      </c>
      <c r="AD63" s="895"/>
      <c r="AH63" s="895"/>
    </row>
    <row r="64" spans="1:34" s="267" customFormat="1" x14ac:dyDescent="0.25">
      <c r="A64" s="265"/>
      <c r="B64" s="265"/>
      <c r="D64" s="279"/>
      <c r="E64" s="780"/>
      <c r="F64" s="781"/>
      <c r="G64" s="782"/>
      <c r="H64" s="265"/>
      <c r="I64" s="265"/>
      <c r="K64" s="279"/>
      <c r="L64" s="780"/>
      <c r="M64" s="781"/>
      <c r="N64" s="782"/>
      <c r="O64" s="280"/>
      <c r="P64" s="279"/>
      <c r="Q64" s="265"/>
      <c r="R64" s="736"/>
      <c r="S64" s="265"/>
      <c r="AA64" s="740"/>
      <c r="AD64" s="895"/>
      <c r="AH64" s="895"/>
    </row>
    <row r="65" spans="1:34" s="267" customFormat="1" ht="13" x14ac:dyDescent="0.3">
      <c r="A65" s="265"/>
      <c r="B65" s="265"/>
      <c r="D65" s="279"/>
      <c r="E65" s="780"/>
      <c r="F65" s="781"/>
      <c r="G65" s="782"/>
      <c r="H65" s="265"/>
      <c r="I65" s="265"/>
      <c r="K65" s="279"/>
      <c r="L65" s="780"/>
      <c r="M65" s="781"/>
      <c r="N65" s="782"/>
      <c r="O65" s="1163" t="s">
        <v>1016</v>
      </c>
      <c r="P65" s="1154"/>
      <c r="Q65" s="1152"/>
      <c r="R65" s="736"/>
      <c r="S65" s="265"/>
      <c r="U65" s="265"/>
      <c r="V65" s="1156" t="s">
        <v>1015</v>
      </c>
      <c r="AA65" s="740"/>
      <c r="AB65" s="1156" t="s">
        <v>1017</v>
      </c>
      <c r="AD65" s="895"/>
      <c r="AH65" s="895"/>
    </row>
    <row r="66" spans="1:34" s="267" customFormat="1" x14ac:dyDescent="0.25">
      <c r="A66" s="265"/>
      <c r="B66" s="265"/>
      <c r="E66" s="780"/>
      <c r="F66" s="781"/>
      <c r="G66" s="782"/>
      <c r="H66" s="265"/>
      <c r="I66" s="265"/>
      <c r="L66" s="780"/>
      <c r="M66" s="781"/>
      <c r="N66" s="782"/>
      <c r="O66" s="1152"/>
      <c r="P66" s="1152"/>
      <c r="Q66" s="1152"/>
      <c r="R66" s="736"/>
      <c r="S66" s="265"/>
      <c r="AA66" s="740"/>
      <c r="AD66" s="895"/>
      <c r="AH66" s="895"/>
    </row>
    <row r="67" spans="1:34" s="267" customFormat="1" x14ac:dyDescent="0.25">
      <c r="A67" s="265"/>
      <c r="B67" s="265"/>
      <c r="E67" s="780"/>
      <c r="F67" s="781"/>
      <c r="G67" s="782"/>
      <c r="H67" s="265"/>
      <c r="I67" s="265"/>
      <c r="L67" s="780"/>
      <c r="M67" s="781"/>
      <c r="N67" s="782"/>
      <c r="O67" s="1152"/>
      <c r="P67" s="1152"/>
      <c r="Q67" s="1152"/>
      <c r="R67" s="736"/>
      <c r="S67" s="265"/>
      <c r="AA67" s="740"/>
      <c r="AD67" s="895"/>
      <c r="AH67" s="895"/>
    </row>
    <row r="68" spans="1:34" s="267" customFormat="1" x14ac:dyDescent="0.25">
      <c r="A68" s="265"/>
      <c r="B68" s="265"/>
      <c r="E68" s="780"/>
      <c r="F68" s="781"/>
      <c r="G68" s="782"/>
      <c r="H68" s="265"/>
      <c r="I68" s="265"/>
      <c r="L68" s="780"/>
      <c r="M68" s="781"/>
      <c r="N68" s="782"/>
      <c r="O68" s="1152"/>
      <c r="P68" s="1152"/>
      <c r="Q68" s="1152"/>
      <c r="R68" s="736"/>
      <c r="S68" s="265"/>
      <c r="AA68" s="740"/>
      <c r="AD68" s="895"/>
      <c r="AH68" s="895"/>
    </row>
    <row r="69" spans="1:34" s="267" customFormat="1" ht="13" x14ac:dyDescent="0.3">
      <c r="A69" s="265"/>
      <c r="B69" s="265"/>
      <c r="E69" s="780"/>
      <c r="F69" s="781"/>
      <c r="G69" s="887" t="s">
        <v>967</v>
      </c>
      <c r="H69" s="265"/>
      <c r="I69" s="265"/>
      <c r="L69" s="780"/>
      <c r="M69" s="781"/>
      <c r="N69" s="782"/>
      <c r="O69" s="1152"/>
      <c r="P69" s="1162"/>
      <c r="Q69" s="1152"/>
      <c r="R69" s="736"/>
      <c r="S69" s="265"/>
      <c r="W69" s="886"/>
      <c r="AA69" s="740"/>
      <c r="AD69" s="895"/>
      <c r="AH69" s="895"/>
    </row>
    <row r="70" spans="1:34" ht="13" x14ac:dyDescent="0.3">
      <c r="D70" s="267"/>
      <c r="G70" s="888" t="s">
        <v>968</v>
      </c>
      <c r="K70" s="267"/>
      <c r="O70" s="1162" t="s">
        <v>1049</v>
      </c>
      <c r="P70" s="1162"/>
      <c r="Q70" s="1154"/>
      <c r="U70" s="279"/>
      <c r="V70" s="889" t="s">
        <v>998</v>
      </c>
      <c r="W70" s="889"/>
      <c r="AB70" s="889" t="s">
        <v>1037</v>
      </c>
    </row>
    <row r="71" spans="1:34" ht="13" x14ac:dyDescent="0.35">
      <c r="U71" s="279"/>
      <c r="V71" s="889" t="s">
        <v>1047</v>
      </c>
    </row>
    <row r="73" spans="1:34" ht="15.5" x14ac:dyDescent="0.35">
      <c r="P73" s="805"/>
    </row>
    <row r="83" spans="11:22" ht="13" x14ac:dyDescent="0.35">
      <c r="K83" s="889" t="s">
        <v>969</v>
      </c>
      <c r="V83" s="889"/>
    </row>
    <row r="84" spans="11:22" ht="13" x14ac:dyDescent="0.35">
      <c r="K84" s="889" t="s">
        <v>970</v>
      </c>
      <c r="V84" s="889"/>
    </row>
  </sheetData>
  <autoFilter ref="A6:AG46"/>
  <mergeCells count="31">
    <mergeCell ref="AE5:AE6"/>
    <mergeCell ref="AF5:AF6"/>
    <mergeCell ref="A5:B6"/>
    <mergeCell ref="K5:K6"/>
    <mergeCell ref="E5:E6"/>
    <mergeCell ref="F5:F6"/>
    <mergeCell ref="G5:G6"/>
    <mergeCell ref="Y5:Y6"/>
    <mergeCell ref="Z5:Z6"/>
    <mergeCell ref="AA5:AA6"/>
    <mergeCell ref="AB5:AB6"/>
    <mergeCell ref="AC5:AC6"/>
    <mergeCell ref="AD5:AD6"/>
    <mergeCell ref="S5:S6"/>
    <mergeCell ref="T5:T6"/>
    <mergeCell ref="U5:U6"/>
    <mergeCell ref="B17:B18"/>
    <mergeCell ref="A17:A18"/>
    <mergeCell ref="V5:V6"/>
    <mergeCell ref="W5:W6"/>
    <mergeCell ref="X5:X6"/>
    <mergeCell ref="C5:C6"/>
    <mergeCell ref="D5:D6"/>
    <mergeCell ref="O5:O6"/>
    <mergeCell ref="P5:Q5"/>
    <mergeCell ref="R5:R6"/>
    <mergeCell ref="L5:L6"/>
    <mergeCell ref="M5:M6"/>
    <mergeCell ref="N5:N6"/>
    <mergeCell ref="H5:I6"/>
    <mergeCell ref="J5:J6"/>
  </mergeCells>
  <conditionalFormatting sqref="Z20:Z23 Z47:Z48 Z17:Z18 Z9:Z13 Z15 Z26:Z30 Z32:Z44 AB59:AC59">
    <cfRule type="cellIs" dxfId="14" priority="14" stopIfTrue="1" operator="equal">
      <formula>0</formula>
    </cfRule>
  </conditionalFormatting>
  <conditionalFormatting sqref="C44">
    <cfRule type="containsText" dxfId="13" priority="13" operator="containsText" text="Sep 16">
      <formula>NOT(ISERROR(SEARCH("Sep 16",C44)))</formula>
    </cfRule>
  </conditionalFormatting>
  <conditionalFormatting sqref="Z8">
    <cfRule type="cellIs" dxfId="12" priority="12" stopIfTrue="1" operator="equal">
      <formula>0</formula>
    </cfRule>
  </conditionalFormatting>
  <conditionalFormatting sqref="Z45">
    <cfRule type="cellIs" dxfId="11" priority="10" stopIfTrue="1" operator="equal">
      <formula>0</formula>
    </cfRule>
  </conditionalFormatting>
  <conditionalFormatting sqref="Z19">
    <cfRule type="cellIs" dxfId="10" priority="9" stopIfTrue="1" operator="equal">
      <formula>0</formula>
    </cfRule>
  </conditionalFormatting>
  <conditionalFormatting sqref="Z14">
    <cfRule type="cellIs" dxfId="9" priority="8" stopIfTrue="1" operator="equal">
      <formula>0</formula>
    </cfRule>
  </conditionalFormatting>
  <conditionalFormatting sqref="Z24">
    <cfRule type="cellIs" dxfId="8" priority="7" stopIfTrue="1" operator="equal">
      <formula>0</formula>
    </cfRule>
  </conditionalFormatting>
  <conditionalFormatting sqref="Z25">
    <cfRule type="cellIs" dxfId="7" priority="6" stopIfTrue="1" operator="equal">
      <formula>0</formula>
    </cfRule>
  </conditionalFormatting>
  <conditionalFormatting sqref="Z31">
    <cfRule type="cellIs" dxfId="6" priority="5" stopIfTrue="1" operator="equal">
      <formula>0</formula>
    </cfRule>
  </conditionalFormatting>
  <conditionalFormatting sqref="Z16">
    <cfRule type="cellIs" dxfId="5" priority="4" stopIfTrue="1" operator="equal">
      <formula>0</formula>
    </cfRule>
  </conditionalFormatting>
  <conditionalFormatting sqref="G59">
    <cfRule type="cellIs" dxfId="4" priority="3" stopIfTrue="1" operator="equal">
      <formula>0</formula>
    </cfRule>
  </conditionalFormatting>
  <conditionalFormatting sqref="N59">
    <cfRule type="cellIs" dxfId="3" priority="2" stopIfTrue="1" operator="equal">
      <formula>0</formula>
    </cfRule>
  </conditionalFormatting>
  <conditionalFormatting sqref="J44">
    <cfRule type="containsText" dxfId="2" priority="1" operator="containsText" text="Sep 16">
      <formula>NOT(ISERROR(SEARCH("Sep 16",J44)))</formula>
    </cfRule>
  </conditionalFormatting>
  <pageMargins left="0.4" right="0.4" top="0.2" bottom="0.3" header="0.2" footer="0.2"/>
  <pageSetup paperSize="8" scale="78" firstPageNumber="19" orientation="landscape" useFirstPageNumber="1" r:id="rId1"/>
  <headerFooter>
    <oddFooter>&amp;L&amp;F, &amp;A&amp;RPage &amp;P</oddFooter>
  </headerFooter>
  <colBreaks count="1" manualBreakCount="1">
    <brk id="32" max="1048575" man="1"/>
  </colBreaks>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7"/>
  <sheetViews>
    <sheetView view="pageBreakPreview" topLeftCell="B13" zoomScale="70" zoomScaleNormal="100" zoomScaleSheetLayoutView="70" workbookViewId="0">
      <selection activeCell="C24" sqref="C24"/>
    </sheetView>
  </sheetViews>
  <sheetFormatPr defaultRowHeight="14.5" x14ac:dyDescent="0.35"/>
  <cols>
    <col min="1" max="1" width="69" customWidth="1"/>
    <col min="2" max="2" width="21.7265625" customWidth="1"/>
    <col min="3" max="3" width="68" customWidth="1"/>
    <col min="4" max="4" width="21.1796875" customWidth="1"/>
    <col min="5" max="5" width="31.1796875" customWidth="1"/>
    <col min="6" max="6" width="29" customWidth="1"/>
    <col min="7" max="7" width="16.7265625" customWidth="1"/>
    <col min="8" max="8" width="27.1796875" customWidth="1"/>
    <col min="9" max="9" width="16" customWidth="1"/>
    <col min="10" max="10" width="23.26953125" customWidth="1"/>
    <col min="11" max="11" width="16.26953125" customWidth="1"/>
    <col min="12" max="12" width="26.453125" customWidth="1"/>
  </cols>
  <sheetData>
    <row r="1" spans="1:12" ht="18" x14ac:dyDescent="0.4">
      <c r="A1" s="589"/>
      <c r="B1" s="589"/>
      <c r="C1" s="589"/>
      <c r="D1" s="589"/>
      <c r="E1" s="589"/>
      <c r="F1" s="589"/>
      <c r="G1" s="589"/>
      <c r="H1" s="589"/>
      <c r="I1" s="589"/>
      <c r="J1" s="589"/>
      <c r="K1" s="589"/>
      <c r="L1" s="589"/>
    </row>
    <row r="2" spans="1:12" ht="18" x14ac:dyDescent="0.4">
      <c r="A2" s="590" t="s">
        <v>857</v>
      </c>
      <c r="B2" s="589"/>
      <c r="C2" s="589"/>
      <c r="D2" s="589"/>
      <c r="E2" s="589"/>
      <c r="F2" s="589"/>
      <c r="G2" s="589"/>
      <c r="H2" s="589"/>
      <c r="I2" s="589"/>
      <c r="J2" s="589"/>
      <c r="K2" s="589"/>
      <c r="L2" s="589"/>
    </row>
    <row r="3" spans="1:12" ht="18" x14ac:dyDescent="0.4">
      <c r="A3" s="589"/>
      <c r="B3" s="591"/>
      <c r="C3" s="591"/>
      <c r="D3" s="589"/>
      <c r="E3" s="589"/>
      <c r="F3" s="589"/>
      <c r="G3" s="589"/>
      <c r="H3" s="589"/>
      <c r="I3" s="589"/>
      <c r="J3" s="589"/>
      <c r="K3" s="589"/>
      <c r="L3" s="589"/>
    </row>
    <row r="4" spans="1:12" ht="18" x14ac:dyDescent="0.4">
      <c r="A4" s="589"/>
      <c r="B4" s="589"/>
      <c r="C4" s="589"/>
      <c r="D4" s="589"/>
      <c r="E4" s="589"/>
      <c r="F4" s="589"/>
      <c r="G4" s="589"/>
      <c r="H4" s="589"/>
      <c r="I4" s="589"/>
      <c r="J4" s="589"/>
      <c r="K4" s="589"/>
      <c r="L4" s="589"/>
    </row>
    <row r="5" spans="1:12" ht="22.5" x14ac:dyDescent="0.4">
      <c r="A5" s="589"/>
      <c r="B5" s="1398" t="s">
        <v>888</v>
      </c>
      <c r="C5" s="1398"/>
      <c r="D5" s="1398"/>
      <c r="E5" s="1398"/>
      <c r="F5" s="1398"/>
      <c r="G5" s="1398"/>
      <c r="H5" s="1398"/>
      <c r="I5" s="592"/>
      <c r="J5" s="592"/>
      <c r="K5" s="592"/>
      <c r="L5" s="592"/>
    </row>
    <row r="6" spans="1:12" ht="22.5" x14ac:dyDescent="0.45">
      <c r="A6" s="589"/>
      <c r="B6" s="1399" t="s">
        <v>889</v>
      </c>
      <c r="C6" s="1399"/>
      <c r="D6" s="1399"/>
      <c r="E6" s="1399"/>
      <c r="F6" s="1399"/>
      <c r="G6" s="1399"/>
      <c r="H6" s="1399"/>
      <c r="I6" s="593"/>
      <c r="J6" s="593"/>
      <c r="K6" s="593"/>
      <c r="L6" s="593"/>
    </row>
    <row r="7" spans="1:12" ht="18" x14ac:dyDescent="0.4">
      <c r="A7" s="589"/>
      <c r="B7" s="589"/>
      <c r="C7" s="589"/>
      <c r="D7" s="589"/>
      <c r="E7" s="589"/>
      <c r="F7" s="589"/>
      <c r="G7" s="589"/>
      <c r="H7" s="589"/>
      <c r="I7" s="589"/>
      <c r="J7" s="589"/>
      <c r="K7" s="589"/>
      <c r="L7" s="589"/>
    </row>
    <row r="8" spans="1:12" ht="25.5" x14ac:dyDescent="0.55000000000000004">
      <c r="A8" s="589"/>
      <c r="B8" s="589"/>
      <c r="C8" s="589"/>
      <c r="D8" s="594"/>
      <c r="E8" s="594"/>
      <c r="G8" s="594"/>
      <c r="H8" s="595" t="s">
        <v>890</v>
      </c>
      <c r="I8" s="596"/>
      <c r="J8" s="594"/>
      <c r="K8" s="597"/>
    </row>
    <row r="9" spans="1:12" ht="18" x14ac:dyDescent="0.4">
      <c r="A9" s="589"/>
      <c r="B9" s="589"/>
      <c r="C9" s="589"/>
      <c r="D9" s="589"/>
      <c r="E9" s="589"/>
      <c r="F9" s="589"/>
      <c r="G9" s="589"/>
      <c r="H9" s="589"/>
      <c r="I9" s="589"/>
      <c r="J9" s="589"/>
      <c r="K9" s="589"/>
      <c r="L9" s="589"/>
    </row>
    <row r="10" spans="1:12" s="598" customFormat="1" ht="40" customHeight="1" x14ac:dyDescent="0.35">
      <c r="A10" s="1400" t="s">
        <v>858</v>
      </c>
      <c r="B10" s="1400" t="s">
        <v>859</v>
      </c>
      <c r="C10" s="1400" t="s">
        <v>860</v>
      </c>
      <c r="D10" s="1403" t="s">
        <v>861</v>
      </c>
      <c r="E10" s="1404"/>
      <c r="F10" s="1405"/>
      <c r="G10" s="1395" t="s">
        <v>887</v>
      </c>
      <c r="H10" s="1395"/>
      <c r="I10" s="1395" t="s">
        <v>886</v>
      </c>
      <c r="J10" s="1395"/>
    </row>
    <row r="11" spans="1:12" s="598" customFormat="1" ht="40" customHeight="1" x14ac:dyDescent="0.35">
      <c r="A11" s="1401"/>
      <c r="B11" s="1401"/>
      <c r="C11" s="1401"/>
      <c r="D11" s="1406"/>
      <c r="E11" s="1407"/>
      <c r="F11" s="1408"/>
      <c r="G11" s="1395"/>
      <c r="H11" s="1395"/>
      <c r="I11" s="1395"/>
      <c r="J11" s="1395"/>
    </row>
    <row r="12" spans="1:12" s="598" customFormat="1" ht="40" customHeight="1" x14ac:dyDescent="0.35">
      <c r="A12" s="1402"/>
      <c r="B12" s="1402"/>
      <c r="C12" s="1402"/>
      <c r="D12" s="599" t="s">
        <v>862</v>
      </c>
      <c r="E12" s="599" t="s">
        <v>863</v>
      </c>
      <c r="F12" s="599" t="s">
        <v>864</v>
      </c>
      <c r="G12" s="599" t="s">
        <v>865</v>
      </c>
      <c r="H12" s="599" t="s">
        <v>866</v>
      </c>
      <c r="I12" s="599" t="s">
        <v>865</v>
      </c>
      <c r="J12" s="599" t="s">
        <v>866</v>
      </c>
    </row>
    <row r="13" spans="1:12" s="598" customFormat="1" ht="80.150000000000006" customHeight="1" x14ac:dyDescent="0.35">
      <c r="A13" s="600" t="s">
        <v>734</v>
      </c>
      <c r="B13" s="600" t="s">
        <v>867</v>
      </c>
      <c r="C13" s="600" t="s">
        <v>868</v>
      </c>
      <c r="D13" s="601">
        <v>124893000</v>
      </c>
      <c r="E13" s="601">
        <v>12489300</v>
      </c>
      <c r="F13" s="601">
        <v>137382300</v>
      </c>
      <c r="G13" s="601">
        <v>50</v>
      </c>
      <c r="H13" s="601">
        <v>68691150</v>
      </c>
      <c r="I13" s="601">
        <v>50</v>
      </c>
      <c r="J13" s="601">
        <v>68691150</v>
      </c>
    </row>
    <row r="14" spans="1:12" s="598" customFormat="1" ht="80.150000000000006" customHeight="1" x14ac:dyDescent="0.35">
      <c r="A14" s="602" t="s">
        <v>869</v>
      </c>
      <c r="B14" s="604" t="s">
        <v>870</v>
      </c>
      <c r="C14" s="602" t="s">
        <v>871</v>
      </c>
      <c r="D14" s="603">
        <v>115002000</v>
      </c>
      <c r="E14" s="603"/>
      <c r="F14" s="603">
        <v>115002000</v>
      </c>
      <c r="G14" s="605">
        <v>0</v>
      </c>
      <c r="H14" s="605">
        <v>0</v>
      </c>
      <c r="I14" s="603">
        <v>100</v>
      </c>
      <c r="J14" s="603">
        <v>115002000</v>
      </c>
    </row>
    <row r="15" spans="1:12" s="598" customFormat="1" ht="80.150000000000006" customHeight="1" x14ac:dyDescent="0.35">
      <c r="A15" s="602" t="s">
        <v>872</v>
      </c>
      <c r="B15" s="602" t="s">
        <v>873</v>
      </c>
      <c r="C15" s="602" t="s">
        <v>874</v>
      </c>
      <c r="D15" s="603">
        <v>204098549</v>
      </c>
      <c r="E15" s="603">
        <v>20409855</v>
      </c>
      <c r="F15" s="603">
        <v>224508404</v>
      </c>
      <c r="G15" s="603">
        <v>40</v>
      </c>
      <c r="H15" s="603">
        <v>89803362</v>
      </c>
      <c r="I15" s="601">
        <v>60</v>
      </c>
      <c r="J15" s="603">
        <v>134705042</v>
      </c>
    </row>
    <row r="16" spans="1:12" s="598" customFormat="1" ht="80.150000000000006" customHeight="1" x14ac:dyDescent="0.35">
      <c r="A16" s="602" t="s">
        <v>875</v>
      </c>
      <c r="B16" s="602" t="s">
        <v>876</v>
      </c>
      <c r="C16" s="602" t="s">
        <v>877</v>
      </c>
      <c r="D16" s="603">
        <v>20850000</v>
      </c>
      <c r="E16" s="603">
        <v>2085000</v>
      </c>
      <c r="F16" s="603">
        <f>E16+D16</f>
        <v>22935000</v>
      </c>
      <c r="G16" s="603">
        <v>50</v>
      </c>
      <c r="H16" s="603">
        <v>11467500</v>
      </c>
      <c r="I16" s="601">
        <v>50</v>
      </c>
      <c r="J16" s="603">
        <v>11467500</v>
      </c>
    </row>
    <row r="17" spans="1:12" s="598" customFormat="1" ht="80.150000000000006" customHeight="1" x14ac:dyDescent="0.35">
      <c r="A17" s="602" t="s">
        <v>878</v>
      </c>
      <c r="B17" s="602" t="s">
        <v>879</v>
      </c>
      <c r="C17" s="602" t="s">
        <v>880</v>
      </c>
      <c r="D17" s="603">
        <v>36000000</v>
      </c>
      <c r="E17" s="603">
        <v>3600000</v>
      </c>
      <c r="F17" s="603">
        <f>E17+D17</f>
        <v>39600000</v>
      </c>
      <c r="G17" s="603">
        <v>50</v>
      </c>
      <c r="H17" s="603">
        <v>19800000</v>
      </c>
      <c r="I17" s="601">
        <v>50</v>
      </c>
      <c r="J17" s="603">
        <f>H17</f>
        <v>19800000</v>
      </c>
    </row>
    <row r="18" spans="1:12" s="598" customFormat="1" ht="99" customHeight="1" x14ac:dyDescent="0.35">
      <c r="A18" s="613" t="s">
        <v>734</v>
      </c>
      <c r="B18" s="613" t="s">
        <v>881</v>
      </c>
      <c r="C18" s="613" t="s">
        <v>882</v>
      </c>
      <c r="D18" s="614">
        <f>F18/1.1</f>
        <v>276700000</v>
      </c>
      <c r="E18" s="614">
        <f>F18-D18</f>
        <v>27670000</v>
      </c>
      <c r="F18" s="614">
        <f>J18*2</f>
        <v>304370000</v>
      </c>
      <c r="G18" s="614">
        <v>50</v>
      </c>
      <c r="H18" s="614">
        <v>152185000</v>
      </c>
      <c r="I18" s="614">
        <v>50</v>
      </c>
      <c r="J18" s="614">
        <v>152185000</v>
      </c>
    </row>
    <row r="19" spans="1:12" s="598" customFormat="1" ht="30" customHeight="1" x14ac:dyDescent="0.35">
      <c r="A19" s="602"/>
      <c r="B19" s="602"/>
      <c r="C19" s="602"/>
      <c r="D19" s="1396" t="s">
        <v>217</v>
      </c>
      <c r="E19" s="1397"/>
      <c r="F19" s="606">
        <f>SUM(F13:F18)</f>
        <v>843797704</v>
      </c>
      <c r="G19" s="607"/>
      <c r="H19" s="607">
        <f>SUM(H13:H18)</f>
        <v>341947012</v>
      </c>
      <c r="I19" s="607"/>
      <c r="J19" s="607">
        <f>SUM(J13:J18)</f>
        <v>501850692</v>
      </c>
    </row>
    <row r="20" spans="1:12" s="598" customFormat="1" ht="18" x14ac:dyDescent="0.4">
      <c r="A20" s="608"/>
      <c r="B20" s="608"/>
      <c r="C20" s="608"/>
      <c r="D20" s="608"/>
      <c r="E20" s="608"/>
      <c r="F20" s="608"/>
      <c r="G20" s="608"/>
      <c r="H20" s="608"/>
      <c r="I20" s="608"/>
      <c r="J20" s="608"/>
      <c r="K20" s="608"/>
      <c r="L20" s="608"/>
    </row>
    <row r="21" spans="1:12" ht="18" x14ac:dyDescent="0.4">
      <c r="A21" s="590"/>
      <c r="B21" s="589" t="s">
        <v>883</v>
      </c>
      <c r="C21" s="589"/>
      <c r="D21" s="589"/>
      <c r="E21" s="589"/>
      <c r="F21" s="589"/>
      <c r="G21" s="589"/>
      <c r="H21" s="589"/>
      <c r="I21" s="589"/>
      <c r="J21" s="589"/>
      <c r="K21" s="589"/>
      <c r="L21" s="589"/>
    </row>
    <row r="22" spans="1:12" x14ac:dyDescent="0.35">
      <c r="B22" s="609"/>
    </row>
    <row r="23" spans="1:12" x14ac:dyDescent="0.35">
      <c r="B23" s="609"/>
    </row>
    <row r="24" spans="1:12" x14ac:dyDescent="0.35">
      <c r="B24" s="609"/>
    </row>
    <row r="25" spans="1:12" x14ac:dyDescent="0.35">
      <c r="B25" s="609"/>
    </row>
    <row r="27" spans="1:12" ht="18" x14ac:dyDescent="0.4">
      <c r="B27" s="589" t="s">
        <v>884</v>
      </c>
    </row>
  </sheetData>
  <mergeCells count="9">
    <mergeCell ref="I10:J11"/>
    <mergeCell ref="D19:E19"/>
    <mergeCell ref="B5:H5"/>
    <mergeCell ref="B6:H6"/>
    <mergeCell ref="A10:A12"/>
    <mergeCell ref="B10:B12"/>
    <mergeCell ref="C10:C12"/>
    <mergeCell ref="D10:F11"/>
    <mergeCell ref="G10:H11"/>
  </mergeCells>
  <printOptions horizontalCentered="1" verticalCentered="1"/>
  <pageMargins left="0.19685039370078741" right="0.19685039370078741" top="0.19685039370078741" bottom="0.19685039370078741" header="0.31496062992125984" footer="0.19685039370078741"/>
  <pageSetup paperSize="9" scale="4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194"/>
  <sheetViews>
    <sheetView workbookViewId="0">
      <pane xSplit="8" ySplit="4" topLeftCell="I174" activePane="bottomRight" state="frozen"/>
      <selection activeCell="A6" sqref="A6:A7"/>
      <selection pane="topRight" activeCell="A6" sqref="A6:A7"/>
      <selection pane="bottomLeft" activeCell="A6" sqref="A6:A7"/>
      <selection pane="bottomRight" activeCell="J186" sqref="J186"/>
    </sheetView>
  </sheetViews>
  <sheetFormatPr defaultColWidth="9.1796875" defaultRowHeight="38.25" customHeight="1" x14ac:dyDescent="0.25"/>
  <cols>
    <col min="1" max="1" width="14.1796875" style="582" customWidth="1"/>
    <col min="2" max="2" width="5.7265625" style="507" customWidth="1"/>
    <col min="3" max="3" width="9.1796875" style="503" customWidth="1"/>
    <col min="4" max="4" width="10.81640625" style="502" bestFit="1" customWidth="1"/>
    <col min="5" max="5" width="14.54296875" style="503" customWidth="1"/>
    <col min="6" max="6" width="49.1796875" style="503" customWidth="1"/>
    <col min="7" max="7" width="7.453125" style="503" bestFit="1" customWidth="1"/>
    <col min="8" max="8" width="17.1796875" style="504" bestFit="1" customWidth="1"/>
    <col min="9" max="11" width="17.1796875" style="505" customWidth="1"/>
    <col min="12" max="12" width="14.54296875" style="505" customWidth="1"/>
    <col min="13" max="13" width="15" style="505" bestFit="1" customWidth="1"/>
    <col min="14" max="16384" width="9.1796875" style="503"/>
  </cols>
  <sheetData>
    <row r="1" spans="1:13" ht="13" x14ac:dyDescent="0.3">
      <c r="A1" s="499" t="s">
        <v>647</v>
      </c>
      <c r="B1" s="500"/>
      <c r="C1" s="501"/>
    </row>
    <row r="2" spans="1:13" ht="13" x14ac:dyDescent="0.3">
      <c r="A2" s="499" t="s">
        <v>648</v>
      </c>
      <c r="B2" s="500"/>
      <c r="C2" s="501"/>
    </row>
    <row r="3" spans="1:13" ht="13" x14ac:dyDescent="0.3">
      <c r="A3" s="506" t="s">
        <v>649</v>
      </c>
      <c r="C3" s="508" t="s">
        <v>650</v>
      </c>
    </row>
    <row r="4" spans="1:13" s="515" customFormat="1" ht="34.5" x14ac:dyDescent="0.35">
      <c r="A4" s="509" t="s">
        <v>651</v>
      </c>
      <c r="B4" s="510"/>
      <c r="C4" s="509" t="s">
        <v>652</v>
      </c>
      <c r="D4" s="511" t="s">
        <v>653</v>
      </c>
      <c r="E4" s="509" t="s">
        <v>654</v>
      </c>
      <c r="F4" s="509" t="s">
        <v>655</v>
      </c>
      <c r="G4" s="509" t="s">
        <v>656</v>
      </c>
      <c r="H4" s="512" t="s">
        <v>657</v>
      </c>
      <c r="I4" s="513" t="s">
        <v>658</v>
      </c>
      <c r="J4" s="513" t="s">
        <v>659</v>
      </c>
      <c r="K4" s="514"/>
      <c r="L4" s="514"/>
      <c r="M4" s="514"/>
    </row>
    <row r="5" spans="1:13" ht="15.75" hidden="1" customHeight="1" x14ac:dyDescent="0.25">
      <c r="A5" s="516"/>
      <c r="B5" s="517"/>
      <c r="C5" s="518"/>
      <c r="D5" s="519"/>
      <c r="E5" s="518"/>
      <c r="F5" s="518" t="s">
        <v>660</v>
      </c>
      <c r="G5" s="518"/>
      <c r="H5" s="520">
        <v>0</v>
      </c>
      <c r="I5" s="521"/>
      <c r="J5" s="521"/>
    </row>
    <row r="6" spans="1:13" ht="47.25" hidden="1" customHeight="1" x14ac:dyDescent="0.25">
      <c r="A6" s="522" t="str">
        <f t="shared" ref="A6:A69" si="0">"HSV"&amp;C6&amp;"-"&amp;B6</f>
        <v>HSV2015-001</v>
      </c>
      <c r="B6" s="523" t="s">
        <v>661</v>
      </c>
      <c r="C6" s="524">
        <v>2015</v>
      </c>
      <c r="D6" s="525">
        <v>42032</v>
      </c>
      <c r="E6" s="524" t="s">
        <v>662</v>
      </c>
      <c r="F6" s="524" t="s">
        <v>663</v>
      </c>
      <c r="G6" s="524"/>
      <c r="H6" s="520">
        <f>38693086637+3050458722-88000</f>
        <v>41743457359</v>
      </c>
      <c r="I6" s="520"/>
      <c r="J6" s="520">
        <f>+J5+H6-I6</f>
        <v>41743457359</v>
      </c>
      <c r="L6" s="505">
        <v>38693086637</v>
      </c>
    </row>
    <row r="7" spans="1:13" ht="38.25" hidden="1" customHeight="1" x14ac:dyDescent="0.25">
      <c r="A7" s="522" t="str">
        <f t="shared" si="0"/>
        <v>HSV2015-002</v>
      </c>
      <c r="B7" s="523" t="s">
        <v>664</v>
      </c>
      <c r="C7" s="524">
        <v>2015</v>
      </c>
      <c r="D7" s="525">
        <v>42033</v>
      </c>
      <c r="E7" s="524" t="s">
        <v>665</v>
      </c>
      <c r="F7" s="524" t="s">
        <v>666</v>
      </c>
      <c r="G7" s="524"/>
      <c r="H7" s="520"/>
      <c r="I7" s="520">
        <v>10000000000</v>
      </c>
      <c r="J7" s="520">
        <f t="shared" ref="J7:J70" si="1">+J6+H7-I7</f>
        <v>31743457359</v>
      </c>
      <c r="L7" s="505">
        <f>+H6-L6</f>
        <v>3050370722</v>
      </c>
    </row>
    <row r="8" spans="1:13" ht="38.25" hidden="1" customHeight="1" x14ac:dyDescent="0.25">
      <c r="A8" s="522" t="str">
        <f t="shared" si="0"/>
        <v>HSV2015-003</v>
      </c>
      <c r="B8" s="523" t="s">
        <v>667</v>
      </c>
      <c r="C8" s="524">
        <v>2015</v>
      </c>
      <c r="D8" s="525">
        <v>42034</v>
      </c>
      <c r="E8" s="524" t="s">
        <v>665</v>
      </c>
      <c r="F8" s="524" t="s">
        <v>668</v>
      </c>
      <c r="G8" s="524"/>
      <c r="H8" s="520"/>
      <c r="I8" s="520">
        <v>10000000000</v>
      </c>
      <c r="J8" s="520">
        <f t="shared" si="1"/>
        <v>21743457359</v>
      </c>
      <c r="L8" s="505">
        <f>SUM('[85]FD HSBC'!M7:M16)</f>
        <v>2266150001</v>
      </c>
    </row>
    <row r="9" spans="1:13" ht="38.25" hidden="1" customHeight="1" x14ac:dyDescent="0.25">
      <c r="A9" s="522" t="str">
        <f t="shared" si="0"/>
        <v>HSV2015-004</v>
      </c>
      <c r="B9" s="523" t="s">
        <v>669</v>
      </c>
      <c r="C9" s="524">
        <v>2015</v>
      </c>
      <c r="D9" s="525">
        <v>42037</v>
      </c>
      <c r="E9" s="524" t="s">
        <v>665</v>
      </c>
      <c r="F9" s="524" t="s">
        <v>670</v>
      </c>
      <c r="G9" s="524"/>
      <c r="H9" s="520"/>
      <c r="I9" s="520">
        <v>10000000000</v>
      </c>
      <c r="J9" s="520">
        <f t="shared" si="1"/>
        <v>11743457359</v>
      </c>
      <c r="L9" s="505">
        <f>+L7+L8</f>
        <v>5316520723</v>
      </c>
    </row>
    <row r="10" spans="1:13" ht="38.25" hidden="1" customHeight="1" x14ac:dyDescent="0.25">
      <c r="A10" s="522" t="str">
        <f t="shared" si="0"/>
        <v>HSV2015-005</v>
      </c>
      <c r="B10" s="523" t="s">
        <v>671</v>
      </c>
      <c r="C10" s="524">
        <v>2015</v>
      </c>
      <c r="D10" s="525">
        <v>42039</v>
      </c>
      <c r="E10" s="524" t="s">
        <v>665</v>
      </c>
      <c r="F10" s="524" t="s">
        <v>672</v>
      </c>
      <c r="G10" s="524"/>
      <c r="H10" s="520"/>
      <c r="I10" s="520">
        <v>10000000000</v>
      </c>
      <c r="J10" s="520">
        <f t="shared" si="1"/>
        <v>1743457359</v>
      </c>
    </row>
    <row r="11" spans="1:13" ht="38.25" hidden="1" customHeight="1" x14ac:dyDescent="0.25">
      <c r="A11" s="522" t="str">
        <f t="shared" si="0"/>
        <v>HSV2015-006</v>
      </c>
      <c r="B11" s="523" t="s">
        <v>673</v>
      </c>
      <c r="C11" s="524">
        <v>2015</v>
      </c>
      <c r="D11" s="525">
        <v>42104</v>
      </c>
      <c r="E11" s="524" t="s">
        <v>662</v>
      </c>
      <c r="F11" s="524" t="s">
        <v>674</v>
      </c>
      <c r="G11" s="524"/>
      <c r="H11" s="520">
        <v>3873750758</v>
      </c>
      <c r="I11" s="520"/>
      <c r="J11" s="520">
        <f t="shared" si="1"/>
        <v>5617208117</v>
      </c>
    </row>
    <row r="12" spans="1:13" ht="38.25" hidden="1" customHeight="1" x14ac:dyDescent="0.25">
      <c r="A12" s="522" t="str">
        <f t="shared" si="0"/>
        <v>HSV2015-007</v>
      </c>
      <c r="B12" s="523" t="s">
        <v>675</v>
      </c>
      <c r="C12" s="524">
        <v>2015</v>
      </c>
      <c r="D12" s="525">
        <v>42117</v>
      </c>
      <c r="E12" s="524" t="s">
        <v>665</v>
      </c>
      <c r="F12" s="524" t="s">
        <v>676</v>
      </c>
      <c r="G12" s="524"/>
      <c r="H12" s="520"/>
      <c r="I12" s="520">
        <v>5550000000</v>
      </c>
      <c r="J12" s="520">
        <f t="shared" si="1"/>
        <v>67208117</v>
      </c>
    </row>
    <row r="13" spans="1:13" ht="25" hidden="1" x14ac:dyDescent="0.25">
      <c r="A13" s="522" t="str">
        <f t="shared" si="0"/>
        <v>HSV2015-008</v>
      </c>
      <c r="B13" s="523" t="s">
        <v>677</v>
      </c>
      <c r="C13" s="524">
        <v>2015</v>
      </c>
      <c r="D13" s="525">
        <v>42144</v>
      </c>
      <c r="E13" s="524" t="s">
        <v>662</v>
      </c>
      <c r="F13" s="524" t="s">
        <v>678</v>
      </c>
      <c r="G13" s="524"/>
      <c r="H13" s="520">
        <v>963049123</v>
      </c>
      <c r="I13" s="520"/>
      <c r="J13" s="520">
        <f t="shared" si="1"/>
        <v>1030257240</v>
      </c>
    </row>
    <row r="14" spans="1:13" ht="12.5" hidden="1" x14ac:dyDescent="0.25">
      <c r="A14" s="522" t="str">
        <f t="shared" si="0"/>
        <v>HSV2015-009</v>
      </c>
      <c r="B14" s="523" t="s">
        <v>679</v>
      </c>
      <c r="C14" s="524">
        <v>2015</v>
      </c>
      <c r="D14" s="525">
        <v>42214</v>
      </c>
      <c r="E14" s="524" t="s">
        <v>665</v>
      </c>
      <c r="F14" s="524" t="s">
        <v>680</v>
      </c>
      <c r="G14" s="524"/>
      <c r="H14" s="520">
        <v>10186027778</v>
      </c>
      <c r="I14" s="520"/>
      <c r="J14" s="520">
        <f t="shared" si="1"/>
        <v>11216285018</v>
      </c>
    </row>
    <row r="15" spans="1:13" ht="12.5" hidden="1" x14ac:dyDescent="0.25">
      <c r="A15" s="522" t="str">
        <f>"HSV"&amp;C15&amp;"-"&amp;B15</f>
        <v>HSV2015-010</v>
      </c>
      <c r="B15" s="523" t="s">
        <v>681</v>
      </c>
      <c r="C15" s="524">
        <v>2015</v>
      </c>
      <c r="D15" s="525">
        <v>42214</v>
      </c>
      <c r="E15" s="524" t="s">
        <v>665</v>
      </c>
      <c r="F15" s="524" t="s">
        <v>682</v>
      </c>
      <c r="G15" s="524"/>
      <c r="H15" s="520"/>
      <c r="I15" s="520">
        <v>10000000000</v>
      </c>
      <c r="J15" s="520">
        <f t="shared" si="1"/>
        <v>1216285018</v>
      </c>
    </row>
    <row r="16" spans="1:13" ht="12.5" hidden="1" x14ac:dyDescent="0.25">
      <c r="A16" s="522" t="str">
        <f t="shared" si="0"/>
        <v>HSV2015-011</v>
      </c>
      <c r="B16" s="523" t="s">
        <v>683</v>
      </c>
      <c r="C16" s="524">
        <v>2015</v>
      </c>
      <c r="D16" s="525">
        <v>42215</v>
      </c>
      <c r="E16" s="524" t="s">
        <v>665</v>
      </c>
      <c r="F16" s="524" t="s">
        <v>684</v>
      </c>
      <c r="G16" s="524"/>
      <c r="H16" s="520">
        <v>10186027778</v>
      </c>
      <c r="I16" s="520"/>
      <c r="J16" s="520">
        <f t="shared" si="1"/>
        <v>11402312796</v>
      </c>
    </row>
    <row r="17" spans="1:13" ht="12.5" hidden="1" x14ac:dyDescent="0.25">
      <c r="A17" s="522" t="str">
        <f t="shared" si="0"/>
        <v>HSV2015-012</v>
      </c>
      <c r="B17" s="523" t="s">
        <v>685</v>
      </c>
      <c r="C17" s="524">
        <v>2015</v>
      </c>
      <c r="D17" s="525">
        <v>42215</v>
      </c>
      <c r="E17" s="524" t="s">
        <v>665</v>
      </c>
      <c r="F17" s="524" t="s">
        <v>686</v>
      </c>
      <c r="G17" s="524"/>
      <c r="H17" s="520"/>
      <c r="I17" s="520">
        <v>10000000000</v>
      </c>
      <c r="J17" s="520">
        <f t="shared" si="1"/>
        <v>1402312796</v>
      </c>
    </row>
    <row r="18" spans="1:13" ht="12.5" hidden="1" x14ac:dyDescent="0.25">
      <c r="A18" s="522" t="str">
        <f t="shared" si="0"/>
        <v>HSV2015-013</v>
      </c>
      <c r="B18" s="523" t="s">
        <v>687</v>
      </c>
      <c r="C18" s="524">
        <v>2015</v>
      </c>
      <c r="D18" s="525">
        <v>42219</v>
      </c>
      <c r="E18" s="524" t="s">
        <v>665</v>
      </c>
      <c r="F18" s="524" t="s">
        <v>688</v>
      </c>
      <c r="G18" s="524"/>
      <c r="H18" s="520">
        <v>10187055556</v>
      </c>
      <c r="I18" s="520"/>
      <c r="J18" s="520">
        <f t="shared" si="1"/>
        <v>11589368352</v>
      </c>
    </row>
    <row r="19" spans="1:13" ht="12.5" hidden="1" x14ac:dyDescent="0.25">
      <c r="A19" s="522" t="str">
        <f t="shared" si="0"/>
        <v>HSV2015-014</v>
      </c>
      <c r="B19" s="523" t="s">
        <v>689</v>
      </c>
      <c r="C19" s="524">
        <v>2015</v>
      </c>
      <c r="D19" s="525">
        <v>42219</v>
      </c>
      <c r="E19" s="524" t="s">
        <v>665</v>
      </c>
      <c r="F19" s="524" t="s">
        <v>690</v>
      </c>
      <c r="G19" s="524"/>
      <c r="H19" s="520"/>
      <c r="I19" s="520">
        <v>10000000000</v>
      </c>
      <c r="J19" s="520">
        <f t="shared" si="1"/>
        <v>1589368352</v>
      </c>
    </row>
    <row r="20" spans="1:13" ht="12.5" hidden="1" x14ac:dyDescent="0.25">
      <c r="A20" s="522" t="str">
        <f t="shared" si="0"/>
        <v>HSV2015-015</v>
      </c>
      <c r="B20" s="523" t="s">
        <v>691</v>
      </c>
      <c r="C20" s="524">
        <v>2015</v>
      </c>
      <c r="D20" s="525">
        <v>42220</v>
      </c>
      <c r="E20" s="524" t="s">
        <v>665</v>
      </c>
      <c r="F20" s="524" t="s">
        <v>692</v>
      </c>
      <c r="G20" s="524"/>
      <c r="H20" s="520">
        <v>10186027778</v>
      </c>
      <c r="I20" s="520"/>
      <c r="J20" s="520">
        <f t="shared" si="1"/>
        <v>11775396130</v>
      </c>
    </row>
    <row r="21" spans="1:13" ht="12.5" hidden="1" x14ac:dyDescent="0.25">
      <c r="A21" s="522" t="str">
        <f t="shared" si="0"/>
        <v>HSV2015-016</v>
      </c>
      <c r="B21" s="523" t="s">
        <v>693</v>
      </c>
      <c r="C21" s="524">
        <v>2015</v>
      </c>
      <c r="D21" s="525">
        <v>42220</v>
      </c>
      <c r="E21" s="524" t="s">
        <v>665</v>
      </c>
      <c r="F21" s="524" t="s">
        <v>694</v>
      </c>
      <c r="G21" s="524"/>
      <c r="H21" s="520"/>
      <c r="I21" s="520">
        <v>10000000000</v>
      </c>
      <c r="J21" s="520">
        <f t="shared" si="1"/>
        <v>1775396130</v>
      </c>
    </row>
    <row r="22" spans="1:13" ht="25" hidden="1" x14ac:dyDescent="0.25">
      <c r="A22" s="522" t="str">
        <f t="shared" si="0"/>
        <v>HSV2015-017</v>
      </c>
      <c r="B22" s="523" t="s">
        <v>695</v>
      </c>
      <c r="C22" s="524">
        <v>2015</v>
      </c>
      <c r="D22" s="525">
        <v>42221</v>
      </c>
      <c r="E22" s="524" t="s">
        <v>662</v>
      </c>
      <c r="F22" s="524" t="s">
        <v>696</v>
      </c>
      <c r="G22" s="524"/>
      <c r="H22" s="520">
        <v>751424002</v>
      </c>
      <c r="I22" s="520"/>
      <c r="J22" s="520">
        <f t="shared" si="1"/>
        <v>2526820132</v>
      </c>
    </row>
    <row r="23" spans="1:13" ht="12.5" hidden="1" x14ac:dyDescent="0.25">
      <c r="A23" s="522" t="str">
        <f t="shared" si="0"/>
        <v>HSV2015-018</v>
      </c>
      <c r="B23" s="523" t="s">
        <v>697</v>
      </c>
      <c r="C23" s="524">
        <v>2015</v>
      </c>
      <c r="D23" s="525">
        <v>42227</v>
      </c>
      <c r="E23" s="524" t="s">
        <v>665</v>
      </c>
      <c r="F23" s="524" t="s">
        <v>698</v>
      </c>
      <c r="G23" s="524"/>
      <c r="H23" s="520"/>
      <c r="I23" s="520">
        <v>2450000000</v>
      </c>
      <c r="J23" s="520">
        <f t="shared" si="1"/>
        <v>76820132</v>
      </c>
    </row>
    <row r="24" spans="1:13" ht="25" hidden="1" x14ac:dyDescent="0.25">
      <c r="A24" s="522" t="str">
        <f t="shared" si="0"/>
        <v>HSV2015-019</v>
      </c>
      <c r="B24" s="523" t="s">
        <v>699</v>
      </c>
      <c r="C24" s="524">
        <v>2015</v>
      </c>
      <c r="D24" s="525">
        <v>42255</v>
      </c>
      <c r="E24" s="524" t="s">
        <v>662</v>
      </c>
      <c r="F24" s="524" t="s">
        <v>700</v>
      </c>
      <c r="G24" s="524"/>
      <c r="H24" s="520">
        <v>2142693443</v>
      </c>
      <c r="I24" s="520"/>
      <c r="J24" s="520">
        <f t="shared" si="1"/>
        <v>2219513575</v>
      </c>
    </row>
    <row r="25" spans="1:13" ht="12.5" hidden="1" x14ac:dyDescent="0.25">
      <c r="A25" s="522" t="str">
        <f t="shared" si="0"/>
        <v>HSV2015-020</v>
      </c>
      <c r="B25" s="523" t="s">
        <v>701</v>
      </c>
      <c r="C25" s="524">
        <v>2015</v>
      </c>
      <c r="D25" s="525">
        <v>42258</v>
      </c>
      <c r="E25" s="524" t="s">
        <v>665</v>
      </c>
      <c r="F25" s="524" t="s">
        <v>702</v>
      </c>
      <c r="G25" s="524"/>
      <c r="H25" s="520"/>
      <c r="I25" s="520">
        <v>2100000000</v>
      </c>
      <c r="J25" s="520">
        <f t="shared" si="1"/>
        <v>119513575</v>
      </c>
    </row>
    <row r="26" spans="1:13" ht="12.5" hidden="1" x14ac:dyDescent="0.25">
      <c r="A26" s="522" t="str">
        <f t="shared" si="0"/>
        <v>HSV2015-021</v>
      </c>
      <c r="B26" s="523" t="s">
        <v>703</v>
      </c>
      <c r="C26" s="524">
        <v>2015</v>
      </c>
      <c r="D26" s="525">
        <v>42289</v>
      </c>
      <c r="E26" s="524" t="s">
        <v>665</v>
      </c>
      <c r="F26" s="524" t="s">
        <v>704</v>
      </c>
      <c r="G26" s="524"/>
      <c r="H26" s="520">
        <f>2450000000+15190000</f>
        <v>2465190000</v>
      </c>
      <c r="I26" s="520"/>
      <c r="J26" s="520">
        <f t="shared" si="1"/>
        <v>2584703575</v>
      </c>
    </row>
    <row r="27" spans="1:13" ht="12.5" hidden="1" x14ac:dyDescent="0.25">
      <c r="A27" s="522" t="str">
        <f t="shared" si="0"/>
        <v>HSV2015-022</v>
      </c>
      <c r="B27" s="523" t="s">
        <v>705</v>
      </c>
      <c r="C27" s="524">
        <v>2015</v>
      </c>
      <c r="D27" s="525">
        <v>42318</v>
      </c>
      <c r="E27" s="524" t="s">
        <v>665</v>
      </c>
      <c r="F27" s="524" t="s">
        <v>706</v>
      </c>
      <c r="G27" s="524"/>
      <c r="H27" s="520"/>
      <c r="I27" s="520">
        <v>2500000000</v>
      </c>
      <c r="J27" s="520">
        <f t="shared" si="1"/>
        <v>84703575</v>
      </c>
    </row>
    <row r="28" spans="1:13" ht="25" hidden="1" x14ac:dyDescent="0.25">
      <c r="A28" s="522" t="str">
        <f t="shared" si="0"/>
        <v>HSV2015-023</v>
      </c>
      <c r="B28" s="526" t="s">
        <v>707</v>
      </c>
      <c r="C28" s="524">
        <v>2015</v>
      </c>
      <c r="D28" s="525">
        <v>42340</v>
      </c>
      <c r="E28" s="524" t="s">
        <v>662</v>
      </c>
      <c r="F28" s="524" t="s">
        <v>708</v>
      </c>
      <c r="G28" s="524"/>
      <c r="H28" s="520">
        <v>1739025490</v>
      </c>
      <c r="I28" s="520"/>
      <c r="J28" s="520">
        <f t="shared" si="1"/>
        <v>1823729065</v>
      </c>
    </row>
    <row r="29" spans="1:13" ht="12.5" hidden="1" x14ac:dyDescent="0.25">
      <c r="A29" s="522" t="str">
        <f t="shared" si="0"/>
        <v>HSV2015-024</v>
      </c>
      <c r="B29" s="526" t="s">
        <v>709</v>
      </c>
      <c r="C29" s="524">
        <v>2015</v>
      </c>
      <c r="D29" s="525">
        <v>42353</v>
      </c>
      <c r="E29" s="524" t="s">
        <v>665</v>
      </c>
      <c r="F29" s="524" t="s">
        <v>710</v>
      </c>
      <c r="G29" s="524"/>
      <c r="H29" s="520"/>
      <c r="I29" s="520">
        <v>1700000000</v>
      </c>
      <c r="J29" s="520">
        <f t="shared" si="1"/>
        <v>123729065</v>
      </c>
    </row>
    <row r="30" spans="1:13" ht="12.5" hidden="1" x14ac:dyDescent="0.25">
      <c r="A30" s="527"/>
      <c r="B30" s="528"/>
      <c r="C30" s="529"/>
      <c r="D30" s="530"/>
      <c r="E30" s="529"/>
      <c r="F30" s="529"/>
      <c r="G30" s="529"/>
      <c r="H30" s="531"/>
      <c r="I30" s="531"/>
      <c r="J30" s="531"/>
    </row>
    <row r="31" spans="1:13" s="538" customFormat="1" ht="18" hidden="1" customHeight="1" x14ac:dyDescent="0.3">
      <c r="A31" s="532"/>
      <c r="B31" s="533"/>
      <c r="C31" s="534"/>
      <c r="D31" s="535"/>
      <c r="E31" s="534"/>
      <c r="F31" s="534" t="s">
        <v>711</v>
      </c>
      <c r="G31" s="534"/>
      <c r="H31" s="536">
        <f>SUM(H6:H29)</f>
        <v>94423729065</v>
      </c>
      <c r="I31" s="536">
        <f>SUM(I6:I29)</f>
        <v>94300000000</v>
      </c>
      <c r="J31" s="536">
        <f>J5+H31-I31</f>
        <v>123729065</v>
      </c>
      <c r="K31" s="537"/>
      <c r="L31" s="537"/>
      <c r="M31" s="537"/>
    </row>
    <row r="32" spans="1:13" s="538" customFormat="1" ht="18" hidden="1" customHeight="1" x14ac:dyDescent="0.3">
      <c r="A32" s="539"/>
      <c r="B32" s="540"/>
      <c r="C32" s="541"/>
      <c r="D32" s="542"/>
      <c r="E32" s="541"/>
      <c r="F32" s="541" t="s">
        <v>712</v>
      </c>
      <c r="G32" s="541"/>
      <c r="H32" s="543">
        <f>J31</f>
        <v>123729065</v>
      </c>
      <c r="I32" s="543"/>
      <c r="J32" s="543"/>
      <c r="K32" s="537"/>
      <c r="L32" s="537"/>
      <c r="M32" s="537"/>
    </row>
    <row r="33" spans="1:13" s="538" customFormat="1" ht="12.5" hidden="1" x14ac:dyDescent="0.25">
      <c r="A33" s="522" t="str">
        <f t="shared" si="0"/>
        <v>HSV2016-001</v>
      </c>
      <c r="B33" s="526" t="s">
        <v>661</v>
      </c>
      <c r="C33" s="524">
        <v>2016</v>
      </c>
      <c r="D33" s="525">
        <v>42394</v>
      </c>
      <c r="E33" s="524" t="s">
        <v>665</v>
      </c>
      <c r="F33" s="524" t="s">
        <v>713</v>
      </c>
      <c r="G33" s="524" t="s">
        <v>151</v>
      </c>
      <c r="H33" s="520"/>
      <c r="I33" s="520">
        <v>550000</v>
      </c>
      <c r="J33" s="544">
        <f>H32+H33-I33</f>
        <v>123179065</v>
      </c>
      <c r="K33" s="537"/>
      <c r="L33" s="537"/>
      <c r="M33" s="537"/>
    </row>
    <row r="34" spans="1:13" ht="12.5" hidden="1" x14ac:dyDescent="0.25">
      <c r="A34" s="545" t="str">
        <f t="shared" si="0"/>
        <v>HSV2016-002</v>
      </c>
      <c r="B34" s="546" t="s">
        <v>664</v>
      </c>
      <c r="C34" s="547">
        <v>2016</v>
      </c>
      <c r="D34" s="548">
        <v>42426</v>
      </c>
      <c r="E34" s="547" t="s">
        <v>662</v>
      </c>
      <c r="F34" s="547" t="s">
        <v>714</v>
      </c>
      <c r="G34" s="547"/>
      <c r="H34" s="549">
        <v>3087105969</v>
      </c>
      <c r="I34" s="549"/>
      <c r="J34" s="549">
        <f t="shared" si="1"/>
        <v>3210285034</v>
      </c>
    </row>
    <row r="35" spans="1:13" ht="12.5" hidden="1" x14ac:dyDescent="0.25">
      <c r="A35" s="522" t="str">
        <f t="shared" si="0"/>
        <v>HSV2016-003</v>
      </c>
      <c r="B35" s="526" t="s">
        <v>667</v>
      </c>
      <c r="C35" s="524">
        <v>2016</v>
      </c>
      <c r="D35" s="525">
        <v>42433</v>
      </c>
      <c r="E35" s="524" t="s">
        <v>665</v>
      </c>
      <c r="F35" s="524" t="s">
        <v>715</v>
      </c>
      <c r="G35" s="524"/>
      <c r="H35" s="520"/>
      <c r="I35" s="520">
        <v>3000000000</v>
      </c>
      <c r="J35" s="549">
        <f t="shared" si="1"/>
        <v>210285034</v>
      </c>
    </row>
    <row r="36" spans="1:13" ht="12.5" hidden="1" x14ac:dyDescent="0.25">
      <c r="A36" s="522" t="str">
        <f t="shared" si="0"/>
        <v>HSV2016-004</v>
      </c>
      <c r="B36" s="526" t="s">
        <v>669</v>
      </c>
      <c r="C36" s="524">
        <v>2016</v>
      </c>
      <c r="D36" s="525">
        <v>42479</v>
      </c>
      <c r="E36" s="524" t="s">
        <v>662</v>
      </c>
      <c r="F36" s="524" t="s">
        <v>714</v>
      </c>
      <c r="G36" s="524"/>
      <c r="H36" s="520">
        <v>856560014</v>
      </c>
      <c r="I36" s="520"/>
      <c r="J36" s="549">
        <f t="shared" si="1"/>
        <v>1066845048</v>
      </c>
    </row>
    <row r="37" spans="1:13" ht="25" hidden="1" x14ac:dyDescent="0.25">
      <c r="A37" s="522" t="str">
        <f t="shared" si="0"/>
        <v>HSV2016-005</v>
      </c>
      <c r="B37" s="526" t="s">
        <v>671</v>
      </c>
      <c r="C37" s="524">
        <v>2016</v>
      </c>
      <c r="D37" s="525">
        <v>42485</v>
      </c>
      <c r="E37" s="524" t="s">
        <v>665</v>
      </c>
      <c r="F37" s="524" t="s">
        <v>716</v>
      </c>
      <c r="G37" s="524"/>
      <c r="H37" s="520">
        <v>5799626667</v>
      </c>
      <c r="I37" s="520"/>
      <c r="J37" s="549">
        <f t="shared" si="1"/>
        <v>6866471715</v>
      </c>
      <c r="L37" s="505">
        <v>5550000000</v>
      </c>
      <c r="M37" s="505">
        <f>H37-L37</f>
        <v>249626667</v>
      </c>
    </row>
    <row r="38" spans="1:13" ht="25" hidden="1" x14ac:dyDescent="0.25">
      <c r="A38" s="522" t="str">
        <f t="shared" si="0"/>
        <v>HSV2016-006</v>
      </c>
      <c r="B38" s="526" t="s">
        <v>673</v>
      </c>
      <c r="C38" s="524">
        <v>2016</v>
      </c>
      <c r="D38" s="525">
        <v>42487</v>
      </c>
      <c r="E38" s="524" t="s">
        <v>665</v>
      </c>
      <c r="F38" s="524" t="s">
        <v>717</v>
      </c>
      <c r="G38" s="524"/>
      <c r="H38" s="520"/>
      <c r="I38" s="520">
        <v>6000000000</v>
      </c>
      <c r="J38" s="549">
        <f t="shared" si="1"/>
        <v>866471715</v>
      </c>
      <c r="K38" s="505" t="s">
        <v>718</v>
      </c>
    </row>
    <row r="39" spans="1:13" ht="25" hidden="1" x14ac:dyDescent="0.25">
      <c r="A39" s="522" t="str">
        <f t="shared" si="0"/>
        <v>HSV2016-007</v>
      </c>
      <c r="B39" s="526" t="s">
        <v>675</v>
      </c>
      <c r="C39" s="524">
        <v>2016</v>
      </c>
      <c r="D39" s="525">
        <v>42489</v>
      </c>
      <c r="E39" s="524" t="s">
        <v>665</v>
      </c>
      <c r="F39" s="524" t="s">
        <v>719</v>
      </c>
      <c r="G39" s="524"/>
      <c r="H39" s="520">
        <v>10313194444</v>
      </c>
      <c r="I39" s="520"/>
      <c r="J39" s="549">
        <f t="shared" si="1"/>
        <v>11179666159</v>
      </c>
      <c r="L39" s="505">
        <v>10000000000</v>
      </c>
      <c r="M39" s="505">
        <f>H39-L39</f>
        <v>313194444</v>
      </c>
    </row>
    <row r="40" spans="1:13" ht="25" hidden="1" x14ac:dyDescent="0.25">
      <c r="A40" s="522" t="str">
        <f t="shared" si="0"/>
        <v>HSV2016-008</v>
      </c>
      <c r="B40" s="526" t="s">
        <v>677</v>
      </c>
      <c r="C40" s="524">
        <v>2016</v>
      </c>
      <c r="D40" s="525">
        <v>42494</v>
      </c>
      <c r="E40" s="524" t="s">
        <v>665</v>
      </c>
      <c r="F40" s="524" t="s">
        <v>720</v>
      </c>
      <c r="G40" s="524"/>
      <c r="H40" s="520">
        <v>10317750000</v>
      </c>
      <c r="I40" s="520"/>
      <c r="J40" s="549">
        <f t="shared" si="1"/>
        <v>21497416159</v>
      </c>
      <c r="L40" s="505">
        <v>10000000000</v>
      </c>
      <c r="M40" s="505">
        <f t="shared" ref="M40:M42" si="2">H40-L40</f>
        <v>317750000</v>
      </c>
    </row>
    <row r="41" spans="1:13" ht="25" hidden="1" x14ac:dyDescent="0.25">
      <c r="A41" s="522" t="str">
        <f t="shared" si="0"/>
        <v>HSV2016-009</v>
      </c>
      <c r="B41" s="526" t="s">
        <v>679</v>
      </c>
      <c r="C41" s="524">
        <v>2016</v>
      </c>
      <c r="D41" s="525">
        <v>42494</v>
      </c>
      <c r="E41" s="524" t="s">
        <v>665</v>
      </c>
      <c r="F41" s="524" t="s">
        <v>721</v>
      </c>
      <c r="G41" s="524"/>
      <c r="H41" s="520">
        <v>10313194444</v>
      </c>
      <c r="I41" s="520"/>
      <c r="J41" s="549">
        <f t="shared" si="1"/>
        <v>31810610603</v>
      </c>
      <c r="L41" s="505">
        <v>10000000000</v>
      </c>
      <c r="M41" s="505">
        <f t="shared" si="2"/>
        <v>313194444</v>
      </c>
    </row>
    <row r="42" spans="1:13" ht="25" hidden="1" x14ac:dyDescent="0.25">
      <c r="A42" s="522" t="str">
        <f t="shared" si="0"/>
        <v>HSV2016-010</v>
      </c>
      <c r="B42" s="526" t="s">
        <v>681</v>
      </c>
      <c r="C42" s="524">
        <v>2016</v>
      </c>
      <c r="D42" s="525">
        <v>42494</v>
      </c>
      <c r="E42" s="524" t="s">
        <v>665</v>
      </c>
      <c r="F42" s="524" t="s">
        <v>722</v>
      </c>
      <c r="G42" s="524"/>
      <c r="H42" s="520">
        <v>10312055556</v>
      </c>
      <c r="I42" s="520"/>
      <c r="J42" s="549">
        <f t="shared" si="1"/>
        <v>42122666159</v>
      </c>
      <c r="L42" s="505">
        <v>10000000000</v>
      </c>
      <c r="M42" s="505">
        <f t="shared" si="2"/>
        <v>312055556</v>
      </c>
    </row>
    <row r="43" spans="1:13" ht="25" hidden="1" x14ac:dyDescent="0.25">
      <c r="A43" s="522" t="str">
        <f t="shared" si="0"/>
        <v>HSV2016-011</v>
      </c>
      <c r="B43" s="526" t="s">
        <v>683</v>
      </c>
      <c r="C43" s="524">
        <v>2016</v>
      </c>
      <c r="D43" s="525">
        <v>42499</v>
      </c>
      <c r="E43" s="524" t="s">
        <v>665</v>
      </c>
      <c r="F43" s="524" t="s">
        <v>723</v>
      </c>
      <c r="G43" s="524"/>
      <c r="H43" s="520"/>
      <c r="I43" s="520">
        <v>10000000000</v>
      </c>
      <c r="J43" s="549">
        <f t="shared" si="1"/>
        <v>32122666159</v>
      </c>
      <c r="K43" s="505" t="s">
        <v>718</v>
      </c>
    </row>
    <row r="44" spans="1:13" ht="25" hidden="1" x14ac:dyDescent="0.25">
      <c r="A44" s="522" t="str">
        <f>"HSV"&amp;C44&amp;"-"&amp;B44</f>
        <v>HSV2016-012</v>
      </c>
      <c r="B44" s="526" t="s">
        <v>685</v>
      </c>
      <c r="C44" s="524">
        <v>2016</v>
      </c>
      <c r="D44" s="525">
        <v>42500</v>
      </c>
      <c r="E44" s="524" t="s">
        <v>665</v>
      </c>
      <c r="F44" s="524" t="s">
        <v>724</v>
      </c>
      <c r="G44" s="524" t="s">
        <v>151</v>
      </c>
      <c r="H44" s="520"/>
      <c r="I44" s="520">
        <v>770000</v>
      </c>
      <c r="J44" s="549">
        <f t="shared" si="1"/>
        <v>32121896159</v>
      </c>
    </row>
    <row r="45" spans="1:13" ht="25" hidden="1" x14ac:dyDescent="0.25">
      <c r="A45" s="522" t="str">
        <f t="shared" si="0"/>
        <v>HSV2016-013</v>
      </c>
      <c r="B45" s="526" t="s">
        <v>687</v>
      </c>
      <c r="C45" s="524">
        <v>2016</v>
      </c>
      <c r="D45" s="525">
        <v>42500</v>
      </c>
      <c r="E45" s="524" t="s">
        <v>665</v>
      </c>
      <c r="F45" s="524" t="s">
        <v>725</v>
      </c>
      <c r="G45" s="524"/>
      <c r="H45" s="520"/>
      <c r="I45" s="520">
        <v>10000000000</v>
      </c>
      <c r="J45" s="549">
        <f t="shared" si="1"/>
        <v>22121896159</v>
      </c>
      <c r="K45" s="505" t="s">
        <v>718</v>
      </c>
    </row>
    <row r="46" spans="1:13" ht="25" hidden="1" x14ac:dyDescent="0.25">
      <c r="A46" s="522" t="str">
        <f t="shared" si="0"/>
        <v>HSV2016-014</v>
      </c>
      <c r="B46" s="526" t="s">
        <v>689</v>
      </c>
      <c r="C46" s="524">
        <v>2016</v>
      </c>
      <c r="D46" s="525">
        <v>42501</v>
      </c>
      <c r="E46" s="524" t="s">
        <v>665</v>
      </c>
      <c r="F46" s="524" t="s">
        <v>726</v>
      </c>
      <c r="G46" s="524"/>
      <c r="H46" s="520"/>
      <c r="I46" s="520">
        <v>10000000000</v>
      </c>
      <c r="J46" s="549">
        <f t="shared" si="1"/>
        <v>12121896159</v>
      </c>
      <c r="K46" s="505" t="s">
        <v>718</v>
      </c>
    </row>
    <row r="47" spans="1:13" ht="25" hidden="1" x14ac:dyDescent="0.25">
      <c r="A47" s="522" t="str">
        <f t="shared" si="0"/>
        <v>HSV2016-015</v>
      </c>
      <c r="B47" s="526" t="s">
        <v>691</v>
      </c>
      <c r="C47" s="524">
        <v>2016</v>
      </c>
      <c r="D47" s="525">
        <v>42502</v>
      </c>
      <c r="E47" s="524" t="s">
        <v>665</v>
      </c>
      <c r="F47" s="524" t="s">
        <v>727</v>
      </c>
      <c r="G47" s="524"/>
      <c r="H47" s="520"/>
      <c r="I47" s="520">
        <v>10000000000</v>
      </c>
      <c r="J47" s="549">
        <f t="shared" si="1"/>
        <v>2121896159</v>
      </c>
      <c r="K47" s="505" t="s">
        <v>718</v>
      </c>
    </row>
    <row r="48" spans="1:13" ht="25" hidden="1" x14ac:dyDescent="0.25">
      <c r="A48" s="522" t="str">
        <f t="shared" si="0"/>
        <v>HSV2016-016</v>
      </c>
      <c r="B48" s="526" t="s">
        <v>693</v>
      </c>
      <c r="C48" s="524">
        <v>2016</v>
      </c>
      <c r="D48" s="525">
        <v>42503</v>
      </c>
      <c r="E48" s="524" t="s">
        <v>665</v>
      </c>
      <c r="F48" s="524" t="s">
        <v>728</v>
      </c>
      <c r="G48" s="524"/>
      <c r="H48" s="520"/>
      <c r="I48" s="520">
        <v>1500000000</v>
      </c>
      <c r="J48" s="549">
        <f t="shared" si="1"/>
        <v>621896159</v>
      </c>
      <c r="K48" s="505" t="s">
        <v>718</v>
      </c>
    </row>
    <row r="49" spans="1:13" ht="25" hidden="1" x14ac:dyDescent="0.25">
      <c r="A49" s="522" t="str">
        <f t="shared" si="0"/>
        <v>HSV2016-017</v>
      </c>
      <c r="B49" s="526" t="s">
        <v>695</v>
      </c>
      <c r="C49" s="524">
        <v>2016</v>
      </c>
      <c r="D49" s="525">
        <v>42515</v>
      </c>
      <c r="E49" s="524" t="s">
        <v>665</v>
      </c>
      <c r="F49" s="524" t="s">
        <v>729</v>
      </c>
      <c r="G49" s="524" t="s">
        <v>151</v>
      </c>
      <c r="H49" s="520"/>
      <c r="I49" s="520">
        <v>550000</v>
      </c>
      <c r="J49" s="549">
        <f t="shared" si="1"/>
        <v>621346159</v>
      </c>
    </row>
    <row r="50" spans="1:13" s="555" customFormat="1" ht="25" hidden="1" x14ac:dyDescent="0.25">
      <c r="A50" s="550" t="str">
        <f t="shared" si="0"/>
        <v>HSV2016-018</v>
      </c>
      <c r="B50" s="551" t="s">
        <v>697</v>
      </c>
      <c r="C50" s="552">
        <v>2016</v>
      </c>
      <c r="D50" s="553">
        <v>42534</v>
      </c>
      <c r="E50" s="552" t="s">
        <v>665</v>
      </c>
      <c r="F50" s="552" t="s">
        <v>730</v>
      </c>
      <c r="G50" s="552"/>
      <c r="H50" s="544">
        <v>2164400000</v>
      </c>
      <c r="I50" s="544"/>
      <c r="J50" s="549">
        <f t="shared" si="1"/>
        <v>2785746159</v>
      </c>
      <c r="K50" s="554"/>
      <c r="L50" s="554">
        <v>2100000000</v>
      </c>
      <c r="M50" s="505">
        <f t="shared" ref="M50" si="3">H50-L50</f>
        <v>64400000</v>
      </c>
    </row>
    <row r="51" spans="1:13" s="555" customFormat="1" ht="25" hidden="1" x14ac:dyDescent="0.25">
      <c r="A51" s="550" t="str">
        <f t="shared" si="0"/>
        <v>HSV2016-019</v>
      </c>
      <c r="B51" s="551" t="s">
        <v>699</v>
      </c>
      <c r="C51" s="552">
        <v>2016</v>
      </c>
      <c r="D51" s="553">
        <v>42534</v>
      </c>
      <c r="E51" s="552" t="s">
        <v>665</v>
      </c>
      <c r="F51" s="552" t="s">
        <v>731</v>
      </c>
      <c r="G51" s="552"/>
      <c r="H51" s="544"/>
      <c r="I51" s="544">
        <v>2100000000</v>
      </c>
      <c r="J51" s="549">
        <f t="shared" si="1"/>
        <v>685746159</v>
      </c>
      <c r="K51" s="554" t="s">
        <v>578</v>
      </c>
      <c r="L51" s="554"/>
      <c r="M51" s="554"/>
    </row>
    <row r="52" spans="1:13" ht="12.5" hidden="1" x14ac:dyDescent="0.25">
      <c r="A52" s="522" t="str">
        <f t="shared" si="0"/>
        <v>HSV2016-020</v>
      </c>
      <c r="B52" s="526" t="s">
        <v>701</v>
      </c>
      <c r="C52" s="524">
        <v>2016</v>
      </c>
      <c r="D52" s="525">
        <v>42535</v>
      </c>
      <c r="E52" s="524" t="s">
        <v>662</v>
      </c>
      <c r="F52" s="524" t="s">
        <v>732</v>
      </c>
      <c r="G52" s="524"/>
      <c r="H52" s="520">
        <v>551788265</v>
      </c>
      <c r="I52" s="520"/>
      <c r="J52" s="549">
        <f t="shared" si="1"/>
        <v>1237534424</v>
      </c>
    </row>
    <row r="53" spans="1:13" ht="37.5" hidden="1" x14ac:dyDescent="0.25">
      <c r="A53" s="522" t="str">
        <f t="shared" si="0"/>
        <v>HSV2016-021</v>
      </c>
      <c r="B53" s="526" t="s">
        <v>703</v>
      </c>
      <c r="C53" s="524">
        <v>2016</v>
      </c>
      <c r="D53" s="525">
        <v>42550</v>
      </c>
      <c r="E53" s="524" t="s">
        <v>662</v>
      </c>
      <c r="F53" s="524" t="s">
        <v>733</v>
      </c>
      <c r="G53" s="524" t="s">
        <v>20</v>
      </c>
      <c r="H53" s="520"/>
      <c r="I53" s="520">
        <v>582454045</v>
      </c>
      <c r="J53" s="549">
        <f t="shared" si="1"/>
        <v>655080379</v>
      </c>
    </row>
    <row r="54" spans="1:13" ht="62.5" hidden="1" x14ac:dyDescent="0.25">
      <c r="A54" s="522" t="str">
        <f t="shared" si="0"/>
        <v>HSV2016-022</v>
      </c>
      <c r="B54" s="526" t="s">
        <v>705</v>
      </c>
      <c r="C54" s="524">
        <v>2016</v>
      </c>
      <c r="D54" s="525">
        <v>42551</v>
      </c>
      <c r="E54" s="524" t="s">
        <v>734</v>
      </c>
      <c r="F54" s="524" t="s">
        <v>735</v>
      </c>
      <c r="G54" s="524" t="s">
        <v>75</v>
      </c>
      <c r="H54" s="520"/>
      <c r="I54" s="520">
        <v>22203500</v>
      </c>
      <c r="J54" s="549">
        <f t="shared" si="1"/>
        <v>632876879</v>
      </c>
    </row>
    <row r="55" spans="1:13" ht="12.5" hidden="1" x14ac:dyDescent="0.25">
      <c r="A55" s="522" t="str">
        <f t="shared" si="0"/>
        <v>HSV2016-022</v>
      </c>
      <c r="B55" s="526" t="s">
        <v>705</v>
      </c>
      <c r="C55" s="524">
        <v>2016</v>
      </c>
      <c r="D55" s="525">
        <v>42551</v>
      </c>
      <c r="E55" s="524" t="s">
        <v>665</v>
      </c>
      <c r="F55" s="524" t="s">
        <v>736</v>
      </c>
      <c r="G55" s="524" t="s">
        <v>151</v>
      </c>
      <c r="H55" s="520"/>
      <c r="I55" s="520">
        <v>33000</v>
      </c>
      <c r="J55" s="549">
        <f t="shared" si="1"/>
        <v>632843879</v>
      </c>
    </row>
    <row r="56" spans="1:13" ht="62.5" hidden="1" x14ac:dyDescent="0.25">
      <c r="A56" s="522" t="str">
        <f t="shared" si="0"/>
        <v>HSV2016-023</v>
      </c>
      <c r="B56" s="526" t="s">
        <v>707</v>
      </c>
      <c r="C56" s="524">
        <v>2016</v>
      </c>
      <c r="D56" s="525">
        <v>42557</v>
      </c>
      <c r="E56" s="524" t="s">
        <v>734</v>
      </c>
      <c r="F56" s="524" t="s">
        <v>737</v>
      </c>
      <c r="G56" s="524" t="s">
        <v>75</v>
      </c>
      <c r="H56" s="520"/>
      <c r="I56" s="520">
        <v>161936940</v>
      </c>
      <c r="J56" s="549">
        <f t="shared" si="1"/>
        <v>470906939</v>
      </c>
    </row>
    <row r="57" spans="1:13" ht="12.5" hidden="1" x14ac:dyDescent="0.25">
      <c r="A57" s="522" t="str">
        <f t="shared" si="0"/>
        <v>HSV2016-023</v>
      </c>
      <c r="B57" s="526" t="s">
        <v>707</v>
      </c>
      <c r="C57" s="524">
        <v>2016</v>
      </c>
      <c r="D57" s="525">
        <v>42557</v>
      </c>
      <c r="E57" s="524" t="s">
        <v>665</v>
      </c>
      <c r="F57" s="524" t="s">
        <v>736</v>
      </c>
      <c r="G57" s="524" t="s">
        <v>151</v>
      </c>
      <c r="H57" s="520"/>
      <c r="I57" s="520">
        <v>33000</v>
      </c>
      <c r="J57" s="549">
        <f t="shared" si="1"/>
        <v>470873939</v>
      </c>
    </row>
    <row r="58" spans="1:13" ht="62.5" hidden="1" x14ac:dyDescent="0.25">
      <c r="A58" s="522" t="str">
        <f t="shared" si="0"/>
        <v>HSV2016-024</v>
      </c>
      <c r="B58" s="526" t="s">
        <v>709</v>
      </c>
      <c r="C58" s="524">
        <v>2016</v>
      </c>
      <c r="D58" s="525">
        <v>42580</v>
      </c>
      <c r="E58" s="524" t="s">
        <v>734</v>
      </c>
      <c r="F58" s="524" t="s">
        <v>738</v>
      </c>
      <c r="G58" s="524" t="s">
        <v>75</v>
      </c>
      <c r="H58" s="520"/>
      <c r="I58" s="520">
        <v>124773000</v>
      </c>
      <c r="J58" s="549">
        <f t="shared" si="1"/>
        <v>346100939</v>
      </c>
    </row>
    <row r="59" spans="1:13" ht="12.5" hidden="1" x14ac:dyDescent="0.25">
      <c r="A59" s="522" t="str">
        <f t="shared" si="0"/>
        <v>HSV2016-024</v>
      </c>
      <c r="B59" s="526" t="s">
        <v>709</v>
      </c>
      <c r="C59" s="524">
        <v>2016</v>
      </c>
      <c r="D59" s="525">
        <v>42580</v>
      </c>
      <c r="E59" s="524" t="s">
        <v>734</v>
      </c>
      <c r="F59" s="524" t="s">
        <v>736</v>
      </c>
      <c r="G59" s="524" t="s">
        <v>151</v>
      </c>
      <c r="H59" s="520"/>
      <c r="I59" s="520">
        <v>33000</v>
      </c>
      <c r="J59" s="549">
        <f t="shared" si="1"/>
        <v>346067939</v>
      </c>
    </row>
    <row r="60" spans="1:13" ht="25" hidden="1" x14ac:dyDescent="0.25">
      <c r="A60" s="522" t="str">
        <f t="shared" si="0"/>
        <v>HSV2016-025</v>
      </c>
      <c r="B60" s="526" t="s">
        <v>739</v>
      </c>
      <c r="C60" s="524">
        <v>2016</v>
      </c>
      <c r="D60" s="525">
        <v>42592</v>
      </c>
      <c r="E60" s="524" t="s">
        <v>665</v>
      </c>
      <c r="F60" s="552" t="s">
        <v>740</v>
      </c>
      <c r="G60" s="524"/>
      <c r="H60" s="520">
        <v>2576111111</v>
      </c>
      <c r="I60" s="520"/>
      <c r="J60" s="549">
        <f t="shared" si="1"/>
        <v>2922179050</v>
      </c>
      <c r="L60" s="505">
        <v>2500000000</v>
      </c>
      <c r="M60" s="505">
        <f>H60-L60</f>
        <v>76111111</v>
      </c>
    </row>
    <row r="61" spans="1:13" ht="25" hidden="1" x14ac:dyDescent="0.25">
      <c r="A61" s="522" t="str">
        <f t="shared" si="0"/>
        <v>HSV2016-026</v>
      </c>
      <c r="B61" s="526" t="s">
        <v>741</v>
      </c>
      <c r="C61" s="524">
        <v>2016</v>
      </c>
      <c r="D61" s="525">
        <v>42594</v>
      </c>
      <c r="E61" s="524" t="s">
        <v>665</v>
      </c>
      <c r="F61" s="552" t="s">
        <v>742</v>
      </c>
      <c r="G61" s="524"/>
      <c r="H61" s="520"/>
      <c r="I61" s="520">
        <v>2500000000</v>
      </c>
      <c r="J61" s="549">
        <f t="shared" si="1"/>
        <v>422179050</v>
      </c>
      <c r="K61" s="505" t="s">
        <v>578</v>
      </c>
    </row>
    <row r="62" spans="1:13" ht="62.5" hidden="1" x14ac:dyDescent="0.25">
      <c r="A62" s="522" t="str">
        <f>"HSV"&amp;C62&amp;"-"&amp;B62</f>
        <v>HSV2016-027</v>
      </c>
      <c r="B62" s="526" t="s">
        <v>743</v>
      </c>
      <c r="C62" s="524">
        <v>2016</v>
      </c>
      <c r="D62" s="525">
        <v>42606</v>
      </c>
      <c r="E62" s="524" t="s">
        <v>734</v>
      </c>
      <c r="F62" s="524" t="s">
        <v>744</v>
      </c>
      <c r="G62" s="524" t="s">
        <v>75</v>
      </c>
      <c r="H62" s="520"/>
      <c r="I62" s="520">
        <v>161936940</v>
      </c>
      <c r="J62" s="549">
        <f t="shared" si="1"/>
        <v>260242110</v>
      </c>
    </row>
    <row r="63" spans="1:13" ht="12.5" hidden="1" x14ac:dyDescent="0.25">
      <c r="A63" s="522" t="str">
        <f t="shared" ref="A63" si="4">"HSV"&amp;C63&amp;"-"&amp;B63</f>
        <v>HSV2016-027</v>
      </c>
      <c r="B63" s="526" t="s">
        <v>743</v>
      </c>
      <c r="C63" s="524">
        <v>2016</v>
      </c>
      <c r="D63" s="525">
        <v>42606</v>
      </c>
      <c r="E63" s="556" t="s">
        <v>734</v>
      </c>
      <c r="F63" s="556" t="s">
        <v>736</v>
      </c>
      <c r="G63" s="556" t="s">
        <v>151</v>
      </c>
      <c r="H63" s="557"/>
      <c r="I63" s="520">
        <v>33000</v>
      </c>
      <c r="J63" s="549">
        <f t="shared" si="1"/>
        <v>260209110</v>
      </c>
    </row>
    <row r="64" spans="1:13" ht="50" hidden="1" x14ac:dyDescent="0.25">
      <c r="A64" s="522" t="str">
        <f>"HSV"&amp;C64&amp;"-"&amp;B64</f>
        <v>HSV2016-028</v>
      </c>
      <c r="B64" s="526" t="s">
        <v>745</v>
      </c>
      <c r="C64" s="524">
        <v>2016</v>
      </c>
      <c r="D64" s="525">
        <v>42606</v>
      </c>
      <c r="E64" s="524" t="s">
        <v>734</v>
      </c>
      <c r="F64" s="524" t="s">
        <v>746</v>
      </c>
      <c r="G64" s="524" t="s">
        <v>75</v>
      </c>
      <c r="H64" s="520"/>
      <c r="I64" s="520">
        <v>126846720</v>
      </c>
      <c r="J64" s="549">
        <f t="shared" si="1"/>
        <v>133362390</v>
      </c>
    </row>
    <row r="65" spans="1:13" ht="12.5" hidden="1" x14ac:dyDescent="0.25">
      <c r="A65" s="522" t="str">
        <f t="shared" ref="A65" si="5">"HSV"&amp;C65&amp;"-"&amp;B65</f>
        <v>HSV2016-028</v>
      </c>
      <c r="B65" s="526" t="s">
        <v>745</v>
      </c>
      <c r="C65" s="524">
        <v>2016</v>
      </c>
      <c r="D65" s="525">
        <v>42606</v>
      </c>
      <c r="E65" s="556" t="s">
        <v>734</v>
      </c>
      <c r="F65" s="556" t="s">
        <v>736</v>
      </c>
      <c r="G65" s="556" t="s">
        <v>151</v>
      </c>
      <c r="H65" s="557"/>
      <c r="I65" s="520">
        <v>33000</v>
      </c>
      <c r="J65" s="549">
        <f t="shared" si="1"/>
        <v>133329390</v>
      </c>
    </row>
    <row r="66" spans="1:13" ht="75" hidden="1" x14ac:dyDescent="0.25">
      <c r="A66" s="522" t="str">
        <f t="shared" si="0"/>
        <v>HSV2016-029</v>
      </c>
      <c r="B66" s="526" t="s">
        <v>747</v>
      </c>
      <c r="C66" s="524">
        <v>2016</v>
      </c>
      <c r="D66" s="525">
        <v>42606</v>
      </c>
      <c r="E66" s="524" t="s">
        <v>734</v>
      </c>
      <c r="F66" s="524" t="s">
        <v>748</v>
      </c>
      <c r="G66" s="524" t="s">
        <v>75</v>
      </c>
      <c r="H66" s="520"/>
      <c r="I66" s="520">
        <v>22203500</v>
      </c>
      <c r="J66" s="549">
        <f t="shared" si="1"/>
        <v>111125890</v>
      </c>
    </row>
    <row r="67" spans="1:13" ht="12.5" hidden="1" x14ac:dyDescent="0.25">
      <c r="A67" s="522" t="str">
        <f t="shared" si="0"/>
        <v>HSV2016-029</v>
      </c>
      <c r="B67" s="526" t="s">
        <v>747</v>
      </c>
      <c r="C67" s="524">
        <v>2016</v>
      </c>
      <c r="D67" s="525">
        <v>42606</v>
      </c>
      <c r="E67" s="556" t="s">
        <v>734</v>
      </c>
      <c r="F67" s="556" t="s">
        <v>736</v>
      </c>
      <c r="G67" s="556" t="s">
        <v>151</v>
      </c>
      <c r="H67" s="557"/>
      <c r="I67" s="520">
        <v>33000</v>
      </c>
      <c r="J67" s="549">
        <f t="shared" si="1"/>
        <v>111092890</v>
      </c>
    </row>
    <row r="68" spans="1:13" ht="50" hidden="1" x14ac:dyDescent="0.25">
      <c r="A68" s="522" t="str">
        <f t="shared" si="0"/>
        <v>HSV2016-030</v>
      </c>
      <c r="B68" s="526" t="s">
        <v>749</v>
      </c>
      <c r="C68" s="524">
        <v>2016</v>
      </c>
      <c r="D68" s="525">
        <v>42606</v>
      </c>
      <c r="E68" s="524" t="s">
        <v>734</v>
      </c>
      <c r="F68" s="524" t="s">
        <v>750</v>
      </c>
      <c r="G68" s="524" t="s">
        <v>75</v>
      </c>
      <c r="H68" s="520"/>
      <c r="I68" s="520">
        <v>5841000</v>
      </c>
      <c r="J68" s="549">
        <f t="shared" si="1"/>
        <v>105251890</v>
      </c>
    </row>
    <row r="69" spans="1:13" ht="12.5" hidden="1" x14ac:dyDescent="0.25">
      <c r="A69" s="522" t="str">
        <f t="shared" si="0"/>
        <v>HSV2016-030</v>
      </c>
      <c r="B69" s="526" t="s">
        <v>749</v>
      </c>
      <c r="C69" s="524">
        <v>2016</v>
      </c>
      <c r="D69" s="525">
        <v>42606</v>
      </c>
      <c r="E69" s="556" t="s">
        <v>734</v>
      </c>
      <c r="F69" s="556" t="s">
        <v>736</v>
      </c>
      <c r="G69" s="556" t="s">
        <v>151</v>
      </c>
      <c r="H69" s="557"/>
      <c r="I69" s="520">
        <v>33000</v>
      </c>
      <c r="J69" s="549">
        <f t="shared" si="1"/>
        <v>105218890</v>
      </c>
    </row>
    <row r="70" spans="1:13" ht="25" hidden="1" x14ac:dyDescent="0.25">
      <c r="A70" s="522" t="str">
        <f t="shared" ref="A70:A133" si="6">"HSV"&amp;C70&amp;"-"&amp;B70</f>
        <v>HSV2016-031</v>
      </c>
      <c r="B70" s="526" t="s">
        <v>751</v>
      </c>
      <c r="C70" s="524">
        <v>2016</v>
      </c>
      <c r="D70" s="525">
        <v>42632</v>
      </c>
      <c r="E70" s="524" t="s">
        <v>665</v>
      </c>
      <c r="F70" s="552" t="s">
        <v>752</v>
      </c>
      <c r="G70" s="524"/>
      <c r="H70" s="520">
        <f>1700000000+52133333</f>
        <v>1752133333</v>
      </c>
      <c r="I70" s="520"/>
      <c r="J70" s="549">
        <f t="shared" si="1"/>
        <v>1857352223</v>
      </c>
      <c r="L70" s="505">
        <v>1700000000</v>
      </c>
      <c r="M70" s="505">
        <f>H70-L70</f>
        <v>52133333</v>
      </c>
    </row>
    <row r="71" spans="1:13" ht="25" hidden="1" x14ac:dyDescent="0.25">
      <c r="A71" s="522" t="str">
        <f t="shared" si="6"/>
        <v>HSV2016-032</v>
      </c>
      <c r="B71" s="526" t="s">
        <v>753</v>
      </c>
      <c r="C71" s="524">
        <v>2016</v>
      </c>
      <c r="D71" s="525">
        <v>42632</v>
      </c>
      <c r="E71" s="524" t="s">
        <v>665</v>
      </c>
      <c r="F71" s="552" t="s">
        <v>754</v>
      </c>
      <c r="G71" s="524"/>
      <c r="H71" s="520"/>
      <c r="I71" s="520">
        <v>1700000000</v>
      </c>
      <c r="J71" s="549">
        <f t="shared" ref="J71:J82" si="7">+J70+H71-I71</f>
        <v>157352223</v>
      </c>
      <c r="K71" s="505" t="s">
        <v>578</v>
      </c>
    </row>
    <row r="72" spans="1:13" ht="62.5" hidden="1" x14ac:dyDescent="0.25">
      <c r="A72" s="522" t="str">
        <f t="shared" si="6"/>
        <v>HSV2016-033</v>
      </c>
      <c r="B72" s="526" t="s">
        <v>755</v>
      </c>
      <c r="C72" s="524">
        <v>2016</v>
      </c>
      <c r="D72" s="525">
        <v>42632</v>
      </c>
      <c r="E72" s="524" t="s">
        <v>734</v>
      </c>
      <c r="F72" s="524" t="s">
        <v>756</v>
      </c>
      <c r="G72" s="524" t="s">
        <v>75</v>
      </c>
      <c r="H72" s="520"/>
      <c r="I72" s="520">
        <v>124773000</v>
      </c>
      <c r="J72" s="549">
        <f t="shared" si="7"/>
        <v>32579223</v>
      </c>
    </row>
    <row r="73" spans="1:13" ht="12.5" hidden="1" x14ac:dyDescent="0.25">
      <c r="A73" s="522" t="str">
        <f t="shared" si="6"/>
        <v>HSV2016-033</v>
      </c>
      <c r="B73" s="526" t="s">
        <v>755</v>
      </c>
      <c r="C73" s="524">
        <v>2016</v>
      </c>
      <c r="D73" s="525">
        <v>42632</v>
      </c>
      <c r="E73" s="524" t="s">
        <v>665</v>
      </c>
      <c r="F73" s="524" t="s">
        <v>757</v>
      </c>
      <c r="G73" s="524" t="s">
        <v>151</v>
      </c>
      <c r="H73" s="520"/>
      <c r="I73" s="520">
        <v>33000</v>
      </c>
      <c r="J73" s="549">
        <f t="shared" si="7"/>
        <v>32546223</v>
      </c>
    </row>
    <row r="74" spans="1:13" ht="12.5" hidden="1" x14ac:dyDescent="0.25">
      <c r="A74" s="522" t="str">
        <f t="shared" si="6"/>
        <v>HSV2016-034</v>
      </c>
      <c r="B74" s="526" t="s">
        <v>758</v>
      </c>
      <c r="C74" s="524">
        <v>2016</v>
      </c>
      <c r="D74" s="525">
        <v>42636</v>
      </c>
      <c r="E74" s="524" t="s">
        <v>662</v>
      </c>
      <c r="F74" s="524" t="s">
        <v>714</v>
      </c>
      <c r="G74" s="524"/>
      <c r="H74" s="520">
        <v>3301125660</v>
      </c>
      <c r="I74" s="520"/>
      <c r="J74" s="549">
        <f t="shared" si="7"/>
        <v>3333671883</v>
      </c>
    </row>
    <row r="75" spans="1:13" ht="25" hidden="1" x14ac:dyDescent="0.25">
      <c r="A75" s="522" t="str">
        <f t="shared" si="6"/>
        <v>HSV2016-035</v>
      </c>
      <c r="B75" s="526" t="s">
        <v>759</v>
      </c>
      <c r="C75" s="524">
        <v>2016</v>
      </c>
      <c r="D75" s="525">
        <v>42650</v>
      </c>
      <c r="E75" s="524" t="s">
        <v>665</v>
      </c>
      <c r="F75" s="552" t="s">
        <v>760</v>
      </c>
      <c r="G75" s="524"/>
      <c r="H75" s="520"/>
      <c r="I75" s="520">
        <v>3000000000</v>
      </c>
      <c r="J75" s="549">
        <f t="shared" si="7"/>
        <v>333671883</v>
      </c>
      <c r="K75" s="505" t="s">
        <v>718</v>
      </c>
    </row>
    <row r="76" spans="1:13" ht="50" hidden="1" x14ac:dyDescent="0.25">
      <c r="A76" s="522" t="str">
        <f t="shared" si="6"/>
        <v>HSV2016-036</v>
      </c>
      <c r="B76" s="526" t="s">
        <v>761</v>
      </c>
      <c r="C76" s="524">
        <v>2016</v>
      </c>
      <c r="D76" s="525">
        <v>42698</v>
      </c>
      <c r="E76" s="524" t="s">
        <v>734</v>
      </c>
      <c r="F76" s="524" t="s">
        <v>762</v>
      </c>
      <c r="G76" s="524" t="s">
        <v>75</v>
      </c>
      <c r="H76" s="520"/>
      <c r="I76" s="520">
        <v>3982000</v>
      </c>
      <c r="J76" s="549">
        <f t="shared" si="7"/>
        <v>329689883</v>
      </c>
    </row>
    <row r="77" spans="1:13" ht="12.5" hidden="1" x14ac:dyDescent="0.25">
      <c r="A77" s="522" t="str">
        <f t="shared" si="6"/>
        <v>HSV2016-036</v>
      </c>
      <c r="B77" s="526" t="s">
        <v>761</v>
      </c>
      <c r="C77" s="524">
        <v>2016</v>
      </c>
      <c r="D77" s="525">
        <v>42698</v>
      </c>
      <c r="E77" s="524" t="s">
        <v>665</v>
      </c>
      <c r="F77" s="556" t="s">
        <v>736</v>
      </c>
      <c r="G77" s="524" t="s">
        <v>151</v>
      </c>
      <c r="H77" s="520"/>
      <c r="I77" s="520">
        <v>33000</v>
      </c>
      <c r="J77" s="549">
        <f t="shared" si="7"/>
        <v>329656883</v>
      </c>
    </row>
    <row r="78" spans="1:13" ht="25" hidden="1" x14ac:dyDescent="0.25">
      <c r="A78" s="522" t="str">
        <f t="shared" si="6"/>
        <v>HSV2016-037</v>
      </c>
      <c r="B78" s="526" t="s">
        <v>763</v>
      </c>
      <c r="C78" s="524">
        <v>2016</v>
      </c>
      <c r="D78" s="525">
        <v>42709</v>
      </c>
      <c r="E78" s="524" t="s">
        <v>665</v>
      </c>
      <c r="F78" s="552" t="s">
        <v>764</v>
      </c>
      <c r="G78" s="524"/>
      <c r="H78" s="520">
        <v>3092000000</v>
      </c>
      <c r="I78" s="520"/>
      <c r="J78" s="549">
        <f t="shared" si="7"/>
        <v>3421656883</v>
      </c>
      <c r="L78" s="505">
        <v>3000000000</v>
      </c>
      <c r="M78" s="505">
        <f>H78-L78</f>
        <v>92000000</v>
      </c>
    </row>
    <row r="79" spans="1:13" ht="12.5" hidden="1" x14ac:dyDescent="0.25">
      <c r="A79" s="522" t="str">
        <f t="shared" si="6"/>
        <v>HSV2016-038</v>
      </c>
      <c r="B79" s="526" t="s">
        <v>765</v>
      </c>
      <c r="C79" s="524">
        <v>2016</v>
      </c>
      <c r="D79" s="525">
        <v>42717</v>
      </c>
      <c r="E79" s="524" t="s">
        <v>662</v>
      </c>
      <c r="F79" s="524" t="s">
        <v>714</v>
      </c>
      <c r="G79" s="524"/>
      <c r="H79" s="520">
        <v>671521578</v>
      </c>
      <c r="I79" s="520"/>
      <c r="J79" s="549">
        <f t="shared" si="7"/>
        <v>4093178461</v>
      </c>
    </row>
    <row r="80" spans="1:13" ht="50" hidden="1" x14ac:dyDescent="0.25">
      <c r="A80" s="522" t="str">
        <f t="shared" si="6"/>
        <v>HSV2016-039</v>
      </c>
      <c r="B80" s="526" t="s">
        <v>766</v>
      </c>
      <c r="C80" s="524">
        <v>2016</v>
      </c>
      <c r="D80" s="525">
        <v>42727</v>
      </c>
      <c r="E80" s="524" t="s">
        <v>734</v>
      </c>
      <c r="F80" s="524" t="s">
        <v>767</v>
      </c>
      <c r="G80" s="524" t="s">
        <v>75</v>
      </c>
      <c r="H80" s="520"/>
      <c r="I80" s="520">
        <v>126846720</v>
      </c>
      <c r="J80" s="549">
        <f t="shared" si="7"/>
        <v>3966331741</v>
      </c>
    </row>
    <row r="81" spans="1:12" ht="12.5" hidden="1" x14ac:dyDescent="0.25">
      <c r="A81" s="522" t="str">
        <f t="shared" si="6"/>
        <v>HSV2016-039</v>
      </c>
      <c r="B81" s="526" t="s">
        <v>766</v>
      </c>
      <c r="C81" s="524">
        <v>2016</v>
      </c>
      <c r="D81" s="525">
        <v>42727</v>
      </c>
      <c r="E81" s="524" t="s">
        <v>665</v>
      </c>
      <c r="F81" s="556" t="s">
        <v>736</v>
      </c>
      <c r="G81" s="524" t="s">
        <v>151</v>
      </c>
      <c r="H81" s="520"/>
      <c r="I81" s="520">
        <v>33000</v>
      </c>
      <c r="J81" s="549">
        <f t="shared" si="7"/>
        <v>3966298741</v>
      </c>
    </row>
    <row r="82" spans="1:12" ht="25" hidden="1" x14ac:dyDescent="0.25">
      <c r="A82" s="522" t="str">
        <f t="shared" si="6"/>
        <v>HSV2016-040</v>
      </c>
      <c r="B82" s="526" t="s">
        <v>768</v>
      </c>
      <c r="C82" s="524">
        <v>2016</v>
      </c>
      <c r="D82" s="525">
        <v>42731</v>
      </c>
      <c r="E82" s="524" t="s">
        <v>665</v>
      </c>
      <c r="F82" s="552" t="s">
        <v>769</v>
      </c>
      <c r="G82" s="524"/>
      <c r="H82" s="520"/>
      <c r="I82" s="520">
        <v>3500000000</v>
      </c>
      <c r="J82" s="558">
        <f t="shared" si="7"/>
        <v>466298741</v>
      </c>
      <c r="K82" s="505" t="s">
        <v>718</v>
      </c>
      <c r="L82" s="505">
        <f>SUM('[85]FD HSBC'!E21:E31)</f>
        <v>60300000000</v>
      </c>
    </row>
    <row r="83" spans="1:12" ht="12.5" hidden="1" x14ac:dyDescent="0.25">
      <c r="A83" s="527"/>
      <c r="B83" s="528"/>
      <c r="C83" s="529"/>
      <c r="D83" s="530"/>
      <c r="E83" s="529"/>
      <c r="F83" s="559"/>
      <c r="G83" s="529"/>
      <c r="H83" s="531"/>
      <c r="I83" s="531"/>
      <c r="J83" s="560"/>
    </row>
    <row r="84" spans="1:12" ht="13" x14ac:dyDescent="0.3">
      <c r="A84" s="561"/>
      <c r="B84" s="562"/>
      <c r="C84" s="563"/>
      <c r="D84" s="564"/>
      <c r="E84" s="563"/>
      <c r="F84" s="565" t="s">
        <v>770</v>
      </c>
      <c r="G84" s="563"/>
      <c r="H84" s="566">
        <f>SUM(H33:H82)</f>
        <v>65108567041</v>
      </c>
      <c r="I84" s="566">
        <f>SUM(I33:I82)</f>
        <v>64765997365</v>
      </c>
      <c r="J84" s="567">
        <f>H32+H84-I84</f>
        <v>466298741</v>
      </c>
      <c r="L84" s="505">
        <f>+L82+J84</f>
        <v>60766298741</v>
      </c>
    </row>
    <row r="85" spans="1:12" ht="13" x14ac:dyDescent="0.3">
      <c r="A85" s="545"/>
      <c r="B85" s="546"/>
      <c r="C85" s="547"/>
      <c r="D85" s="548"/>
      <c r="E85" s="547"/>
      <c r="F85" s="568" t="s">
        <v>771</v>
      </c>
      <c r="G85" s="547"/>
      <c r="H85" s="549">
        <f>J84</f>
        <v>466298741</v>
      </c>
      <c r="I85" s="549"/>
      <c r="J85" s="569">
        <f>H85</f>
        <v>466298741</v>
      </c>
    </row>
    <row r="86" spans="1:12" ht="25" x14ac:dyDescent="0.25">
      <c r="A86" s="522" t="str">
        <f t="shared" si="6"/>
        <v>HSV2017-001</v>
      </c>
      <c r="B86" s="523" t="s">
        <v>661</v>
      </c>
      <c r="C86" s="524">
        <v>2017</v>
      </c>
      <c r="D86" s="525">
        <v>42744</v>
      </c>
      <c r="E86" s="524" t="s">
        <v>665</v>
      </c>
      <c r="F86" s="552" t="s">
        <v>772</v>
      </c>
      <c r="G86" s="524"/>
      <c r="H86" s="520">
        <v>3000000000</v>
      </c>
      <c r="I86" s="520"/>
      <c r="J86" s="520">
        <f>+J85+H86-I86</f>
        <v>3466298741</v>
      </c>
    </row>
    <row r="87" spans="1:12" ht="25" x14ac:dyDescent="0.25">
      <c r="A87" s="522" t="str">
        <f t="shared" si="6"/>
        <v>HSV2017-001</v>
      </c>
      <c r="B87" s="523" t="s">
        <v>661</v>
      </c>
      <c r="C87" s="524">
        <v>2017</v>
      </c>
      <c r="D87" s="525">
        <v>42744</v>
      </c>
      <c r="E87" s="524" t="s">
        <v>665</v>
      </c>
      <c r="F87" s="552" t="s">
        <v>773</v>
      </c>
      <c r="G87" s="524"/>
      <c r="H87" s="520">
        <v>20366667</v>
      </c>
      <c r="I87" s="520"/>
      <c r="J87" s="520">
        <f t="shared" ref="J87:J150" si="8">+J86+H87-I87</f>
        <v>3486665408</v>
      </c>
    </row>
    <row r="88" spans="1:12" ht="25" x14ac:dyDescent="0.25">
      <c r="A88" s="522" t="str">
        <f t="shared" si="6"/>
        <v>HSV2017-002</v>
      </c>
      <c r="B88" s="523" t="s">
        <v>664</v>
      </c>
      <c r="C88" s="524">
        <v>2017</v>
      </c>
      <c r="D88" s="525">
        <v>42754</v>
      </c>
      <c r="E88" s="524" t="s">
        <v>774</v>
      </c>
      <c r="F88" s="524" t="s">
        <v>775</v>
      </c>
      <c r="G88" s="524"/>
      <c r="H88" s="520"/>
      <c r="I88" s="520">
        <v>3000000000</v>
      </c>
      <c r="J88" s="520">
        <f t="shared" si="8"/>
        <v>486665408</v>
      </c>
    </row>
    <row r="89" spans="1:12" ht="12.5" x14ac:dyDescent="0.25">
      <c r="A89" s="522" t="str">
        <f t="shared" si="6"/>
        <v>HSV2017-002</v>
      </c>
      <c r="B89" s="523" t="s">
        <v>664</v>
      </c>
      <c r="C89" s="524">
        <v>2017</v>
      </c>
      <c r="D89" s="525">
        <v>42754</v>
      </c>
      <c r="E89" s="524" t="s">
        <v>665</v>
      </c>
      <c r="F89" s="556" t="s">
        <v>736</v>
      </c>
      <c r="G89" s="524" t="s">
        <v>151</v>
      </c>
      <c r="H89" s="520"/>
      <c r="I89" s="520">
        <v>825000</v>
      </c>
      <c r="J89" s="520">
        <f t="shared" si="8"/>
        <v>485840408</v>
      </c>
    </row>
    <row r="90" spans="1:12" ht="25" x14ac:dyDescent="0.25">
      <c r="A90" s="522" t="str">
        <f t="shared" si="6"/>
        <v>HSV2017-003</v>
      </c>
      <c r="B90" s="523" t="s">
        <v>667</v>
      </c>
      <c r="C90" s="524">
        <v>2017</v>
      </c>
      <c r="D90" s="525">
        <v>42768</v>
      </c>
      <c r="E90" s="524" t="s">
        <v>665</v>
      </c>
      <c r="F90" s="552" t="s">
        <v>776</v>
      </c>
      <c r="G90" s="524"/>
      <c r="H90" s="520">
        <v>6000000000</v>
      </c>
      <c r="I90" s="520"/>
      <c r="J90" s="520">
        <f t="shared" si="8"/>
        <v>6485840408</v>
      </c>
    </row>
    <row r="91" spans="1:12" ht="25" x14ac:dyDescent="0.25">
      <c r="A91" s="522" t="str">
        <f t="shared" si="6"/>
        <v>HSV2017-003</v>
      </c>
      <c r="B91" s="523" t="s">
        <v>667</v>
      </c>
      <c r="C91" s="524">
        <v>2017</v>
      </c>
      <c r="D91" s="525">
        <v>42768</v>
      </c>
      <c r="E91" s="524" t="s">
        <v>665</v>
      </c>
      <c r="F91" s="552" t="s">
        <v>777</v>
      </c>
      <c r="G91" s="524"/>
      <c r="H91" s="520">
        <v>197400000</v>
      </c>
      <c r="I91" s="520"/>
      <c r="J91" s="520">
        <f t="shared" si="8"/>
        <v>6683240408</v>
      </c>
    </row>
    <row r="92" spans="1:12" ht="25" x14ac:dyDescent="0.25">
      <c r="A92" s="522" t="str">
        <f t="shared" si="6"/>
        <v>HSV2017-004</v>
      </c>
      <c r="B92" s="523" t="s">
        <v>669</v>
      </c>
      <c r="C92" s="524">
        <v>2017</v>
      </c>
      <c r="D92" s="525">
        <v>42768</v>
      </c>
      <c r="E92" s="524" t="s">
        <v>665</v>
      </c>
      <c r="F92" s="552" t="s">
        <v>778</v>
      </c>
      <c r="G92" s="524"/>
      <c r="H92" s="520">
        <v>3500000000</v>
      </c>
      <c r="I92" s="520"/>
      <c r="J92" s="520">
        <f t="shared" si="8"/>
        <v>10183240408</v>
      </c>
    </row>
    <row r="93" spans="1:12" ht="25" x14ac:dyDescent="0.25">
      <c r="A93" s="522" t="str">
        <f t="shared" si="6"/>
        <v>HSV2017-004</v>
      </c>
      <c r="B93" s="523" t="s">
        <v>669</v>
      </c>
      <c r="C93" s="524">
        <v>2017</v>
      </c>
      <c r="D93" s="525">
        <v>42768</v>
      </c>
      <c r="E93" s="524" t="s">
        <v>665</v>
      </c>
      <c r="F93" s="552" t="s">
        <v>779</v>
      </c>
      <c r="G93" s="524"/>
      <c r="H93" s="520">
        <v>9712500</v>
      </c>
      <c r="I93" s="520"/>
      <c r="J93" s="520">
        <f t="shared" si="8"/>
        <v>10192952908</v>
      </c>
    </row>
    <row r="94" spans="1:12" ht="25" x14ac:dyDescent="0.25">
      <c r="A94" s="522" t="str">
        <f t="shared" si="6"/>
        <v>HSV2017-005</v>
      </c>
      <c r="B94" s="523" t="s">
        <v>671</v>
      </c>
      <c r="C94" s="524">
        <v>2017</v>
      </c>
      <c r="D94" s="525">
        <v>42775</v>
      </c>
      <c r="E94" s="524" t="s">
        <v>665</v>
      </c>
      <c r="F94" s="552" t="s">
        <v>780</v>
      </c>
      <c r="G94" s="524"/>
      <c r="H94" s="520">
        <v>10000000000</v>
      </c>
      <c r="I94" s="520"/>
      <c r="J94" s="520">
        <f t="shared" si="8"/>
        <v>20192952908</v>
      </c>
    </row>
    <row r="95" spans="1:12" ht="25" x14ac:dyDescent="0.25">
      <c r="A95" s="522" t="str">
        <f t="shared" si="6"/>
        <v>HSV2017-005</v>
      </c>
      <c r="B95" s="523" t="s">
        <v>671</v>
      </c>
      <c r="C95" s="524">
        <v>2017</v>
      </c>
      <c r="D95" s="525">
        <v>42775</v>
      </c>
      <c r="E95" s="524" t="s">
        <v>665</v>
      </c>
      <c r="F95" s="552" t="s">
        <v>781</v>
      </c>
      <c r="G95" s="524"/>
      <c r="H95" s="520">
        <v>306666667</v>
      </c>
      <c r="I95" s="520"/>
      <c r="J95" s="520">
        <f t="shared" si="8"/>
        <v>20499619575</v>
      </c>
    </row>
    <row r="96" spans="1:12" ht="25" x14ac:dyDescent="0.25">
      <c r="A96" s="522" t="str">
        <f t="shared" si="6"/>
        <v>HSV2017-006</v>
      </c>
      <c r="B96" s="523" t="s">
        <v>673</v>
      </c>
      <c r="C96" s="524">
        <v>2017</v>
      </c>
      <c r="D96" s="525">
        <v>42776</v>
      </c>
      <c r="E96" s="524" t="s">
        <v>665</v>
      </c>
      <c r="F96" s="552" t="s">
        <v>782</v>
      </c>
      <c r="G96" s="524"/>
      <c r="H96" s="520">
        <v>10000000000</v>
      </c>
      <c r="I96" s="520"/>
      <c r="J96" s="520">
        <f t="shared" si="8"/>
        <v>30499619575</v>
      </c>
    </row>
    <row r="97" spans="1:11" ht="25" x14ac:dyDescent="0.25">
      <c r="A97" s="522" t="str">
        <f t="shared" si="6"/>
        <v>HSV2017-006</v>
      </c>
      <c r="B97" s="523" t="s">
        <v>673</v>
      </c>
      <c r="C97" s="524">
        <v>2017</v>
      </c>
      <c r="D97" s="525">
        <v>42776</v>
      </c>
      <c r="E97" s="524" t="s">
        <v>665</v>
      </c>
      <c r="F97" s="552" t="s">
        <v>783</v>
      </c>
      <c r="G97" s="524"/>
      <c r="H97" s="520">
        <v>322000000</v>
      </c>
      <c r="I97" s="520"/>
      <c r="J97" s="520">
        <f t="shared" si="8"/>
        <v>30821619575</v>
      </c>
    </row>
    <row r="98" spans="1:11" ht="25" x14ac:dyDescent="0.25">
      <c r="A98" s="522" t="str">
        <f t="shared" si="6"/>
        <v>HSV2017-007</v>
      </c>
      <c r="B98" s="523" t="s">
        <v>675</v>
      </c>
      <c r="C98" s="524">
        <v>2017</v>
      </c>
      <c r="D98" s="525">
        <v>42779</v>
      </c>
      <c r="E98" s="524" t="s">
        <v>665</v>
      </c>
      <c r="F98" s="552" t="s">
        <v>784</v>
      </c>
      <c r="G98" s="524"/>
      <c r="H98" s="520">
        <v>10000000000</v>
      </c>
      <c r="I98" s="520"/>
      <c r="J98" s="520">
        <f t="shared" si="8"/>
        <v>40821619575</v>
      </c>
    </row>
    <row r="99" spans="1:11" ht="25" x14ac:dyDescent="0.25">
      <c r="A99" s="522" t="str">
        <f t="shared" si="6"/>
        <v>HSV2017-007</v>
      </c>
      <c r="B99" s="523" t="s">
        <v>675</v>
      </c>
      <c r="C99" s="524">
        <v>2017</v>
      </c>
      <c r="D99" s="525">
        <v>42779</v>
      </c>
      <c r="E99" s="524" t="s">
        <v>665</v>
      </c>
      <c r="F99" s="552" t="s">
        <v>785</v>
      </c>
      <c r="G99" s="524"/>
      <c r="H99" s="520">
        <v>324333333</v>
      </c>
      <c r="I99" s="520"/>
      <c r="J99" s="520">
        <f t="shared" si="8"/>
        <v>41145952908</v>
      </c>
    </row>
    <row r="100" spans="1:11" ht="25" x14ac:dyDescent="0.25">
      <c r="A100" s="522" t="str">
        <f t="shared" si="6"/>
        <v>HSV2017-008</v>
      </c>
      <c r="B100" s="523" t="s">
        <v>677</v>
      </c>
      <c r="C100" s="524">
        <v>2017</v>
      </c>
      <c r="D100" s="525">
        <v>42779</v>
      </c>
      <c r="E100" s="524" t="s">
        <v>665</v>
      </c>
      <c r="F100" s="552" t="s">
        <v>786</v>
      </c>
      <c r="G100" s="524"/>
      <c r="H100" s="520">
        <v>10000000000</v>
      </c>
      <c r="I100" s="520"/>
      <c r="J100" s="520">
        <f t="shared" si="8"/>
        <v>51145952908</v>
      </c>
    </row>
    <row r="101" spans="1:11" ht="25" x14ac:dyDescent="0.25">
      <c r="A101" s="522" t="str">
        <f t="shared" si="6"/>
        <v>HSV2017-009</v>
      </c>
      <c r="B101" s="523" t="s">
        <v>679</v>
      </c>
      <c r="C101" s="524">
        <v>2017</v>
      </c>
      <c r="D101" s="525">
        <v>42779</v>
      </c>
      <c r="E101" s="524" t="s">
        <v>665</v>
      </c>
      <c r="F101" s="552" t="s">
        <v>787</v>
      </c>
      <c r="G101" s="524"/>
      <c r="H101" s="520">
        <v>323166667</v>
      </c>
      <c r="I101" s="520"/>
      <c r="J101" s="520">
        <f t="shared" si="8"/>
        <v>51469119575</v>
      </c>
    </row>
    <row r="102" spans="1:11" ht="25" x14ac:dyDescent="0.25">
      <c r="A102" s="522" t="str">
        <f t="shared" si="6"/>
        <v>HSV2017-010</v>
      </c>
      <c r="B102" s="523" t="s">
        <v>681</v>
      </c>
      <c r="C102" s="524">
        <v>2017</v>
      </c>
      <c r="D102" s="525">
        <v>42779</v>
      </c>
      <c r="E102" s="524" t="s">
        <v>665</v>
      </c>
      <c r="F102" s="552" t="s">
        <v>788</v>
      </c>
      <c r="G102" s="524"/>
      <c r="H102" s="520">
        <v>1500000000</v>
      </c>
      <c r="I102" s="520"/>
      <c r="J102" s="520">
        <f t="shared" si="8"/>
        <v>52969119575</v>
      </c>
    </row>
    <row r="103" spans="1:11" ht="25" x14ac:dyDescent="0.25">
      <c r="A103" s="522" t="str">
        <f t="shared" si="6"/>
        <v>HSV2017-010</v>
      </c>
      <c r="B103" s="523" t="s">
        <v>681</v>
      </c>
      <c r="C103" s="524">
        <v>2017</v>
      </c>
      <c r="D103" s="525">
        <v>42779</v>
      </c>
      <c r="E103" s="524" t="s">
        <v>665</v>
      </c>
      <c r="F103" s="552" t="s">
        <v>789</v>
      </c>
      <c r="G103" s="524"/>
      <c r="H103" s="520">
        <v>48300000</v>
      </c>
      <c r="I103" s="520"/>
      <c r="J103" s="520">
        <f t="shared" si="8"/>
        <v>53017419575</v>
      </c>
    </row>
    <row r="104" spans="1:11" ht="25" x14ac:dyDescent="0.25">
      <c r="A104" s="522" t="str">
        <f t="shared" si="6"/>
        <v>HSV2017-011</v>
      </c>
      <c r="B104" s="523" t="s">
        <v>683</v>
      </c>
      <c r="C104" s="524">
        <v>2017</v>
      </c>
      <c r="D104" s="525">
        <v>42781</v>
      </c>
      <c r="E104" s="524" t="s">
        <v>665</v>
      </c>
      <c r="F104" s="552" t="s">
        <v>790</v>
      </c>
      <c r="G104" s="524"/>
      <c r="H104" s="520"/>
      <c r="I104" s="520">
        <v>10000000000</v>
      </c>
      <c r="J104" s="520">
        <f t="shared" si="8"/>
        <v>43017419575</v>
      </c>
      <c r="K104" s="505" t="s">
        <v>578</v>
      </c>
    </row>
    <row r="105" spans="1:11" ht="75" x14ac:dyDescent="0.25">
      <c r="A105" s="522" t="str">
        <f t="shared" si="6"/>
        <v>HSV2017-012</v>
      </c>
      <c r="B105" s="523" t="s">
        <v>685</v>
      </c>
      <c r="C105" s="524">
        <v>2017</v>
      </c>
      <c r="D105" s="525">
        <v>42781</v>
      </c>
      <c r="E105" s="524" t="s">
        <v>734</v>
      </c>
      <c r="F105" s="524" t="s">
        <v>791</v>
      </c>
      <c r="G105" s="524" t="s">
        <v>75</v>
      </c>
      <c r="H105" s="520"/>
      <c r="I105" s="520">
        <v>19360000</v>
      </c>
      <c r="J105" s="520">
        <f t="shared" si="8"/>
        <v>42998059575</v>
      </c>
    </row>
    <row r="106" spans="1:11" ht="12.5" x14ac:dyDescent="0.25">
      <c r="A106" s="522" t="str">
        <f t="shared" si="6"/>
        <v>HSV2017-012</v>
      </c>
      <c r="B106" s="523" t="s">
        <v>685</v>
      </c>
      <c r="C106" s="524">
        <v>2017</v>
      </c>
      <c r="D106" s="525">
        <v>42781</v>
      </c>
      <c r="E106" s="524" t="s">
        <v>665</v>
      </c>
      <c r="F106" s="556" t="s">
        <v>736</v>
      </c>
      <c r="G106" s="524" t="s">
        <v>151</v>
      </c>
      <c r="H106" s="520"/>
      <c r="I106" s="520">
        <v>33000</v>
      </c>
      <c r="J106" s="520">
        <f t="shared" si="8"/>
        <v>42998026575</v>
      </c>
    </row>
    <row r="107" spans="1:11" ht="37.5" x14ac:dyDescent="0.25">
      <c r="A107" s="522" t="str">
        <f t="shared" si="6"/>
        <v>HSV2017-013</v>
      </c>
      <c r="B107" s="523" t="s">
        <v>687</v>
      </c>
      <c r="C107" s="524">
        <v>2017</v>
      </c>
      <c r="D107" s="525">
        <v>42781</v>
      </c>
      <c r="E107" s="524" t="s">
        <v>734</v>
      </c>
      <c r="F107" s="524" t="s">
        <v>792</v>
      </c>
      <c r="G107" s="524" t="s">
        <v>75</v>
      </c>
      <c r="H107" s="520"/>
      <c r="I107" s="520">
        <v>3630000</v>
      </c>
      <c r="J107" s="520">
        <f t="shared" si="8"/>
        <v>42994396575</v>
      </c>
    </row>
    <row r="108" spans="1:11" ht="12.5" x14ac:dyDescent="0.25">
      <c r="A108" s="522" t="str">
        <f t="shared" si="6"/>
        <v>HSV2017-013</v>
      </c>
      <c r="B108" s="523" t="s">
        <v>687</v>
      </c>
      <c r="C108" s="524">
        <v>2017</v>
      </c>
      <c r="D108" s="525">
        <v>42781</v>
      </c>
      <c r="E108" s="524" t="s">
        <v>665</v>
      </c>
      <c r="F108" s="556" t="s">
        <v>736</v>
      </c>
      <c r="G108" s="524" t="s">
        <v>151</v>
      </c>
      <c r="H108" s="520"/>
      <c r="I108" s="520">
        <v>33000</v>
      </c>
      <c r="J108" s="520">
        <f t="shared" si="8"/>
        <v>42994363575</v>
      </c>
    </row>
    <row r="109" spans="1:11" ht="25" x14ac:dyDescent="0.25">
      <c r="A109" s="522" t="str">
        <f t="shared" si="6"/>
        <v>HSV2017-014</v>
      </c>
      <c r="B109" s="523" t="s">
        <v>689</v>
      </c>
      <c r="C109" s="524">
        <v>2017</v>
      </c>
      <c r="D109" s="525">
        <v>42782</v>
      </c>
      <c r="E109" s="524" t="s">
        <v>665</v>
      </c>
      <c r="F109" s="552" t="s">
        <v>793</v>
      </c>
      <c r="G109" s="524"/>
      <c r="H109" s="520"/>
      <c r="I109" s="520">
        <v>10000000000</v>
      </c>
      <c r="J109" s="520">
        <f t="shared" si="8"/>
        <v>32994363575</v>
      </c>
      <c r="K109" s="505" t="s">
        <v>578</v>
      </c>
    </row>
    <row r="110" spans="1:11" ht="25" x14ac:dyDescent="0.25">
      <c r="A110" s="522" t="str">
        <f t="shared" si="6"/>
        <v>HSV2017-015</v>
      </c>
      <c r="B110" s="523" t="s">
        <v>691</v>
      </c>
      <c r="C110" s="524">
        <v>2017</v>
      </c>
      <c r="D110" s="525">
        <v>42783</v>
      </c>
      <c r="E110" s="524" t="s">
        <v>665</v>
      </c>
      <c r="F110" s="552" t="s">
        <v>794</v>
      </c>
      <c r="G110" s="524"/>
      <c r="H110" s="520"/>
      <c r="I110" s="520">
        <v>5000000000</v>
      </c>
      <c r="J110" s="520">
        <f t="shared" si="8"/>
        <v>27994363575</v>
      </c>
      <c r="K110" s="505" t="s">
        <v>578</v>
      </c>
    </row>
    <row r="111" spans="1:11" ht="37.5" x14ac:dyDescent="0.25">
      <c r="A111" s="522" t="str">
        <f t="shared" si="6"/>
        <v>HSV2017-016</v>
      </c>
      <c r="B111" s="523" t="s">
        <v>693</v>
      </c>
      <c r="C111" s="524">
        <v>2017</v>
      </c>
      <c r="D111" s="525">
        <v>42789</v>
      </c>
      <c r="E111" s="524" t="s">
        <v>774</v>
      </c>
      <c r="F111" s="524" t="s">
        <v>795</v>
      </c>
      <c r="G111" s="524"/>
      <c r="H111" s="520"/>
      <c r="I111" s="520">
        <v>27000000000</v>
      </c>
      <c r="J111" s="520">
        <f t="shared" si="8"/>
        <v>994363575</v>
      </c>
    </row>
    <row r="112" spans="1:11" ht="12.5" x14ac:dyDescent="0.25">
      <c r="A112" s="522" t="str">
        <f t="shared" si="6"/>
        <v>HSV2017-016</v>
      </c>
      <c r="B112" s="523" t="s">
        <v>693</v>
      </c>
      <c r="C112" s="524">
        <v>2017</v>
      </c>
      <c r="D112" s="525">
        <v>42789</v>
      </c>
      <c r="E112" s="524" t="s">
        <v>665</v>
      </c>
      <c r="F112" s="556" t="s">
        <v>736</v>
      </c>
      <c r="G112" s="524" t="s">
        <v>151</v>
      </c>
      <c r="H112" s="520"/>
      <c r="I112" s="520">
        <v>825000</v>
      </c>
      <c r="J112" s="520">
        <f t="shared" si="8"/>
        <v>993538575</v>
      </c>
    </row>
    <row r="113" spans="1:11" ht="50" x14ac:dyDescent="0.25">
      <c r="A113" s="522" t="str">
        <f t="shared" si="6"/>
        <v>HSV2017-017</v>
      </c>
      <c r="B113" s="523" t="s">
        <v>695</v>
      </c>
      <c r="C113" s="524">
        <v>2017</v>
      </c>
      <c r="D113" s="525">
        <v>42789</v>
      </c>
      <c r="E113" s="524" t="s">
        <v>734</v>
      </c>
      <c r="F113" s="524" t="s">
        <v>796</v>
      </c>
      <c r="G113" s="524" t="s">
        <v>75</v>
      </c>
      <c r="H113" s="520"/>
      <c r="I113" s="520">
        <v>87230000</v>
      </c>
      <c r="J113" s="520">
        <f t="shared" si="8"/>
        <v>906308575</v>
      </c>
    </row>
    <row r="114" spans="1:11" ht="12.5" x14ac:dyDescent="0.25">
      <c r="A114" s="522" t="str">
        <f t="shared" si="6"/>
        <v>HSV2017-017</v>
      </c>
      <c r="B114" s="523" t="s">
        <v>695</v>
      </c>
      <c r="C114" s="524">
        <v>2017</v>
      </c>
      <c r="D114" s="525">
        <v>42789</v>
      </c>
      <c r="E114" s="524" t="s">
        <v>665</v>
      </c>
      <c r="F114" s="556" t="s">
        <v>736</v>
      </c>
      <c r="G114" s="524" t="s">
        <v>151</v>
      </c>
      <c r="H114" s="520"/>
      <c r="I114" s="520">
        <v>33000</v>
      </c>
      <c r="J114" s="520">
        <f t="shared" si="8"/>
        <v>906275575</v>
      </c>
    </row>
    <row r="115" spans="1:11" ht="25" x14ac:dyDescent="0.25">
      <c r="A115" s="522" t="str">
        <f t="shared" si="6"/>
        <v>HSV2017-018</v>
      </c>
      <c r="B115" s="523" t="s">
        <v>697</v>
      </c>
      <c r="C115" s="524">
        <v>2017</v>
      </c>
      <c r="D115" s="525">
        <v>42789</v>
      </c>
      <c r="E115" s="524" t="s">
        <v>665</v>
      </c>
      <c r="F115" s="524" t="s">
        <v>797</v>
      </c>
      <c r="G115" s="524" t="s">
        <v>151</v>
      </c>
      <c r="H115" s="520"/>
      <c r="I115" s="520">
        <v>550000</v>
      </c>
      <c r="J115" s="570">
        <f t="shared" si="8"/>
        <v>905725575</v>
      </c>
    </row>
    <row r="116" spans="1:11" ht="25" x14ac:dyDescent="0.25">
      <c r="A116" s="522" t="str">
        <f t="shared" si="6"/>
        <v>HSV2017-019</v>
      </c>
      <c r="B116" s="523" t="s">
        <v>699</v>
      </c>
      <c r="C116" s="524">
        <v>2017</v>
      </c>
      <c r="D116" s="525">
        <v>42807</v>
      </c>
      <c r="E116" s="524" t="s">
        <v>665</v>
      </c>
      <c r="F116" s="552" t="s">
        <v>798</v>
      </c>
      <c r="G116" s="524"/>
      <c r="H116" s="520">
        <v>2100000000</v>
      </c>
      <c r="I116" s="520"/>
      <c r="J116" s="520">
        <f t="shared" si="8"/>
        <v>3005725575</v>
      </c>
      <c r="K116" s="571" t="s">
        <v>799</v>
      </c>
    </row>
    <row r="117" spans="1:11" ht="25" x14ac:dyDescent="0.25">
      <c r="A117" s="522" t="str">
        <f t="shared" si="6"/>
        <v>HSV2017-019</v>
      </c>
      <c r="B117" s="523" t="s">
        <v>699</v>
      </c>
      <c r="C117" s="524">
        <v>2017</v>
      </c>
      <c r="D117" s="525">
        <v>42807</v>
      </c>
      <c r="E117" s="524" t="s">
        <v>665</v>
      </c>
      <c r="F117" s="552" t="s">
        <v>800</v>
      </c>
      <c r="G117" s="524"/>
      <c r="H117" s="520">
        <v>55737500</v>
      </c>
      <c r="I117" s="520"/>
      <c r="J117" s="520">
        <f t="shared" si="8"/>
        <v>3061463075</v>
      </c>
      <c r="K117" s="571" t="s">
        <v>799</v>
      </c>
    </row>
    <row r="118" spans="1:11" ht="12.5" x14ac:dyDescent="0.25">
      <c r="A118" s="522" t="str">
        <f t="shared" si="6"/>
        <v>HSV2017-020</v>
      </c>
      <c r="B118" s="523" t="s">
        <v>701</v>
      </c>
      <c r="C118" s="524">
        <v>2017</v>
      </c>
      <c r="D118" s="525">
        <v>42809</v>
      </c>
      <c r="E118" s="524" t="s">
        <v>662</v>
      </c>
      <c r="F118" s="524" t="s">
        <v>714</v>
      </c>
      <c r="G118" s="524"/>
      <c r="H118" s="520">
        <v>2062488503</v>
      </c>
      <c r="I118" s="520"/>
      <c r="J118" s="520">
        <f t="shared" si="8"/>
        <v>5123951578</v>
      </c>
    </row>
    <row r="119" spans="1:11" ht="37.5" x14ac:dyDescent="0.25">
      <c r="A119" s="522" t="str">
        <f t="shared" si="6"/>
        <v>HSV2017-021</v>
      </c>
      <c r="B119" s="523" t="s">
        <v>703</v>
      </c>
      <c r="C119" s="524">
        <v>2017</v>
      </c>
      <c r="D119" s="525">
        <v>42822</v>
      </c>
      <c r="E119" s="524" t="s">
        <v>774</v>
      </c>
      <c r="F119" s="524" t="s">
        <v>795</v>
      </c>
      <c r="G119" s="524"/>
      <c r="H119" s="520"/>
      <c r="I119" s="520">
        <v>4000000000</v>
      </c>
      <c r="J119" s="520">
        <f t="shared" si="8"/>
        <v>1123951578</v>
      </c>
    </row>
    <row r="120" spans="1:11" ht="12.5" x14ac:dyDescent="0.25">
      <c r="A120" s="522" t="str">
        <f t="shared" si="6"/>
        <v>HSV2017-021</v>
      </c>
      <c r="B120" s="523" t="s">
        <v>703</v>
      </c>
      <c r="C120" s="524">
        <v>2017</v>
      </c>
      <c r="D120" s="525">
        <v>42822</v>
      </c>
      <c r="E120" s="524" t="s">
        <v>665</v>
      </c>
      <c r="F120" s="556" t="s">
        <v>736</v>
      </c>
      <c r="G120" s="524" t="s">
        <v>151</v>
      </c>
      <c r="H120" s="520"/>
      <c r="I120" s="520">
        <v>825000</v>
      </c>
      <c r="J120" s="520">
        <f t="shared" si="8"/>
        <v>1123126578</v>
      </c>
    </row>
    <row r="121" spans="1:11" ht="37.5" x14ac:dyDescent="0.25">
      <c r="A121" s="522" t="str">
        <f t="shared" si="6"/>
        <v>HSV2017-022</v>
      </c>
      <c r="B121" s="523" t="s">
        <v>705</v>
      </c>
      <c r="C121" s="524">
        <v>2017</v>
      </c>
      <c r="D121" s="525">
        <v>42822</v>
      </c>
      <c r="E121" s="524" t="s">
        <v>801</v>
      </c>
      <c r="F121" s="524" t="s">
        <v>802</v>
      </c>
      <c r="G121" s="524" t="s">
        <v>61</v>
      </c>
      <c r="H121" s="520"/>
      <c r="I121" s="520">
        <v>28215000</v>
      </c>
      <c r="J121" s="520">
        <f t="shared" si="8"/>
        <v>1094911578</v>
      </c>
    </row>
    <row r="122" spans="1:11" ht="12.5" x14ac:dyDescent="0.25">
      <c r="A122" s="522" t="str">
        <f t="shared" si="6"/>
        <v>HSV2017-022</v>
      </c>
      <c r="B122" s="523" t="s">
        <v>705</v>
      </c>
      <c r="C122" s="524">
        <v>2017</v>
      </c>
      <c r="D122" s="525">
        <v>42822</v>
      </c>
      <c r="E122" s="524" t="s">
        <v>665</v>
      </c>
      <c r="F122" s="556" t="s">
        <v>736</v>
      </c>
      <c r="G122" s="524" t="s">
        <v>151</v>
      </c>
      <c r="H122" s="520"/>
      <c r="I122" s="520">
        <v>33000</v>
      </c>
      <c r="J122" s="544">
        <f t="shared" si="8"/>
        <v>1094878578</v>
      </c>
    </row>
    <row r="123" spans="1:11" ht="50" x14ac:dyDescent="0.25">
      <c r="A123" s="522" t="str">
        <f t="shared" si="6"/>
        <v>HSV2017-023</v>
      </c>
      <c r="B123" s="523" t="s">
        <v>707</v>
      </c>
      <c r="C123" s="524">
        <v>2017</v>
      </c>
      <c r="D123" s="525">
        <v>42864</v>
      </c>
      <c r="E123" s="524" t="s">
        <v>803</v>
      </c>
      <c r="F123" s="524" t="s">
        <v>804</v>
      </c>
      <c r="G123" s="524" t="s">
        <v>59</v>
      </c>
      <c r="H123" s="520"/>
      <c r="I123" s="520">
        <v>44000000</v>
      </c>
      <c r="J123" s="544">
        <f t="shared" si="8"/>
        <v>1050878578</v>
      </c>
    </row>
    <row r="124" spans="1:11" ht="12.5" x14ac:dyDescent="0.25">
      <c r="A124" s="522" t="str">
        <f t="shared" si="6"/>
        <v>HSV2017-023</v>
      </c>
      <c r="B124" s="523" t="s">
        <v>707</v>
      </c>
      <c r="C124" s="524">
        <v>2017</v>
      </c>
      <c r="D124" s="525">
        <v>42864</v>
      </c>
      <c r="E124" s="524" t="s">
        <v>665</v>
      </c>
      <c r="F124" s="556" t="s">
        <v>736</v>
      </c>
      <c r="G124" s="524" t="s">
        <v>151</v>
      </c>
      <c r="H124" s="520"/>
      <c r="I124" s="520">
        <v>33000</v>
      </c>
      <c r="J124" s="544">
        <f t="shared" si="8"/>
        <v>1050845578</v>
      </c>
    </row>
    <row r="125" spans="1:11" ht="50" x14ac:dyDescent="0.25">
      <c r="A125" s="522" t="str">
        <f t="shared" si="6"/>
        <v>HSV2017-024</v>
      </c>
      <c r="B125" s="523" t="s">
        <v>709</v>
      </c>
      <c r="C125" s="524">
        <v>2017</v>
      </c>
      <c r="D125" s="525">
        <v>42864</v>
      </c>
      <c r="E125" s="524" t="s">
        <v>805</v>
      </c>
      <c r="F125" s="524" t="s">
        <v>806</v>
      </c>
      <c r="G125" s="524" t="s">
        <v>67</v>
      </c>
      <c r="H125" s="520"/>
      <c r="I125" s="520">
        <v>89803362</v>
      </c>
      <c r="J125" s="544">
        <f t="shared" si="8"/>
        <v>961042216</v>
      </c>
    </row>
    <row r="126" spans="1:11" ht="12.5" x14ac:dyDescent="0.25">
      <c r="A126" s="522" t="str">
        <f t="shared" si="6"/>
        <v>HSV2017-024</v>
      </c>
      <c r="B126" s="523" t="s">
        <v>709</v>
      </c>
      <c r="C126" s="524">
        <v>2017</v>
      </c>
      <c r="D126" s="525">
        <v>42864</v>
      </c>
      <c r="E126" s="524" t="s">
        <v>665</v>
      </c>
      <c r="F126" s="556" t="s">
        <v>736</v>
      </c>
      <c r="G126" s="524" t="s">
        <v>151</v>
      </c>
      <c r="H126" s="520"/>
      <c r="I126" s="520">
        <v>33000</v>
      </c>
      <c r="J126" s="544">
        <f t="shared" si="8"/>
        <v>961009216</v>
      </c>
    </row>
    <row r="127" spans="1:11" ht="50" x14ac:dyDescent="0.25">
      <c r="A127" s="522" t="str">
        <f t="shared" si="6"/>
        <v>HSV2017-025</v>
      </c>
      <c r="B127" s="523" t="s">
        <v>739</v>
      </c>
      <c r="C127" s="524">
        <v>2017</v>
      </c>
      <c r="D127" s="525">
        <v>42864</v>
      </c>
      <c r="E127" s="524" t="s">
        <v>734</v>
      </c>
      <c r="F127" s="524" t="s">
        <v>807</v>
      </c>
      <c r="G127" s="524" t="s">
        <v>75</v>
      </c>
      <c r="H127" s="520"/>
      <c r="I127" s="520">
        <v>87230000</v>
      </c>
      <c r="J127" s="544">
        <f t="shared" si="8"/>
        <v>873779216</v>
      </c>
    </row>
    <row r="128" spans="1:11" ht="12.5" x14ac:dyDescent="0.25">
      <c r="A128" s="522" t="str">
        <f t="shared" si="6"/>
        <v>HSV2017-025</v>
      </c>
      <c r="B128" s="523" t="s">
        <v>739</v>
      </c>
      <c r="C128" s="524">
        <v>2017</v>
      </c>
      <c r="D128" s="525">
        <v>42864</v>
      </c>
      <c r="E128" s="524" t="s">
        <v>665</v>
      </c>
      <c r="F128" s="556" t="s">
        <v>736</v>
      </c>
      <c r="G128" s="524" t="s">
        <v>151</v>
      </c>
      <c r="H128" s="520"/>
      <c r="I128" s="520">
        <v>33000</v>
      </c>
      <c r="J128" s="544">
        <f t="shared" si="8"/>
        <v>873746216</v>
      </c>
    </row>
    <row r="129" spans="1:10" ht="25" x14ac:dyDescent="0.25">
      <c r="A129" s="522" t="str">
        <f t="shared" si="6"/>
        <v>HSV2017-026</v>
      </c>
      <c r="B129" s="523" t="s">
        <v>741</v>
      </c>
      <c r="C129" s="524">
        <v>2017</v>
      </c>
      <c r="D129" s="525">
        <v>42870</v>
      </c>
      <c r="E129" s="524" t="s">
        <v>665</v>
      </c>
      <c r="F129" s="552" t="s">
        <v>808</v>
      </c>
      <c r="G129" s="524"/>
      <c r="H129" s="520">
        <v>10000000000</v>
      </c>
      <c r="I129" s="520"/>
      <c r="J129" s="544">
        <f t="shared" si="8"/>
        <v>10873746216</v>
      </c>
    </row>
    <row r="130" spans="1:10" ht="25" x14ac:dyDescent="0.25">
      <c r="A130" s="522" t="str">
        <f t="shared" si="6"/>
        <v>HSV2017-026</v>
      </c>
      <c r="B130" s="523" t="s">
        <v>741</v>
      </c>
      <c r="C130" s="524">
        <v>2017</v>
      </c>
      <c r="D130" s="525">
        <v>42870</v>
      </c>
      <c r="E130" s="524" t="s">
        <v>665</v>
      </c>
      <c r="F130" s="552" t="s">
        <v>809</v>
      </c>
      <c r="G130" s="524"/>
      <c r="H130" s="520">
        <v>71694444</v>
      </c>
      <c r="I130" s="520"/>
      <c r="J130" s="544">
        <f t="shared" si="8"/>
        <v>10945440660</v>
      </c>
    </row>
    <row r="131" spans="1:10" ht="25" x14ac:dyDescent="0.25">
      <c r="A131" s="522" t="str">
        <f t="shared" si="6"/>
        <v>HSV2017-027</v>
      </c>
      <c r="B131" s="523" t="s">
        <v>743</v>
      </c>
      <c r="C131" s="524">
        <v>2017</v>
      </c>
      <c r="D131" s="525">
        <v>42871</v>
      </c>
      <c r="E131" s="524" t="s">
        <v>665</v>
      </c>
      <c r="F131" s="552" t="s">
        <v>810</v>
      </c>
      <c r="G131" s="524"/>
      <c r="H131" s="520">
        <v>10000000000</v>
      </c>
      <c r="I131" s="520"/>
      <c r="J131" s="520">
        <f t="shared" si="8"/>
        <v>20945440660</v>
      </c>
    </row>
    <row r="132" spans="1:10" ht="25" x14ac:dyDescent="0.25">
      <c r="A132" s="522" t="str">
        <f t="shared" si="6"/>
        <v>HSV2017-027</v>
      </c>
      <c r="B132" s="523" t="s">
        <v>743</v>
      </c>
      <c r="C132" s="524">
        <v>2017</v>
      </c>
      <c r="D132" s="525">
        <v>42871</v>
      </c>
      <c r="E132" s="524" t="s">
        <v>665</v>
      </c>
      <c r="F132" s="552" t="s">
        <v>811</v>
      </c>
      <c r="G132" s="524"/>
      <c r="H132" s="520">
        <v>71694444</v>
      </c>
      <c r="I132" s="520"/>
      <c r="J132" s="520">
        <f t="shared" si="8"/>
        <v>21017135104</v>
      </c>
    </row>
    <row r="133" spans="1:10" ht="37.5" x14ac:dyDescent="0.25">
      <c r="A133" s="522" t="str">
        <f t="shared" si="6"/>
        <v>HSV2017-028</v>
      </c>
      <c r="B133" s="523" t="s">
        <v>745</v>
      </c>
      <c r="C133" s="524">
        <v>2017</v>
      </c>
      <c r="D133" s="525">
        <v>42872</v>
      </c>
      <c r="E133" s="524" t="s">
        <v>812</v>
      </c>
      <c r="F133" s="552" t="s">
        <v>813</v>
      </c>
      <c r="G133" s="524" t="s">
        <v>59</v>
      </c>
      <c r="H133" s="520"/>
      <c r="I133" s="520">
        <v>10615000</v>
      </c>
      <c r="J133" s="520">
        <f t="shared" si="8"/>
        <v>21006520104</v>
      </c>
    </row>
    <row r="134" spans="1:10" ht="12.5" x14ac:dyDescent="0.25">
      <c r="A134" s="522" t="str">
        <f t="shared" ref="A134:A182" si="9">"HSV"&amp;C134&amp;"-"&amp;B134</f>
        <v>HSV2017-028</v>
      </c>
      <c r="B134" s="523" t="s">
        <v>745</v>
      </c>
      <c r="C134" s="524">
        <v>2017</v>
      </c>
      <c r="D134" s="525">
        <v>42872</v>
      </c>
      <c r="E134" s="524" t="s">
        <v>665</v>
      </c>
      <c r="F134" s="556" t="s">
        <v>736</v>
      </c>
      <c r="G134" s="524" t="s">
        <v>151</v>
      </c>
      <c r="H134" s="520"/>
      <c r="I134" s="520">
        <v>33000</v>
      </c>
      <c r="J134" s="520">
        <f t="shared" si="8"/>
        <v>21006487104</v>
      </c>
    </row>
    <row r="135" spans="1:10" ht="25" x14ac:dyDescent="0.25">
      <c r="A135" s="522" t="str">
        <f t="shared" si="9"/>
        <v>HSV2017-029</v>
      </c>
      <c r="B135" s="523" t="s">
        <v>747</v>
      </c>
      <c r="C135" s="524">
        <v>2017</v>
      </c>
      <c r="D135" s="525">
        <v>42872</v>
      </c>
      <c r="E135" s="524" t="s">
        <v>665</v>
      </c>
      <c r="F135" s="552" t="s">
        <v>814</v>
      </c>
      <c r="G135" s="524"/>
      <c r="H135" s="520">
        <v>5000000000</v>
      </c>
      <c r="I135" s="520"/>
      <c r="J135" s="520">
        <f t="shared" si="8"/>
        <v>26006487104</v>
      </c>
    </row>
    <row r="136" spans="1:10" ht="25" x14ac:dyDescent="0.25">
      <c r="A136" s="522" t="str">
        <f t="shared" si="9"/>
        <v>HSV2017-029</v>
      </c>
      <c r="B136" s="523" t="s">
        <v>747</v>
      </c>
      <c r="C136" s="524">
        <v>2017</v>
      </c>
      <c r="D136" s="525">
        <v>42872</v>
      </c>
      <c r="E136" s="524" t="s">
        <v>665</v>
      </c>
      <c r="F136" s="552" t="s">
        <v>815</v>
      </c>
      <c r="G136" s="524"/>
      <c r="H136" s="520">
        <v>35847222</v>
      </c>
      <c r="I136" s="520"/>
      <c r="J136" s="520">
        <f t="shared" si="8"/>
        <v>26042334326</v>
      </c>
    </row>
    <row r="137" spans="1:10" ht="50" x14ac:dyDescent="0.25">
      <c r="A137" s="522" t="str">
        <f t="shared" si="9"/>
        <v>HSV2017-030</v>
      </c>
      <c r="B137" s="523" t="s">
        <v>749</v>
      </c>
      <c r="C137" s="524">
        <v>2017</v>
      </c>
      <c r="D137" s="525">
        <v>42872</v>
      </c>
      <c r="E137" s="524" t="s">
        <v>816</v>
      </c>
      <c r="F137" s="552" t="s">
        <v>817</v>
      </c>
      <c r="G137" s="524" t="s">
        <v>20</v>
      </c>
      <c r="H137" s="520"/>
      <c r="I137" s="520">
        <v>25410000</v>
      </c>
      <c r="J137" s="520">
        <f t="shared" si="8"/>
        <v>26016924326</v>
      </c>
    </row>
    <row r="138" spans="1:10" ht="12.5" x14ac:dyDescent="0.25">
      <c r="A138" s="522" t="str">
        <f t="shared" si="9"/>
        <v>HSV2017-030</v>
      </c>
      <c r="B138" s="523" t="s">
        <v>749</v>
      </c>
      <c r="C138" s="524">
        <v>2017</v>
      </c>
      <c r="D138" s="525">
        <v>42872</v>
      </c>
      <c r="E138" s="524" t="s">
        <v>665</v>
      </c>
      <c r="F138" s="556" t="s">
        <v>736</v>
      </c>
      <c r="G138" s="524" t="s">
        <v>151</v>
      </c>
      <c r="H138" s="520"/>
      <c r="I138" s="520">
        <v>33000</v>
      </c>
      <c r="J138" s="520">
        <f t="shared" si="8"/>
        <v>26016891326</v>
      </c>
    </row>
    <row r="139" spans="1:10" ht="37.5" x14ac:dyDescent="0.25">
      <c r="A139" s="522" t="str">
        <f t="shared" si="9"/>
        <v>HSV2017-031</v>
      </c>
      <c r="B139" s="523" t="s">
        <v>751</v>
      </c>
      <c r="C139" s="524">
        <v>2017</v>
      </c>
      <c r="D139" s="525">
        <v>42872</v>
      </c>
      <c r="E139" s="524" t="s">
        <v>774</v>
      </c>
      <c r="F139" s="524" t="s">
        <v>795</v>
      </c>
      <c r="G139" s="524"/>
      <c r="H139" s="520"/>
      <c r="I139" s="520">
        <v>10000000000</v>
      </c>
      <c r="J139" s="520">
        <f t="shared" si="8"/>
        <v>16016891326</v>
      </c>
    </row>
    <row r="140" spans="1:10" ht="12.5" x14ac:dyDescent="0.25">
      <c r="A140" s="522" t="str">
        <f t="shared" si="9"/>
        <v>HSV2017-031</v>
      </c>
      <c r="B140" s="523" t="s">
        <v>751</v>
      </c>
      <c r="C140" s="524">
        <v>2017</v>
      </c>
      <c r="D140" s="525">
        <v>42872</v>
      </c>
      <c r="E140" s="524" t="s">
        <v>665</v>
      </c>
      <c r="F140" s="556" t="s">
        <v>736</v>
      </c>
      <c r="G140" s="524" t="s">
        <v>151</v>
      </c>
      <c r="H140" s="520"/>
      <c r="I140" s="520">
        <v>825000</v>
      </c>
      <c r="J140" s="520">
        <f t="shared" si="8"/>
        <v>16016066326</v>
      </c>
    </row>
    <row r="141" spans="1:10" ht="37.5" x14ac:dyDescent="0.25">
      <c r="A141" s="522" t="str">
        <f t="shared" si="9"/>
        <v>HSV2017-032</v>
      </c>
      <c r="B141" s="523" t="s">
        <v>753</v>
      </c>
      <c r="C141" s="524">
        <v>2017</v>
      </c>
      <c r="D141" s="525">
        <v>42872</v>
      </c>
      <c r="E141" s="524" t="s">
        <v>774</v>
      </c>
      <c r="F141" s="524" t="s">
        <v>795</v>
      </c>
      <c r="G141" s="524"/>
      <c r="H141" s="520"/>
      <c r="I141" s="520">
        <v>5000000000</v>
      </c>
      <c r="J141" s="520">
        <f t="shared" si="8"/>
        <v>11016066326</v>
      </c>
    </row>
    <row r="142" spans="1:10" ht="12.5" x14ac:dyDescent="0.25">
      <c r="A142" s="522" t="str">
        <f t="shared" si="9"/>
        <v>HSV2017-032</v>
      </c>
      <c r="B142" s="523" t="s">
        <v>753</v>
      </c>
      <c r="C142" s="524">
        <v>2017</v>
      </c>
      <c r="D142" s="525">
        <v>42872</v>
      </c>
      <c r="E142" s="524" t="s">
        <v>665</v>
      </c>
      <c r="F142" s="556" t="s">
        <v>736</v>
      </c>
      <c r="G142" s="524" t="s">
        <v>151</v>
      </c>
      <c r="H142" s="520"/>
      <c r="I142" s="520">
        <v>825000</v>
      </c>
      <c r="J142" s="520">
        <f t="shared" si="8"/>
        <v>11015241326</v>
      </c>
    </row>
    <row r="143" spans="1:10" ht="37.5" x14ac:dyDescent="0.25">
      <c r="A143" s="522" t="str">
        <f t="shared" si="9"/>
        <v>HSV2017-033</v>
      </c>
      <c r="B143" s="523" t="s">
        <v>755</v>
      </c>
      <c r="C143" s="524">
        <v>2017</v>
      </c>
      <c r="D143" s="525">
        <v>42874</v>
      </c>
      <c r="E143" s="524" t="s">
        <v>774</v>
      </c>
      <c r="F143" s="524" t="s">
        <v>795</v>
      </c>
      <c r="G143" s="524"/>
      <c r="H143" s="520"/>
      <c r="I143" s="520">
        <v>10000000000</v>
      </c>
      <c r="J143" s="520">
        <f t="shared" si="8"/>
        <v>1015241326</v>
      </c>
    </row>
    <row r="144" spans="1:10" ht="12.5" x14ac:dyDescent="0.25">
      <c r="A144" s="522" t="str">
        <f t="shared" si="9"/>
        <v>HSV2017-033</v>
      </c>
      <c r="B144" s="523" t="s">
        <v>755</v>
      </c>
      <c r="C144" s="524">
        <v>2017</v>
      </c>
      <c r="D144" s="525">
        <v>42874</v>
      </c>
      <c r="E144" s="524" t="s">
        <v>665</v>
      </c>
      <c r="F144" s="556" t="s">
        <v>736</v>
      </c>
      <c r="G144" s="524" t="s">
        <v>151</v>
      </c>
      <c r="H144" s="520"/>
      <c r="I144" s="520">
        <v>825000</v>
      </c>
      <c r="J144" s="520">
        <f t="shared" si="8"/>
        <v>1014416326</v>
      </c>
    </row>
    <row r="145" spans="1:11" ht="37.5" x14ac:dyDescent="0.25">
      <c r="A145" s="522" t="str">
        <f t="shared" si="9"/>
        <v>HSV2017-034</v>
      </c>
      <c r="B145" s="523" t="s">
        <v>758</v>
      </c>
      <c r="C145" s="524">
        <v>2017</v>
      </c>
      <c r="D145" s="525">
        <v>42880</v>
      </c>
      <c r="E145" s="524" t="s">
        <v>801</v>
      </c>
      <c r="F145" s="556" t="s">
        <v>818</v>
      </c>
      <c r="G145" s="524" t="s">
        <v>61</v>
      </c>
      <c r="H145" s="520"/>
      <c r="I145" s="520">
        <v>28215000</v>
      </c>
      <c r="J145" s="520">
        <f t="shared" si="8"/>
        <v>986201326</v>
      </c>
    </row>
    <row r="146" spans="1:11" ht="12.5" x14ac:dyDescent="0.25">
      <c r="A146" s="522" t="str">
        <f t="shared" si="9"/>
        <v>HSV2017-034</v>
      </c>
      <c r="B146" s="523" t="s">
        <v>758</v>
      </c>
      <c r="C146" s="524">
        <v>2017</v>
      </c>
      <c r="D146" s="525">
        <v>42880</v>
      </c>
      <c r="E146" s="524" t="s">
        <v>665</v>
      </c>
      <c r="F146" s="556" t="s">
        <v>736</v>
      </c>
      <c r="G146" s="524" t="s">
        <v>151</v>
      </c>
      <c r="H146" s="520"/>
      <c r="I146" s="520">
        <v>33000</v>
      </c>
      <c r="J146" s="544">
        <f t="shared" si="8"/>
        <v>986168326</v>
      </c>
    </row>
    <row r="147" spans="1:11" ht="37.5" x14ac:dyDescent="0.25">
      <c r="A147" s="522" t="str">
        <f t="shared" si="9"/>
        <v>HSV2017-035</v>
      </c>
      <c r="B147" s="523" t="s">
        <v>759</v>
      </c>
      <c r="C147" s="524">
        <v>2017</v>
      </c>
      <c r="D147" s="525">
        <v>42891</v>
      </c>
      <c r="E147" s="524" t="s">
        <v>801</v>
      </c>
      <c r="F147" s="556" t="s">
        <v>819</v>
      </c>
      <c r="G147" s="524" t="s">
        <v>20</v>
      </c>
      <c r="H147" s="520"/>
      <c r="I147" s="520">
        <v>19800000</v>
      </c>
      <c r="J147" s="520">
        <f t="shared" si="8"/>
        <v>966368326</v>
      </c>
    </row>
    <row r="148" spans="1:11" ht="12.5" x14ac:dyDescent="0.25">
      <c r="A148" s="522" t="str">
        <f t="shared" si="9"/>
        <v>HSV2017-035</v>
      </c>
      <c r="B148" s="523" t="s">
        <v>759</v>
      </c>
      <c r="C148" s="524">
        <v>2017</v>
      </c>
      <c r="D148" s="525">
        <v>42891</v>
      </c>
      <c r="E148" s="524" t="s">
        <v>665</v>
      </c>
      <c r="F148" s="556" t="s">
        <v>736</v>
      </c>
      <c r="G148" s="524" t="s">
        <v>151</v>
      </c>
      <c r="H148" s="520"/>
      <c r="I148" s="520">
        <v>33000</v>
      </c>
      <c r="J148" s="520">
        <f t="shared" si="8"/>
        <v>966335326</v>
      </c>
    </row>
    <row r="149" spans="1:11" ht="12.5" x14ac:dyDescent="0.25">
      <c r="A149" s="522" t="str">
        <f t="shared" si="9"/>
        <v>HSV2017-036</v>
      </c>
      <c r="B149" s="523" t="s">
        <v>761</v>
      </c>
      <c r="C149" s="524">
        <v>2017</v>
      </c>
      <c r="D149" s="525">
        <v>42892</v>
      </c>
      <c r="E149" s="524" t="s">
        <v>820</v>
      </c>
      <c r="F149" s="524" t="s">
        <v>714</v>
      </c>
      <c r="G149" s="524"/>
      <c r="H149" s="520">
        <v>1644699272</v>
      </c>
      <c r="I149" s="520"/>
      <c r="J149" s="544">
        <f t="shared" si="8"/>
        <v>2611034598</v>
      </c>
    </row>
    <row r="150" spans="1:11" ht="37.5" x14ac:dyDescent="0.25">
      <c r="A150" s="522" t="str">
        <f t="shared" si="9"/>
        <v>HSV2017-037</v>
      </c>
      <c r="B150" s="523" t="s">
        <v>763</v>
      </c>
      <c r="C150" s="524">
        <v>2017</v>
      </c>
      <c r="D150" s="525">
        <v>42899</v>
      </c>
      <c r="E150" s="524" t="s">
        <v>774</v>
      </c>
      <c r="F150" s="524" t="s">
        <v>795</v>
      </c>
      <c r="G150" s="524"/>
      <c r="H150" s="520"/>
      <c r="I150" s="520">
        <v>2000000000</v>
      </c>
      <c r="J150" s="544">
        <f t="shared" si="8"/>
        <v>611034598</v>
      </c>
    </row>
    <row r="151" spans="1:11" ht="12.5" x14ac:dyDescent="0.25">
      <c r="A151" s="522" t="str">
        <f t="shared" si="9"/>
        <v>HSV2017-037</v>
      </c>
      <c r="B151" s="523" t="s">
        <v>763</v>
      </c>
      <c r="C151" s="524">
        <v>2017</v>
      </c>
      <c r="D151" s="525">
        <v>42899</v>
      </c>
      <c r="E151" s="524" t="s">
        <v>665</v>
      </c>
      <c r="F151" s="556" t="s">
        <v>736</v>
      </c>
      <c r="G151" s="524" t="s">
        <v>151</v>
      </c>
      <c r="H151" s="520"/>
      <c r="I151" s="520">
        <v>550000</v>
      </c>
      <c r="J151" s="544">
        <f t="shared" ref="J151:J182" si="10">+J150+H151-I151</f>
        <v>610484598</v>
      </c>
    </row>
    <row r="152" spans="1:11" ht="25" x14ac:dyDescent="0.25">
      <c r="A152" s="522" t="str">
        <f t="shared" si="9"/>
        <v>HSV2017-038</v>
      </c>
      <c r="B152" s="523" t="s">
        <v>765</v>
      </c>
      <c r="C152" s="524">
        <v>2017</v>
      </c>
      <c r="D152" s="525">
        <v>42901</v>
      </c>
      <c r="E152" s="524" t="s">
        <v>665</v>
      </c>
      <c r="F152" s="524" t="s">
        <v>821</v>
      </c>
      <c r="G152" s="524" t="s">
        <v>151</v>
      </c>
      <c r="H152" s="520"/>
      <c r="I152" s="520">
        <v>550000</v>
      </c>
      <c r="J152" s="544">
        <f t="shared" si="10"/>
        <v>609934598</v>
      </c>
    </row>
    <row r="153" spans="1:11" ht="25" x14ac:dyDescent="0.25">
      <c r="A153" s="522" t="str">
        <f t="shared" si="9"/>
        <v>HSV2017-039</v>
      </c>
      <c r="B153" s="523" t="s">
        <v>766</v>
      </c>
      <c r="C153" s="524">
        <v>2017</v>
      </c>
      <c r="D153" s="525">
        <v>42905</v>
      </c>
      <c r="E153" s="524" t="s">
        <v>665</v>
      </c>
      <c r="F153" s="552" t="s">
        <v>822</v>
      </c>
      <c r="G153" s="524"/>
      <c r="H153" s="520">
        <v>1700000000</v>
      </c>
      <c r="I153" s="520"/>
      <c r="J153" s="544">
        <f t="shared" si="10"/>
        <v>2309934598</v>
      </c>
    </row>
    <row r="154" spans="1:11" ht="25" x14ac:dyDescent="0.25">
      <c r="A154" s="522" t="str">
        <f t="shared" si="9"/>
        <v>HSV2017-039</v>
      </c>
      <c r="B154" s="523" t="s">
        <v>766</v>
      </c>
      <c r="C154" s="524">
        <v>2017</v>
      </c>
      <c r="D154" s="525">
        <v>42905</v>
      </c>
      <c r="E154" s="524" t="s">
        <v>665</v>
      </c>
      <c r="F154" s="552" t="s">
        <v>823</v>
      </c>
      <c r="G154" s="524"/>
      <c r="H154" s="520">
        <v>42542500</v>
      </c>
      <c r="I154" s="520"/>
      <c r="J154" s="544">
        <f t="shared" si="10"/>
        <v>2352477098</v>
      </c>
    </row>
    <row r="155" spans="1:11" ht="37.5" x14ac:dyDescent="0.25">
      <c r="A155" s="522" t="str">
        <f t="shared" si="9"/>
        <v>HSV2017-040</v>
      </c>
      <c r="B155" s="523" t="s">
        <v>768</v>
      </c>
      <c r="C155" s="524">
        <v>2017</v>
      </c>
      <c r="D155" s="525">
        <v>42905</v>
      </c>
      <c r="E155" s="524" t="s">
        <v>774</v>
      </c>
      <c r="F155" s="524" t="s">
        <v>795</v>
      </c>
      <c r="G155" s="524"/>
      <c r="H155" s="520"/>
      <c r="I155" s="520">
        <v>1700000000</v>
      </c>
      <c r="J155" s="544">
        <f t="shared" si="10"/>
        <v>652477098</v>
      </c>
    </row>
    <row r="156" spans="1:11" ht="12.5" x14ac:dyDescent="0.25">
      <c r="A156" s="522" t="str">
        <f t="shared" si="9"/>
        <v>HSV2017-040</v>
      </c>
      <c r="B156" s="523" t="s">
        <v>768</v>
      </c>
      <c r="C156" s="524">
        <v>2017</v>
      </c>
      <c r="D156" s="525">
        <v>42905</v>
      </c>
      <c r="E156" s="524" t="s">
        <v>665</v>
      </c>
      <c r="F156" s="556" t="s">
        <v>736</v>
      </c>
      <c r="G156" s="524" t="s">
        <v>151</v>
      </c>
      <c r="H156" s="520"/>
      <c r="I156" s="520">
        <v>467500</v>
      </c>
      <c r="J156" s="544">
        <f t="shared" si="10"/>
        <v>652009598</v>
      </c>
      <c r="K156" s="572"/>
    </row>
    <row r="157" spans="1:11" ht="50" x14ac:dyDescent="0.25">
      <c r="A157" s="522" t="str">
        <f t="shared" si="9"/>
        <v>HSV2017-041</v>
      </c>
      <c r="B157" s="523" t="s">
        <v>824</v>
      </c>
      <c r="C157" s="524">
        <v>2017</v>
      </c>
      <c r="D157" s="525">
        <v>42913</v>
      </c>
      <c r="E157" s="524" t="s">
        <v>816</v>
      </c>
      <c r="F157" s="524" t="s">
        <v>825</v>
      </c>
      <c r="G157" s="524" t="s">
        <v>20</v>
      </c>
      <c r="H157" s="520"/>
      <c r="I157" s="520">
        <v>59290000</v>
      </c>
      <c r="J157" s="544">
        <f t="shared" si="10"/>
        <v>592719598</v>
      </c>
    </row>
    <row r="158" spans="1:11" ht="12.5" x14ac:dyDescent="0.25">
      <c r="A158" s="522" t="str">
        <f t="shared" si="9"/>
        <v>HSV2017-041</v>
      </c>
      <c r="B158" s="523" t="s">
        <v>824</v>
      </c>
      <c r="C158" s="524">
        <v>2017</v>
      </c>
      <c r="D158" s="525">
        <v>42913</v>
      </c>
      <c r="E158" s="524" t="s">
        <v>665</v>
      </c>
      <c r="F158" s="556" t="s">
        <v>736</v>
      </c>
      <c r="G158" s="524" t="s">
        <v>151</v>
      </c>
      <c r="H158" s="520"/>
      <c r="I158" s="520">
        <v>33000</v>
      </c>
      <c r="J158" s="544">
        <f t="shared" si="10"/>
        <v>592686598</v>
      </c>
    </row>
    <row r="159" spans="1:11" ht="37.5" x14ac:dyDescent="0.25">
      <c r="A159" s="522" t="str">
        <f t="shared" si="9"/>
        <v>HSV2017-042</v>
      </c>
      <c r="B159" s="523" t="s">
        <v>826</v>
      </c>
      <c r="C159" s="524">
        <v>2017</v>
      </c>
      <c r="D159" s="525">
        <v>42913</v>
      </c>
      <c r="E159" s="524" t="s">
        <v>827</v>
      </c>
      <c r="F159" s="524" t="s">
        <v>828</v>
      </c>
      <c r="G159" s="524" t="s">
        <v>59</v>
      </c>
      <c r="H159" s="520"/>
      <c r="I159" s="520">
        <v>11467500</v>
      </c>
      <c r="J159" s="544">
        <f t="shared" si="10"/>
        <v>581219098</v>
      </c>
    </row>
    <row r="160" spans="1:11" ht="12.5" x14ac:dyDescent="0.25">
      <c r="A160" s="522" t="str">
        <f t="shared" si="9"/>
        <v>HSV2017-042</v>
      </c>
      <c r="B160" s="523" t="s">
        <v>826</v>
      </c>
      <c r="C160" s="524">
        <v>2017</v>
      </c>
      <c r="D160" s="525">
        <v>42913</v>
      </c>
      <c r="E160" s="524" t="s">
        <v>665</v>
      </c>
      <c r="F160" s="556" t="s">
        <v>736</v>
      </c>
      <c r="G160" s="524" t="s">
        <v>151</v>
      </c>
      <c r="H160" s="520"/>
      <c r="I160" s="520">
        <v>33000</v>
      </c>
      <c r="J160" s="544">
        <f t="shared" si="10"/>
        <v>581186098</v>
      </c>
    </row>
    <row r="161" spans="1:11" ht="50" x14ac:dyDescent="0.25">
      <c r="A161" s="522" t="str">
        <f t="shared" si="9"/>
        <v>HSV2017-043</v>
      </c>
      <c r="B161" s="523" t="s">
        <v>829</v>
      </c>
      <c r="C161" s="524">
        <v>2017</v>
      </c>
      <c r="D161" s="525">
        <v>42926</v>
      </c>
      <c r="E161" s="524" t="s">
        <v>830</v>
      </c>
      <c r="F161" s="524" t="s">
        <v>831</v>
      </c>
      <c r="G161" s="524" t="s">
        <v>61</v>
      </c>
      <c r="H161" s="520"/>
      <c r="I161" s="520">
        <v>13200000</v>
      </c>
      <c r="J161" s="544">
        <f t="shared" si="10"/>
        <v>567986098</v>
      </c>
    </row>
    <row r="162" spans="1:11" ht="12.5" x14ac:dyDescent="0.25">
      <c r="A162" s="522" t="str">
        <f t="shared" si="9"/>
        <v>HSV2017-043</v>
      </c>
      <c r="B162" s="523" t="s">
        <v>829</v>
      </c>
      <c r="C162" s="524">
        <v>2017</v>
      </c>
      <c r="D162" s="525">
        <v>42926</v>
      </c>
      <c r="E162" s="524" t="s">
        <v>665</v>
      </c>
      <c r="F162" s="556" t="s">
        <v>736</v>
      </c>
      <c r="G162" s="524" t="s">
        <v>151</v>
      </c>
      <c r="H162" s="520"/>
      <c r="I162" s="520">
        <v>33000</v>
      </c>
      <c r="J162" s="544">
        <f t="shared" si="10"/>
        <v>567953098</v>
      </c>
    </row>
    <row r="163" spans="1:11" ht="50" x14ac:dyDescent="0.25">
      <c r="A163" s="522" t="str">
        <f t="shared" si="9"/>
        <v>HSV2017-044</v>
      </c>
      <c r="B163" s="523" t="s">
        <v>832</v>
      </c>
      <c r="C163" s="524">
        <v>2017</v>
      </c>
      <c r="D163" s="525">
        <v>42940</v>
      </c>
      <c r="E163" s="524" t="s">
        <v>734</v>
      </c>
      <c r="F163" s="524" t="s">
        <v>833</v>
      </c>
      <c r="G163" s="524" t="s">
        <v>75</v>
      </c>
      <c r="H163" s="520"/>
      <c r="I163" s="520">
        <v>68691150</v>
      </c>
      <c r="J163" s="544">
        <f t="shared" si="10"/>
        <v>499261948</v>
      </c>
    </row>
    <row r="164" spans="1:11" ht="12.5" x14ac:dyDescent="0.25">
      <c r="A164" s="522" t="str">
        <f t="shared" si="9"/>
        <v>HSV2017-044</v>
      </c>
      <c r="B164" s="523" t="s">
        <v>832</v>
      </c>
      <c r="C164" s="524">
        <v>2017</v>
      </c>
      <c r="D164" s="525">
        <v>42940</v>
      </c>
      <c r="E164" s="524" t="s">
        <v>665</v>
      </c>
      <c r="F164" s="556" t="s">
        <v>736</v>
      </c>
      <c r="G164" s="524" t="s">
        <v>151</v>
      </c>
      <c r="H164" s="520"/>
      <c r="I164" s="520">
        <v>33000</v>
      </c>
      <c r="J164" s="544">
        <f t="shared" si="10"/>
        <v>499228948</v>
      </c>
    </row>
    <row r="165" spans="1:11" ht="62.5" x14ac:dyDescent="0.25">
      <c r="A165" s="522" t="str">
        <f>"HSV"&amp;C165&amp;"-"&amp;B165</f>
        <v>HSV2017-045</v>
      </c>
      <c r="B165" s="523" t="s">
        <v>834</v>
      </c>
      <c r="C165" s="524">
        <v>2017</v>
      </c>
      <c r="D165" s="525">
        <v>42940</v>
      </c>
      <c r="E165" s="524" t="s">
        <v>801</v>
      </c>
      <c r="F165" s="524" t="s">
        <v>835</v>
      </c>
      <c r="G165" s="524" t="s">
        <v>61</v>
      </c>
      <c r="H165" s="520"/>
      <c r="I165" s="520">
        <v>21373000</v>
      </c>
      <c r="J165" s="544">
        <f t="shared" si="10"/>
        <v>477855948</v>
      </c>
    </row>
    <row r="166" spans="1:11" ht="12.5" x14ac:dyDescent="0.25">
      <c r="A166" s="522" t="str">
        <f>"HSV"&amp;C166&amp;"-"&amp;B166</f>
        <v>HSV2017-045</v>
      </c>
      <c r="B166" s="523" t="s">
        <v>834</v>
      </c>
      <c r="C166" s="524">
        <v>2017</v>
      </c>
      <c r="D166" s="525">
        <v>42940</v>
      </c>
      <c r="E166" s="524" t="s">
        <v>665</v>
      </c>
      <c r="F166" s="556" t="s">
        <v>736</v>
      </c>
      <c r="G166" s="524" t="s">
        <v>151</v>
      </c>
      <c r="H166" s="520"/>
      <c r="I166" s="520">
        <v>33000</v>
      </c>
      <c r="J166" s="544">
        <f t="shared" si="10"/>
        <v>477822948</v>
      </c>
    </row>
    <row r="167" spans="1:11" ht="25" x14ac:dyDescent="0.25">
      <c r="A167" s="522" t="str">
        <f t="shared" si="9"/>
        <v>HSV2017-046</v>
      </c>
      <c r="B167" s="523" t="s">
        <v>836</v>
      </c>
      <c r="C167" s="524">
        <v>2017</v>
      </c>
      <c r="D167" s="525">
        <v>42951</v>
      </c>
      <c r="E167" s="524" t="s">
        <v>665</v>
      </c>
      <c r="F167" s="556" t="s">
        <v>837</v>
      </c>
      <c r="G167" s="524" t="s">
        <v>151</v>
      </c>
      <c r="H167" s="520"/>
      <c r="I167" s="520">
        <v>550000</v>
      </c>
      <c r="J167" s="544">
        <f t="shared" si="10"/>
        <v>477272948</v>
      </c>
    </row>
    <row r="168" spans="1:11" ht="25" x14ac:dyDescent="0.25">
      <c r="A168" s="522" t="str">
        <f t="shared" si="9"/>
        <v>HSV2017-047</v>
      </c>
      <c r="B168" s="523" t="s">
        <v>838</v>
      </c>
      <c r="C168" s="524">
        <v>2017</v>
      </c>
      <c r="D168" s="525">
        <v>42961</v>
      </c>
      <c r="E168" s="524" t="s">
        <v>665</v>
      </c>
      <c r="F168" s="552" t="s">
        <v>839</v>
      </c>
      <c r="G168" s="524"/>
      <c r="H168" s="520">
        <v>2500000000</v>
      </c>
      <c r="I168" s="520"/>
      <c r="J168" s="544">
        <f t="shared" si="10"/>
        <v>2977272948</v>
      </c>
    </row>
    <row r="169" spans="1:11" ht="25" x14ac:dyDescent="0.25">
      <c r="A169" s="522" t="str">
        <f t="shared" si="9"/>
        <v>HSV2017-047</v>
      </c>
      <c r="B169" s="523" t="s">
        <v>838</v>
      </c>
      <c r="C169" s="524">
        <v>2017</v>
      </c>
      <c r="D169" s="525">
        <v>42961</v>
      </c>
      <c r="E169" s="524" t="s">
        <v>665</v>
      </c>
      <c r="F169" s="552" t="s">
        <v>840</v>
      </c>
      <c r="G169" s="524"/>
      <c r="H169" s="520">
        <v>96847222</v>
      </c>
      <c r="I169" s="520"/>
      <c r="J169" s="544">
        <f t="shared" si="10"/>
        <v>3074120170</v>
      </c>
    </row>
    <row r="170" spans="1:11" ht="12.5" x14ac:dyDescent="0.25">
      <c r="A170" s="522" t="str">
        <f t="shared" si="9"/>
        <v>HSV2017-048</v>
      </c>
      <c r="B170" s="523" t="s">
        <v>841</v>
      </c>
      <c r="C170" s="524">
        <v>2017</v>
      </c>
      <c r="D170" s="525">
        <v>42992</v>
      </c>
      <c r="E170" s="524" t="s">
        <v>662</v>
      </c>
      <c r="F170" s="524" t="s">
        <v>714</v>
      </c>
      <c r="G170" s="524"/>
      <c r="H170" s="520">
        <v>831393788</v>
      </c>
      <c r="I170" s="520"/>
      <c r="J170" s="544">
        <f t="shared" si="10"/>
        <v>3905513958</v>
      </c>
    </row>
    <row r="171" spans="1:11" ht="25" x14ac:dyDescent="0.25">
      <c r="A171" s="522" t="str">
        <f t="shared" si="9"/>
        <v>HSV2017-049</v>
      </c>
      <c r="B171" s="523" t="s">
        <v>842</v>
      </c>
      <c r="C171" s="524">
        <v>2017</v>
      </c>
      <c r="D171" s="525">
        <v>43018</v>
      </c>
      <c r="E171" s="524" t="s">
        <v>734</v>
      </c>
      <c r="F171" s="524" t="s">
        <v>843</v>
      </c>
      <c r="G171" s="524" t="s">
        <v>75</v>
      </c>
      <c r="H171" s="520"/>
      <c r="I171" s="520">
        <v>434049000</v>
      </c>
      <c r="J171" s="544">
        <f t="shared" si="10"/>
        <v>3471464958</v>
      </c>
      <c r="K171" s="505" t="s">
        <v>892</v>
      </c>
    </row>
    <row r="172" spans="1:11" ht="12.5" x14ac:dyDescent="0.25">
      <c r="A172" s="522" t="str">
        <f t="shared" si="9"/>
        <v>HSV2017-049</v>
      </c>
      <c r="B172" s="523" t="s">
        <v>842</v>
      </c>
      <c r="C172" s="524">
        <v>2017</v>
      </c>
      <c r="D172" s="525">
        <v>43018</v>
      </c>
      <c r="E172" s="524" t="s">
        <v>734</v>
      </c>
      <c r="F172" s="556" t="s">
        <v>736</v>
      </c>
      <c r="G172" s="524" t="s">
        <v>151</v>
      </c>
      <c r="H172" s="520"/>
      <c r="I172" s="520">
        <v>33000</v>
      </c>
      <c r="J172" s="544">
        <f t="shared" si="10"/>
        <v>3471431958</v>
      </c>
    </row>
    <row r="173" spans="1:11" ht="37.5" x14ac:dyDescent="0.25">
      <c r="A173" s="522" t="str">
        <f t="shared" si="9"/>
        <v>HSV2017-050</v>
      </c>
      <c r="B173" s="523" t="s">
        <v>844</v>
      </c>
      <c r="C173" s="524">
        <v>2017</v>
      </c>
      <c r="D173" s="525">
        <v>43018</v>
      </c>
      <c r="E173" s="524" t="s">
        <v>734</v>
      </c>
      <c r="F173" s="524" t="s">
        <v>845</v>
      </c>
      <c r="G173" s="524" t="s">
        <v>75</v>
      </c>
      <c r="H173" s="520"/>
      <c r="I173" s="520">
        <v>229996800</v>
      </c>
      <c r="J173" s="544">
        <f t="shared" si="10"/>
        <v>3241435158</v>
      </c>
      <c r="K173" s="505" t="s">
        <v>892</v>
      </c>
    </row>
    <row r="174" spans="1:11" ht="12.5" x14ac:dyDescent="0.25">
      <c r="A174" s="522" t="str">
        <f t="shared" si="9"/>
        <v>HSV2017-050</v>
      </c>
      <c r="B174" s="523" t="s">
        <v>844</v>
      </c>
      <c r="C174" s="524">
        <v>2017</v>
      </c>
      <c r="D174" s="525">
        <v>43018</v>
      </c>
      <c r="E174" s="524" t="s">
        <v>734</v>
      </c>
      <c r="F174" s="556" t="s">
        <v>736</v>
      </c>
      <c r="G174" s="524" t="s">
        <v>151</v>
      </c>
      <c r="H174" s="520"/>
      <c r="I174" s="520">
        <v>33000</v>
      </c>
      <c r="J174" s="544">
        <f t="shared" si="10"/>
        <v>3241402158</v>
      </c>
    </row>
    <row r="175" spans="1:11" ht="25" x14ac:dyDescent="0.25">
      <c r="A175" s="522" t="str">
        <f t="shared" si="9"/>
        <v>HSV2017-051</v>
      </c>
      <c r="B175" s="523" t="s">
        <v>846</v>
      </c>
      <c r="C175" s="524">
        <v>2017</v>
      </c>
      <c r="D175" s="525">
        <v>43018</v>
      </c>
      <c r="E175" s="524" t="s">
        <v>734</v>
      </c>
      <c r="F175" s="556" t="s">
        <v>847</v>
      </c>
      <c r="G175" s="524" t="s">
        <v>75</v>
      </c>
      <c r="H175" s="520"/>
      <c r="I175" s="520">
        <v>144683000</v>
      </c>
      <c r="J175" s="544">
        <f t="shared" si="10"/>
        <v>3096719158</v>
      </c>
      <c r="K175" s="505" t="s">
        <v>892</v>
      </c>
    </row>
    <row r="176" spans="1:11" ht="12.5" x14ac:dyDescent="0.25">
      <c r="A176" s="522" t="str">
        <f t="shared" si="9"/>
        <v>HSV2017-051</v>
      </c>
      <c r="B176" s="523" t="s">
        <v>846</v>
      </c>
      <c r="C176" s="524">
        <v>2017</v>
      </c>
      <c r="D176" s="525">
        <v>43018</v>
      </c>
      <c r="E176" s="524" t="s">
        <v>734</v>
      </c>
      <c r="F176" s="556" t="s">
        <v>736</v>
      </c>
      <c r="G176" s="524" t="s">
        <v>151</v>
      </c>
      <c r="H176" s="520"/>
      <c r="I176" s="520">
        <v>33000</v>
      </c>
      <c r="J176" s="544">
        <f t="shared" si="10"/>
        <v>3096686158</v>
      </c>
    </row>
    <row r="177" spans="1:13" ht="25" x14ac:dyDescent="0.25">
      <c r="A177" s="522" t="str">
        <f t="shared" si="9"/>
        <v>HSV2017-052</v>
      </c>
      <c r="B177" s="523" t="s">
        <v>848</v>
      </c>
      <c r="C177" s="524">
        <v>2017</v>
      </c>
      <c r="D177" s="525">
        <v>43018</v>
      </c>
      <c r="E177" s="524" t="s">
        <v>734</v>
      </c>
      <c r="F177" s="524" t="s">
        <v>849</v>
      </c>
      <c r="G177" s="524" t="s">
        <v>75</v>
      </c>
      <c r="H177" s="520"/>
      <c r="I177" s="520">
        <v>144683000</v>
      </c>
      <c r="J177" s="544">
        <f t="shared" si="10"/>
        <v>2952003158</v>
      </c>
      <c r="K177" s="505" t="s">
        <v>892</v>
      </c>
    </row>
    <row r="178" spans="1:13" ht="12.5" x14ac:dyDescent="0.25">
      <c r="A178" s="522" t="str">
        <f t="shared" si="9"/>
        <v>HSV2017-052</v>
      </c>
      <c r="B178" s="523" t="s">
        <v>848</v>
      </c>
      <c r="C178" s="524">
        <v>2017</v>
      </c>
      <c r="D178" s="525">
        <v>43018</v>
      </c>
      <c r="E178" s="524" t="s">
        <v>734</v>
      </c>
      <c r="F178" s="556" t="s">
        <v>736</v>
      </c>
      <c r="G178" s="524" t="s">
        <v>151</v>
      </c>
      <c r="H178" s="520"/>
      <c r="I178" s="520">
        <v>33000</v>
      </c>
      <c r="J178" s="544">
        <f t="shared" si="10"/>
        <v>2951970158</v>
      </c>
    </row>
    <row r="179" spans="1:13" ht="25" x14ac:dyDescent="0.25">
      <c r="A179" s="522" t="str">
        <f t="shared" si="9"/>
        <v>HSV2017-053</v>
      </c>
      <c r="B179" s="523" t="s">
        <v>850</v>
      </c>
      <c r="C179" s="524">
        <v>2017</v>
      </c>
      <c r="D179" s="525">
        <v>43018</v>
      </c>
      <c r="E179" s="524" t="s">
        <v>734</v>
      </c>
      <c r="F179" s="524" t="s">
        <v>851</v>
      </c>
      <c r="G179" s="524" t="s">
        <v>75</v>
      </c>
      <c r="H179" s="520"/>
      <c r="I179" s="520">
        <v>36498000</v>
      </c>
      <c r="J179" s="544">
        <f t="shared" si="10"/>
        <v>2915472158</v>
      </c>
      <c r="K179" s="505" t="s">
        <v>892</v>
      </c>
    </row>
    <row r="180" spans="1:13" ht="13" x14ac:dyDescent="0.3">
      <c r="A180" s="522" t="str">
        <f t="shared" si="9"/>
        <v>HSV2017-053</v>
      </c>
      <c r="B180" s="523" t="s">
        <v>850</v>
      </c>
      <c r="C180" s="524">
        <v>2017</v>
      </c>
      <c r="D180" s="525">
        <v>43018</v>
      </c>
      <c r="E180" s="524" t="s">
        <v>734</v>
      </c>
      <c r="F180" s="556" t="s">
        <v>736</v>
      </c>
      <c r="G180" s="524" t="s">
        <v>151</v>
      </c>
      <c r="H180" s="520"/>
      <c r="I180" s="520">
        <v>33000</v>
      </c>
      <c r="J180" s="544">
        <f t="shared" si="10"/>
        <v>2915439158</v>
      </c>
      <c r="K180" s="612" t="s">
        <v>852</v>
      </c>
    </row>
    <row r="181" spans="1:13" ht="12.5" x14ac:dyDescent="0.25">
      <c r="A181" s="522" t="str">
        <f t="shared" si="9"/>
        <v>HSV2017-054</v>
      </c>
      <c r="B181" s="523" t="s">
        <v>853</v>
      </c>
      <c r="C181" s="524">
        <v>2017</v>
      </c>
      <c r="D181" s="525"/>
      <c r="E181" s="524"/>
      <c r="F181" s="524"/>
      <c r="G181" s="524"/>
      <c r="H181" s="520"/>
      <c r="I181" s="520"/>
      <c r="J181" s="544">
        <f t="shared" si="10"/>
        <v>2915439158</v>
      </c>
    </row>
    <row r="182" spans="1:13" ht="16.5" customHeight="1" x14ac:dyDescent="0.25">
      <c r="A182" s="522" t="str">
        <f t="shared" si="9"/>
        <v>HSV2017-055</v>
      </c>
      <c r="B182" s="523" t="s">
        <v>854</v>
      </c>
      <c r="C182" s="524">
        <v>2017</v>
      </c>
      <c r="D182" s="519"/>
      <c r="E182" s="518"/>
      <c r="F182" s="518"/>
      <c r="G182" s="518"/>
      <c r="H182" s="520"/>
      <c r="I182" s="521"/>
      <c r="J182" s="544">
        <f t="shared" si="10"/>
        <v>2915439158</v>
      </c>
    </row>
    <row r="183" spans="1:13" s="581" customFormat="1" ht="16.5" customHeight="1" x14ac:dyDescent="0.3">
      <c r="A183" s="573" t="s">
        <v>530</v>
      </c>
      <c r="B183" s="574" t="s">
        <v>530</v>
      </c>
      <c r="C183" s="575" t="s">
        <v>530</v>
      </c>
      <c r="D183" s="576" t="s">
        <v>530</v>
      </c>
      <c r="E183" s="575" t="s">
        <v>530</v>
      </c>
      <c r="F183" s="577" t="s">
        <v>855</v>
      </c>
      <c r="G183" s="577" t="s">
        <v>530</v>
      </c>
      <c r="H183" s="578">
        <f>SUM(H85:H182)</f>
        <v>92231189470</v>
      </c>
      <c r="I183" s="578">
        <f>SUM(I85:I182)</f>
        <v>89315750312</v>
      </c>
      <c r="J183" s="579">
        <f t="shared" ref="J183" si="11">+H182+H183-I183</f>
        <v>2915439158</v>
      </c>
      <c r="K183" s="580"/>
      <c r="L183" s="580"/>
      <c r="M183" s="580"/>
    </row>
    <row r="184" spans="1:13" ht="12.5" x14ac:dyDescent="0.25">
      <c r="J184" s="583">
        <f>+J183+'[85]FD HSBC'!K39</f>
        <v>2915439158</v>
      </c>
    </row>
    <row r="185" spans="1:13" ht="12.5" x14ac:dyDescent="0.25"/>
    <row r="186" spans="1:13" ht="12.5" x14ac:dyDescent="0.25"/>
    <row r="187" spans="1:13" ht="12.5" x14ac:dyDescent="0.25">
      <c r="F187" s="502"/>
    </row>
    <row r="188" spans="1:13" ht="12.5" x14ac:dyDescent="0.25">
      <c r="F188" s="502"/>
    </row>
    <row r="189" spans="1:13" ht="12.5" x14ac:dyDescent="0.25">
      <c r="F189" s="502"/>
    </row>
    <row r="190" spans="1:13" ht="12.5" x14ac:dyDescent="0.25">
      <c r="F190" s="502"/>
    </row>
    <row r="191" spans="1:13" ht="12.5" x14ac:dyDescent="0.25"/>
    <row r="192" spans="1:13" ht="12.5" x14ac:dyDescent="0.25"/>
    <row r="193" ht="12.5" x14ac:dyDescent="0.25"/>
    <row r="194" ht="12.5" x14ac:dyDescent="0.25"/>
  </sheetData>
  <autoFilter ref="A85:M184"/>
  <printOptions horizontalCentered="1"/>
  <pageMargins left="0.21" right="0.23" top="0.35" bottom="0.41" header="0.21" footer="0.23"/>
  <pageSetup scale="80" orientation="landscape" r:id="rId1"/>
  <headerFooter>
    <oddFooter>&amp;R&amp;P/&amp;N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55"/>
  <sheetViews>
    <sheetView zoomScale="96" zoomScaleNormal="96" zoomScaleSheetLayoutView="100" zoomScalePageLayoutView="96" workbookViewId="0">
      <pane ySplit="4" topLeftCell="A5" activePane="bottomLeft" state="frozen"/>
      <selection activeCell="A6" sqref="A6:A7"/>
      <selection pane="bottomLeft" activeCell="D12" sqref="D12"/>
    </sheetView>
  </sheetViews>
  <sheetFormatPr defaultColWidth="8.81640625" defaultRowHeight="11.25" customHeight="1" x14ac:dyDescent="0.35"/>
  <cols>
    <col min="1" max="1" width="8.7265625" style="185" customWidth="1"/>
    <col min="2" max="2" width="7.54296875" style="185" customWidth="1"/>
    <col min="3" max="3" width="86" style="165" customWidth="1"/>
    <col min="4" max="4" width="29" style="168" customWidth="1"/>
    <col min="5" max="5" width="57.54296875" style="169" customWidth="1"/>
    <col min="6" max="6" width="18.54296875" style="362" bestFit="1" customWidth="1"/>
    <col min="7" max="7" width="18.54296875" style="165" bestFit="1" customWidth="1"/>
    <col min="8" max="16384" width="8.81640625" style="165"/>
  </cols>
  <sheetData>
    <row r="1" spans="1:6" ht="22.5" customHeight="1" x14ac:dyDescent="0.35">
      <c r="A1" s="404" t="s">
        <v>275</v>
      </c>
      <c r="B1" s="404"/>
      <c r="C1" s="404"/>
      <c r="D1" s="404"/>
      <c r="E1" s="405"/>
      <c r="F1" s="395"/>
    </row>
    <row r="2" spans="1:6" ht="22.5" customHeight="1" x14ac:dyDescent="0.35">
      <c r="A2" s="394" t="s">
        <v>276</v>
      </c>
      <c r="B2" s="394"/>
      <c r="C2" s="394"/>
      <c r="D2" s="394"/>
      <c r="E2" s="394"/>
      <c r="F2" s="395"/>
    </row>
    <row r="3" spans="1:6" ht="11.25" customHeight="1" x14ac:dyDescent="0.35">
      <c r="A3" s="400"/>
      <c r="B3" s="166"/>
      <c r="C3" s="167"/>
    </row>
    <row r="4" spans="1:6" s="170" customFormat="1" ht="33.75" customHeight="1" x14ac:dyDescent="0.35">
      <c r="A4" s="361" t="s">
        <v>459</v>
      </c>
      <c r="B4" s="396"/>
      <c r="C4" s="361" t="s">
        <v>277</v>
      </c>
      <c r="D4" s="171" t="s">
        <v>278</v>
      </c>
      <c r="E4" s="171" t="s">
        <v>279</v>
      </c>
      <c r="F4" s="375"/>
    </row>
    <row r="5" spans="1:6" ht="28.5" customHeight="1" x14ac:dyDescent="0.35">
      <c r="A5" s="401"/>
      <c r="B5" s="399"/>
      <c r="C5" s="398" t="s">
        <v>280</v>
      </c>
      <c r="D5" s="377">
        <f>D6+D8+D13+D15</f>
        <v>10449050000</v>
      </c>
      <c r="E5" s="406"/>
      <c r="F5" s="378"/>
    </row>
    <row r="6" spans="1:6" s="172" customFormat="1" ht="27.75" customHeight="1" x14ac:dyDescent="0.35">
      <c r="A6" s="402" t="s">
        <v>75</v>
      </c>
      <c r="B6" s="379" t="s">
        <v>553</v>
      </c>
      <c r="C6" s="380" t="s">
        <v>551</v>
      </c>
      <c r="D6" s="374">
        <f>SUM(D7)</f>
        <v>4150800000</v>
      </c>
      <c r="E6" s="407"/>
      <c r="F6" s="153"/>
    </row>
    <row r="7" spans="1:6" ht="49.5" customHeight="1" x14ac:dyDescent="0.35">
      <c r="A7" s="402"/>
      <c r="B7" s="381">
        <v>1</v>
      </c>
      <c r="C7" s="382" t="s">
        <v>283</v>
      </c>
      <c r="D7" s="152">
        <v>4150800000</v>
      </c>
      <c r="E7" s="407" t="s">
        <v>284</v>
      </c>
      <c r="F7" s="153" t="s">
        <v>546</v>
      </c>
    </row>
    <row r="8" spans="1:6" ht="24" customHeight="1" x14ac:dyDescent="0.35">
      <c r="A8" s="402" t="s">
        <v>61</v>
      </c>
      <c r="B8" s="383" t="s">
        <v>552</v>
      </c>
      <c r="C8" s="384" t="s">
        <v>286</v>
      </c>
      <c r="D8" s="385">
        <f>SUM(D9:D12)</f>
        <v>1040250000</v>
      </c>
      <c r="E8" s="407"/>
      <c r="F8" s="153"/>
    </row>
    <row r="9" spans="1:6" ht="34.5" customHeight="1" x14ac:dyDescent="0.35">
      <c r="A9" s="402"/>
      <c r="B9" s="318">
        <v>1</v>
      </c>
      <c r="C9" s="332" t="s">
        <v>287</v>
      </c>
      <c r="D9" s="624">
        <v>165000000</v>
      </c>
      <c r="E9" s="408" t="s">
        <v>288</v>
      </c>
      <c r="F9" s="386" t="s">
        <v>546</v>
      </c>
    </row>
    <row r="10" spans="1:6" ht="30" customHeight="1" x14ac:dyDescent="0.35">
      <c r="A10" s="402"/>
      <c r="B10" s="318">
        <v>2</v>
      </c>
      <c r="C10" s="332" t="s">
        <v>289</v>
      </c>
      <c r="D10" s="373">
        <v>25250000</v>
      </c>
      <c r="E10" s="408"/>
      <c r="F10" s="386" t="s">
        <v>546</v>
      </c>
    </row>
    <row r="11" spans="1:6" ht="34.5" customHeight="1" x14ac:dyDescent="0.35">
      <c r="A11" s="402"/>
      <c r="B11" s="318">
        <f>B10+1</f>
        <v>3</v>
      </c>
      <c r="C11" s="332" t="s">
        <v>290</v>
      </c>
      <c r="D11" s="624">
        <v>500000000</v>
      </c>
      <c r="E11" s="408" t="s">
        <v>291</v>
      </c>
      <c r="F11" s="386" t="s">
        <v>546</v>
      </c>
    </row>
    <row r="12" spans="1:6" ht="51" customHeight="1" x14ac:dyDescent="0.35">
      <c r="A12" s="402"/>
      <c r="B12" s="318">
        <f>B11+1</f>
        <v>4</v>
      </c>
      <c r="C12" s="150" t="s">
        <v>295</v>
      </c>
      <c r="D12" s="624">
        <v>350000000</v>
      </c>
      <c r="E12" s="407" t="s">
        <v>296</v>
      </c>
      <c r="F12" s="153" t="s">
        <v>546</v>
      </c>
    </row>
    <row r="13" spans="1:6" ht="29.25" customHeight="1" x14ac:dyDescent="0.35">
      <c r="A13" s="402" t="s">
        <v>55</v>
      </c>
      <c r="B13" s="387" t="s">
        <v>554</v>
      </c>
      <c r="C13" s="384" t="s">
        <v>316</v>
      </c>
      <c r="D13" s="385">
        <f>SUM(D14:D14)</f>
        <v>168000000</v>
      </c>
      <c r="E13" s="149"/>
      <c r="F13" s="149"/>
    </row>
    <row r="14" spans="1:6" ht="30.75" customHeight="1" x14ac:dyDescent="0.35">
      <c r="A14" s="402"/>
      <c r="B14" s="318">
        <v>1</v>
      </c>
      <c r="C14" s="388" t="s">
        <v>318</v>
      </c>
      <c r="D14" s="373">
        <v>168000000</v>
      </c>
      <c r="E14" s="409" t="s">
        <v>319</v>
      </c>
      <c r="F14" s="372" t="s">
        <v>546</v>
      </c>
    </row>
    <row r="15" spans="1:6" s="144" customFormat="1" ht="36.75" customHeight="1" x14ac:dyDescent="0.35">
      <c r="A15" s="488" t="s">
        <v>20</v>
      </c>
      <c r="B15" s="389" t="s">
        <v>555</v>
      </c>
      <c r="C15" s="390" t="s">
        <v>344</v>
      </c>
      <c r="D15" s="391">
        <f>SUM(D16:D23)</f>
        <v>5090000000</v>
      </c>
      <c r="E15" s="407" t="s">
        <v>259</v>
      </c>
      <c r="F15" s="153"/>
    </row>
    <row r="16" spans="1:6" ht="24" customHeight="1" x14ac:dyDescent="0.35">
      <c r="A16" s="402"/>
      <c r="B16" s="370">
        <v>1</v>
      </c>
      <c r="C16" s="388" t="s">
        <v>348</v>
      </c>
      <c r="D16" s="373">
        <v>1560000000</v>
      </c>
      <c r="E16" s="407"/>
      <c r="F16" s="373" t="s">
        <v>546</v>
      </c>
    </row>
    <row r="17" spans="1:6" ht="21" customHeight="1" x14ac:dyDescent="0.35">
      <c r="A17" s="402"/>
      <c r="B17" s="370">
        <v>2</v>
      </c>
      <c r="C17" s="388" t="s">
        <v>352</v>
      </c>
      <c r="D17" s="373">
        <v>2400000000</v>
      </c>
      <c r="E17" s="407"/>
      <c r="F17" s="373" t="s">
        <v>546</v>
      </c>
    </row>
    <row r="18" spans="1:6" ht="23.25" customHeight="1" x14ac:dyDescent="0.35">
      <c r="A18" s="402"/>
      <c r="B18" s="370">
        <f>B17+1</f>
        <v>3</v>
      </c>
      <c r="C18" s="372" t="s">
        <v>511</v>
      </c>
      <c r="D18" s="373"/>
      <c r="E18" s="407" t="s">
        <v>461</v>
      </c>
      <c r="F18" s="373" t="s">
        <v>550</v>
      </c>
    </row>
    <row r="19" spans="1:6" ht="38.15" customHeight="1" x14ac:dyDescent="0.35">
      <c r="A19" s="402"/>
      <c r="B19" s="370">
        <f t="shared" ref="B19:B20" si="0">B18+1</f>
        <v>4</v>
      </c>
      <c r="C19" s="392" t="s">
        <v>353</v>
      </c>
      <c r="D19" s="624">
        <v>300000000</v>
      </c>
      <c r="E19" s="410"/>
      <c r="F19" s="393" t="s">
        <v>550</v>
      </c>
    </row>
    <row r="20" spans="1:6" ht="23.25" customHeight="1" x14ac:dyDescent="0.35">
      <c r="A20" s="402"/>
      <c r="B20" s="370">
        <f t="shared" si="0"/>
        <v>5</v>
      </c>
      <c r="C20" s="150" t="s">
        <v>354</v>
      </c>
      <c r="D20" s="624">
        <v>550000000</v>
      </c>
      <c r="E20" s="407"/>
      <c r="F20" s="373" t="s">
        <v>546</v>
      </c>
    </row>
    <row r="21" spans="1:6" s="418" customFormat="1" ht="30" customHeight="1" x14ac:dyDescent="0.35">
      <c r="A21" s="416"/>
      <c r="B21" s="370">
        <v>6</v>
      </c>
      <c r="C21" s="148" t="s">
        <v>307</v>
      </c>
      <c r="D21" s="330"/>
      <c r="E21" s="422" t="s">
        <v>306</v>
      </c>
      <c r="F21" s="421"/>
    </row>
    <row r="22" spans="1:6" s="418" customFormat="1" ht="30" customHeight="1" x14ac:dyDescent="0.35">
      <c r="A22" s="416"/>
      <c r="B22" s="147">
        <v>7</v>
      </c>
      <c r="C22" s="148" t="s">
        <v>305</v>
      </c>
      <c r="D22" s="330"/>
      <c r="E22" s="422" t="s">
        <v>306</v>
      </c>
      <c r="F22" s="421"/>
    </row>
    <row r="23" spans="1:6" ht="23.25" customHeight="1" x14ac:dyDescent="0.35">
      <c r="A23" s="402"/>
      <c r="B23" s="370">
        <v>8</v>
      </c>
      <c r="C23" s="372" t="s">
        <v>356</v>
      </c>
      <c r="D23" s="624">
        <v>280000000</v>
      </c>
      <c r="E23" s="407"/>
      <c r="F23" s="373" t="s">
        <v>549</v>
      </c>
    </row>
    <row r="24" spans="1:6" ht="21" customHeight="1" x14ac:dyDescent="0.35">
      <c r="A24" s="403"/>
      <c r="B24" s="397"/>
      <c r="C24" s="397" t="s">
        <v>358</v>
      </c>
      <c r="D24" s="173"/>
      <c r="E24" s="411"/>
      <c r="F24" s="376"/>
    </row>
    <row r="25" spans="1:6" s="172" customFormat="1" ht="20.25" customHeight="1" x14ac:dyDescent="0.3">
      <c r="A25" s="177"/>
      <c r="B25" s="177"/>
      <c r="C25" s="176"/>
      <c r="D25" s="178"/>
      <c r="E25" s="179"/>
      <c r="F25" s="363"/>
    </row>
    <row r="26" spans="1:6" s="172" customFormat="1" ht="20.25" customHeight="1" x14ac:dyDescent="0.3">
      <c r="A26" s="174"/>
      <c r="B26" s="174"/>
      <c r="C26" s="157"/>
      <c r="D26" s="178"/>
      <c r="E26" s="179"/>
      <c r="F26" s="363"/>
    </row>
    <row r="27" spans="1:6" s="172" customFormat="1" ht="21.75" customHeight="1" x14ac:dyDescent="0.3">
      <c r="A27" s="174"/>
      <c r="B27" s="174"/>
      <c r="C27" s="157"/>
      <c r="D27" s="178"/>
      <c r="E27" s="179"/>
      <c r="F27" s="363"/>
    </row>
    <row r="28" spans="1:6" s="172" customFormat="1" ht="30.75" customHeight="1" x14ac:dyDescent="0.35">
      <c r="A28" s="174"/>
      <c r="B28" s="174"/>
      <c r="C28" s="159" t="s">
        <v>273</v>
      </c>
      <c r="D28" s="180"/>
      <c r="E28" s="161"/>
      <c r="F28" s="363"/>
    </row>
    <row r="29" spans="1:6" s="172" customFormat="1" ht="15.5" x14ac:dyDescent="0.35">
      <c r="A29" s="181"/>
      <c r="B29" s="181"/>
      <c r="C29" s="182"/>
      <c r="D29" s="183"/>
      <c r="E29" s="184"/>
      <c r="F29" s="363"/>
    </row>
    <row r="30" spans="1:6" s="172" customFormat="1" ht="15.5" x14ac:dyDescent="0.35">
      <c r="A30" s="181"/>
      <c r="B30" s="181"/>
      <c r="C30" s="182"/>
      <c r="D30" s="183"/>
      <c r="E30" s="184"/>
      <c r="F30" s="363"/>
    </row>
    <row r="31" spans="1:6" s="172" customFormat="1" ht="15.5" x14ac:dyDescent="0.35">
      <c r="A31" s="181"/>
      <c r="B31" s="181"/>
      <c r="C31" s="182"/>
      <c r="D31" s="183"/>
      <c r="E31" s="184"/>
      <c r="F31" s="363"/>
    </row>
    <row r="32" spans="1:6" s="172" customFormat="1" ht="15.5" x14ac:dyDescent="0.35">
      <c r="A32" s="181"/>
      <c r="B32" s="181"/>
      <c r="C32" s="182"/>
      <c r="D32" s="183"/>
      <c r="E32" s="184"/>
      <c r="F32" s="363"/>
    </row>
    <row r="33" spans="1:6" s="172" customFormat="1" ht="15.5" x14ac:dyDescent="0.35">
      <c r="A33" s="181"/>
      <c r="B33" s="181"/>
      <c r="C33" s="182" t="s">
        <v>274</v>
      </c>
      <c r="D33" s="183"/>
      <c r="E33" s="184"/>
      <c r="F33" s="363"/>
    </row>
    <row r="34" spans="1:6" s="172" customFormat="1" ht="15.5" x14ac:dyDescent="0.35">
      <c r="A34" s="181"/>
      <c r="B34" s="181"/>
      <c r="C34" s="182"/>
      <c r="D34" s="183"/>
      <c r="E34" s="184"/>
      <c r="F34" s="363"/>
    </row>
    <row r="35" spans="1:6" s="172" customFormat="1" ht="15.5" x14ac:dyDescent="0.35">
      <c r="A35" s="181"/>
      <c r="B35" s="181"/>
      <c r="C35" s="182"/>
      <c r="D35" s="183"/>
      <c r="E35" s="184"/>
      <c r="F35" s="363"/>
    </row>
    <row r="36" spans="1:6" s="172" customFormat="1" ht="15.5" x14ac:dyDescent="0.35">
      <c r="A36" s="181"/>
      <c r="B36" s="181"/>
      <c r="C36" s="182"/>
      <c r="D36" s="183"/>
      <c r="E36" s="184"/>
      <c r="F36" s="363"/>
    </row>
    <row r="37" spans="1:6" s="172" customFormat="1" ht="15.5" x14ac:dyDescent="0.35">
      <c r="A37" s="181"/>
      <c r="B37" s="181"/>
      <c r="C37" s="182"/>
      <c r="D37" s="183"/>
      <c r="E37" s="184"/>
      <c r="F37" s="363"/>
    </row>
    <row r="38" spans="1:6" s="172" customFormat="1" ht="15.5" x14ac:dyDescent="0.35">
      <c r="A38" s="181"/>
      <c r="B38" s="181"/>
      <c r="C38" s="182"/>
      <c r="D38" s="183"/>
      <c r="E38" s="184"/>
      <c r="F38" s="363"/>
    </row>
    <row r="39" spans="1:6" s="172" customFormat="1" ht="15.5" x14ac:dyDescent="0.35">
      <c r="A39" s="181"/>
      <c r="B39" s="181"/>
      <c r="C39" s="182"/>
      <c r="D39" s="183"/>
      <c r="E39" s="184"/>
      <c r="F39" s="363"/>
    </row>
    <row r="40" spans="1:6" s="172" customFormat="1" ht="15.5" x14ac:dyDescent="0.35">
      <c r="A40" s="181"/>
      <c r="B40" s="181"/>
      <c r="C40" s="182"/>
      <c r="D40" s="183"/>
      <c r="E40" s="184"/>
      <c r="F40" s="363"/>
    </row>
    <row r="41" spans="1:6" s="172" customFormat="1" ht="15.5" x14ac:dyDescent="0.35">
      <c r="A41" s="181"/>
      <c r="B41" s="181"/>
      <c r="C41" s="182"/>
      <c r="D41" s="183"/>
      <c r="E41" s="184"/>
      <c r="F41" s="363"/>
    </row>
    <row r="42" spans="1:6" s="172" customFormat="1" ht="15.5" x14ac:dyDescent="0.35">
      <c r="A42" s="181"/>
      <c r="B42" s="181"/>
      <c r="C42" s="182"/>
      <c r="D42" s="183"/>
      <c r="E42" s="184"/>
      <c r="F42" s="363"/>
    </row>
    <row r="43" spans="1:6" s="172" customFormat="1" ht="15.5" x14ac:dyDescent="0.35">
      <c r="A43" s="181"/>
      <c r="B43" s="181"/>
      <c r="C43" s="182"/>
      <c r="D43" s="183"/>
      <c r="E43" s="184"/>
      <c r="F43" s="363"/>
    </row>
    <row r="44" spans="1:6" s="172" customFormat="1" ht="15.5" x14ac:dyDescent="0.35">
      <c r="A44" s="181"/>
      <c r="B44" s="181"/>
      <c r="C44" s="182"/>
      <c r="D44" s="183"/>
      <c r="E44" s="184"/>
      <c r="F44" s="363"/>
    </row>
    <row r="45" spans="1:6" s="172" customFormat="1" ht="15.5" x14ac:dyDescent="0.35">
      <c r="A45" s="181"/>
      <c r="B45" s="181"/>
      <c r="C45" s="182"/>
      <c r="D45" s="183"/>
      <c r="E45" s="184"/>
      <c r="F45" s="363"/>
    </row>
    <row r="46" spans="1:6" s="172" customFormat="1" ht="15.5" x14ac:dyDescent="0.35">
      <c r="A46" s="181"/>
      <c r="B46" s="181"/>
      <c r="C46" s="182"/>
      <c r="D46" s="183"/>
      <c r="E46" s="184"/>
      <c r="F46" s="363"/>
    </row>
    <row r="47" spans="1:6" s="172" customFormat="1" ht="15.5" x14ac:dyDescent="0.35">
      <c r="A47" s="181"/>
      <c r="B47" s="181"/>
      <c r="C47" s="182"/>
      <c r="D47" s="183"/>
      <c r="E47" s="184"/>
      <c r="F47" s="363"/>
    </row>
    <row r="48" spans="1:6" s="172" customFormat="1" ht="15.5" x14ac:dyDescent="0.35">
      <c r="A48" s="181"/>
      <c r="B48" s="181"/>
      <c r="C48" s="182"/>
      <c r="D48" s="183"/>
      <c r="E48" s="184"/>
      <c r="F48" s="363"/>
    </row>
    <row r="49" spans="1:6" s="172" customFormat="1" ht="15.5" x14ac:dyDescent="0.35">
      <c r="A49" s="181"/>
      <c r="B49" s="181"/>
      <c r="C49" s="182"/>
      <c r="D49" s="183"/>
      <c r="E49" s="184"/>
      <c r="F49" s="363"/>
    </row>
    <row r="50" spans="1:6" s="172" customFormat="1" ht="15.5" x14ac:dyDescent="0.35">
      <c r="A50" s="181"/>
      <c r="B50" s="181"/>
      <c r="C50" s="182"/>
      <c r="D50" s="183"/>
      <c r="E50" s="184"/>
      <c r="F50" s="363"/>
    </row>
    <row r="51" spans="1:6" s="172" customFormat="1" ht="15.5" x14ac:dyDescent="0.35">
      <c r="A51" s="181"/>
      <c r="B51" s="181"/>
      <c r="C51" s="182"/>
      <c r="D51" s="183"/>
      <c r="E51" s="184"/>
      <c r="F51" s="363"/>
    </row>
    <row r="52" spans="1:6" s="172" customFormat="1" ht="15.5" x14ac:dyDescent="0.35">
      <c r="A52" s="181"/>
      <c r="B52" s="181"/>
      <c r="C52" s="182"/>
      <c r="D52" s="183"/>
      <c r="E52" s="184"/>
      <c r="F52" s="363"/>
    </row>
    <row r="53" spans="1:6" s="172" customFormat="1" ht="15.5" x14ac:dyDescent="0.35">
      <c r="A53" s="181"/>
      <c r="B53" s="181"/>
      <c r="C53" s="182"/>
      <c r="D53" s="183"/>
      <c r="E53" s="184"/>
      <c r="F53" s="363"/>
    </row>
    <row r="54" spans="1:6" s="172" customFormat="1" ht="15.5" x14ac:dyDescent="0.35">
      <c r="A54" s="181"/>
      <c r="B54" s="181"/>
      <c r="C54" s="182"/>
      <c r="D54" s="183"/>
      <c r="E54" s="184"/>
      <c r="F54" s="363"/>
    </row>
    <row r="55" spans="1:6" s="172" customFormat="1" ht="15.5" x14ac:dyDescent="0.35">
      <c r="A55" s="181"/>
      <c r="B55" s="181"/>
      <c r="C55" s="182"/>
      <c r="D55" s="183"/>
      <c r="E55" s="184"/>
      <c r="F55" s="363"/>
    </row>
  </sheetData>
  <printOptions horizontalCentered="1"/>
  <pageMargins left="0.209722222222222" right="0.2" top="0.359722222222222" bottom="0.34930555555555598" header="0.196527777777778" footer="0.209722222222222"/>
  <pageSetup paperSize="9" scale="76" firstPageNumber="4294963191" fitToHeight="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C74"/>
  <sheetViews>
    <sheetView zoomScale="85" zoomScaleNormal="85" zoomScaleSheetLayoutView="40" zoomScalePageLayoutView="96" workbookViewId="0">
      <selection activeCell="E17" sqref="E17"/>
    </sheetView>
  </sheetViews>
  <sheetFormatPr defaultColWidth="8.81640625" defaultRowHeight="11.25" customHeight="1" x14ac:dyDescent="0.35"/>
  <cols>
    <col min="1" max="1" width="8.7265625" style="1207" customWidth="1"/>
    <col min="2" max="2" width="7.54296875" style="1207" customWidth="1"/>
    <col min="3" max="3" width="61.81640625" style="1170" customWidth="1"/>
    <col min="4" max="7" width="18.26953125" style="1170" customWidth="1"/>
    <col min="8" max="8" width="18.26953125" style="1208" customWidth="1"/>
    <col min="9" max="9" width="35" style="1175" customWidth="1"/>
    <col min="10" max="10" width="18.54296875" style="1170" bestFit="1" customWidth="1"/>
    <col min="11" max="16384" width="8.81640625" style="1170"/>
  </cols>
  <sheetData>
    <row r="1" spans="1:28" ht="20.25" customHeight="1" x14ac:dyDescent="0.35"/>
    <row r="2" spans="1:28" ht="51" customHeight="1" x14ac:dyDescent="0.35">
      <c r="A2" s="1210" t="s">
        <v>1055</v>
      </c>
      <c r="B2" s="1210"/>
      <c r="C2" s="1211"/>
      <c r="D2" s="1211"/>
      <c r="E2" s="1211"/>
      <c r="F2" s="1211"/>
      <c r="G2" s="1211"/>
      <c r="H2" s="1212"/>
      <c r="I2" s="1213"/>
      <c r="J2" s="1211"/>
      <c r="K2" s="1211"/>
      <c r="L2" s="1211"/>
      <c r="M2" s="1211"/>
      <c r="N2" s="1211"/>
      <c r="O2" s="1211"/>
      <c r="P2" s="1211"/>
      <c r="Q2" s="1211"/>
      <c r="R2" s="1211"/>
      <c r="S2" s="1211"/>
      <c r="T2" s="1211"/>
      <c r="U2" s="1211"/>
      <c r="V2" s="1211"/>
      <c r="W2" s="1211"/>
      <c r="X2" s="1211"/>
      <c r="Y2" s="1211"/>
      <c r="Z2" s="1211"/>
      <c r="AA2" s="1211"/>
      <c r="AB2" s="1211"/>
    </row>
    <row r="5" spans="1:28" ht="11.25" customHeight="1" x14ac:dyDescent="0.35">
      <c r="A5" s="1171"/>
      <c r="B5" s="1172"/>
      <c r="C5" s="1173"/>
      <c r="D5" s="1173"/>
      <c r="E5" s="1173"/>
      <c r="F5" s="1173"/>
      <c r="G5" s="1173"/>
      <c r="H5" s="1174"/>
    </row>
    <row r="6" spans="1:28" s="1176" customFormat="1" ht="30" customHeight="1" x14ac:dyDescent="0.35">
      <c r="A6" s="1214" t="s">
        <v>459</v>
      </c>
      <c r="B6" s="1215"/>
      <c r="C6" s="1214" t="s">
        <v>277</v>
      </c>
      <c r="D6" s="1216" t="s">
        <v>278</v>
      </c>
      <c r="E6" s="1216" t="s">
        <v>911</v>
      </c>
      <c r="F6" s="1216" t="s">
        <v>912</v>
      </c>
      <c r="G6" s="1216" t="s">
        <v>913</v>
      </c>
      <c r="H6" s="1217" t="s">
        <v>914</v>
      </c>
      <c r="I6" s="1216" t="s">
        <v>279</v>
      </c>
    </row>
    <row r="7" spans="1:28" ht="30" customHeight="1" x14ac:dyDescent="0.35">
      <c r="A7" s="1258"/>
      <c r="B7" s="1259"/>
      <c r="C7" s="1260" t="s">
        <v>556</v>
      </c>
      <c r="D7" s="1261">
        <f>D8+D10+D15+D17</f>
        <v>14699050000</v>
      </c>
      <c r="E7" s="1261">
        <f>E8+E10+E15+E17</f>
        <v>400000000</v>
      </c>
      <c r="F7" s="1261">
        <f>F8+F10+F15+F17</f>
        <v>0</v>
      </c>
      <c r="G7" s="1261">
        <f>G8+G10+G15+G17</f>
        <v>0</v>
      </c>
      <c r="H7" s="1261">
        <f>H8+H10+H15+H17</f>
        <v>15173000000</v>
      </c>
      <c r="I7" s="1262"/>
    </row>
    <row r="8" spans="1:28" s="1177" customFormat="1" ht="30" customHeight="1" x14ac:dyDescent="0.35">
      <c r="A8" s="1253" t="s">
        <v>75</v>
      </c>
      <c r="B8" s="1268" t="s">
        <v>553</v>
      </c>
      <c r="C8" s="1269" t="s">
        <v>1054</v>
      </c>
      <c r="D8" s="1270">
        <f>SUM(D9)</f>
        <v>4150800000</v>
      </c>
      <c r="E8" s="1270">
        <f t="shared" ref="E8:H8" si="0">SUM(E9)</f>
        <v>0</v>
      </c>
      <c r="F8" s="1270">
        <f t="shared" si="0"/>
        <v>0</v>
      </c>
      <c r="G8" s="1270">
        <f t="shared" si="0"/>
        <v>0</v>
      </c>
      <c r="H8" s="1270">
        <f t="shared" si="0"/>
        <v>5000000000</v>
      </c>
      <c r="I8" s="1257"/>
    </row>
    <row r="9" spans="1:28" ht="30" customHeight="1" x14ac:dyDescent="0.35">
      <c r="A9" s="1263"/>
      <c r="B9" s="1264">
        <v>1</v>
      </c>
      <c r="C9" s="1265" t="s">
        <v>910</v>
      </c>
      <c r="D9" s="1266">
        <v>4150800000</v>
      </c>
      <c r="E9" s="1266"/>
      <c r="F9" s="1266"/>
      <c r="G9" s="1266"/>
      <c r="H9" s="1266">
        <v>5000000000</v>
      </c>
      <c r="I9" s="1267" t="s">
        <v>284</v>
      </c>
    </row>
    <row r="10" spans="1:28" ht="30" customHeight="1" x14ac:dyDescent="0.35">
      <c r="A10" s="1253" t="s">
        <v>61</v>
      </c>
      <c r="B10" s="1254" t="s">
        <v>552</v>
      </c>
      <c r="C10" s="1255" t="s">
        <v>286</v>
      </c>
      <c r="D10" s="1256">
        <f>SUM(D11:D14)</f>
        <v>1040250000</v>
      </c>
      <c r="E10" s="1256">
        <f t="shared" ref="E10:H10" si="1">SUM(E11:E14)</f>
        <v>0</v>
      </c>
      <c r="F10" s="1256">
        <f t="shared" si="1"/>
        <v>0</v>
      </c>
      <c r="G10" s="1256">
        <f t="shared" si="1"/>
        <v>0</v>
      </c>
      <c r="H10" s="1256">
        <f t="shared" si="1"/>
        <v>665000000</v>
      </c>
      <c r="I10" s="1257"/>
    </row>
    <row r="11" spans="1:28" ht="30" customHeight="1" x14ac:dyDescent="0.35">
      <c r="A11" s="1227"/>
      <c r="B11" s="1249">
        <v>1</v>
      </c>
      <c r="C11" s="1250" t="s">
        <v>287</v>
      </c>
      <c r="D11" s="1251">
        <v>165000000</v>
      </c>
      <c r="E11" s="1251"/>
      <c r="F11" s="1251"/>
      <c r="G11" s="1251"/>
      <c r="H11" s="1251"/>
      <c r="I11" s="1252" t="s">
        <v>288</v>
      </c>
    </row>
    <row r="12" spans="1:28" ht="30" customHeight="1" x14ac:dyDescent="0.35">
      <c r="A12" s="1178"/>
      <c r="B12" s="1181">
        <v>2</v>
      </c>
      <c r="C12" s="1182" t="s">
        <v>289</v>
      </c>
      <c r="D12" s="1179">
        <v>25250000</v>
      </c>
      <c r="E12" s="1179"/>
      <c r="F12" s="1179"/>
      <c r="G12" s="1179"/>
      <c r="H12" s="1179">
        <f>'[86]SF 2022'!D9</f>
        <v>165000000</v>
      </c>
      <c r="I12" s="1183"/>
    </row>
    <row r="13" spans="1:28" ht="30" customHeight="1" x14ac:dyDescent="0.35">
      <c r="A13" s="1178"/>
      <c r="B13" s="1181">
        <f>B12+1</f>
        <v>3</v>
      </c>
      <c r="C13" s="1182" t="s">
        <v>290</v>
      </c>
      <c r="D13" s="1179">
        <v>500000000</v>
      </c>
      <c r="E13" s="1179"/>
      <c r="F13" s="1179"/>
      <c r="G13" s="1179"/>
      <c r="H13" s="1179">
        <f>'[86]SF 2022'!D10</f>
        <v>500000000</v>
      </c>
      <c r="I13" s="1183" t="s">
        <v>291</v>
      </c>
    </row>
    <row r="14" spans="1:28" ht="30" customHeight="1" x14ac:dyDescent="0.35">
      <c r="A14" s="1222"/>
      <c r="B14" s="1237">
        <f>B13+1</f>
        <v>4</v>
      </c>
      <c r="C14" s="1247" t="s">
        <v>1053</v>
      </c>
      <c r="D14" s="1248">
        <v>350000000</v>
      </c>
      <c r="E14" s="1248"/>
      <c r="F14" s="1248"/>
      <c r="G14" s="1248"/>
      <c r="H14" s="1248"/>
      <c r="I14" s="1226" t="s">
        <v>296</v>
      </c>
    </row>
    <row r="15" spans="1:28" ht="30" customHeight="1" x14ac:dyDescent="0.35">
      <c r="A15" s="1243" t="s">
        <v>55</v>
      </c>
      <c r="B15" s="1244" t="s">
        <v>554</v>
      </c>
      <c r="C15" s="1245" t="s">
        <v>316</v>
      </c>
      <c r="D15" s="1235">
        <f>SUM(D16:D16)</f>
        <v>168000000</v>
      </c>
      <c r="E15" s="1235">
        <f t="shared" ref="E15:H15" si="2">SUM(E16:E16)</f>
        <v>0</v>
      </c>
      <c r="F15" s="1235">
        <f t="shared" si="2"/>
        <v>0</v>
      </c>
      <c r="G15" s="1235">
        <f t="shared" si="2"/>
        <v>0</v>
      </c>
      <c r="H15" s="1235">
        <f t="shared" si="2"/>
        <v>168000000</v>
      </c>
      <c r="I15" s="1246"/>
      <c r="J15" s="1409" t="s">
        <v>1092</v>
      </c>
      <c r="K15" s="1410"/>
      <c r="L15" s="1410"/>
      <c r="M15" s="1410"/>
      <c r="N15" s="1410"/>
      <c r="O15" s="1410"/>
      <c r="P15" s="1410"/>
      <c r="Q15" s="1410"/>
      <c r="R15" s="1410"/>
      <c r="S15" s="1410"/>
      <c r="T15" s="1410"/>
      <c r="U15" s="1410"/>
      <c r="V15" s="1410"/>
      <c r="W15" s="1410"/>
      <c r="X15" s="1410"/>
      <c r="Y15" s="1410"/>
      <c r="Z15" s="1410"/>
      <c r="AA15" s="1410"/>
      <c r="AB15" s="1410"/>
    </row>
    <row r="16" spans="1:28" ht="30" customHeight="1" x14ac:dyDescent="0.35">
      <c r="A16" s="1238"/>
      <c r="B16" s="1239">
        <v>1</v>
      </c>
      <c r="C16" s="1240" t="s">
        <v>318</v>
      </c>
      <c r="D16" s="1241">
        <v>168000000</v>
      </c>
      <c r="E16" s="1241"/>
      <c r="F16" s="1241"/>
      <c r="G16" s="1241"/>
      <c r="H16" s="1241">
        <v>168000000</v>
      </c>
      <c r="I16" s="1242" t="s">
        <v>319</v>
      </c>
    </row>
    <row r="17" spans="1:9" s="1177" customFormat="1" ht="30" customHeight="1" x14ac:dyDescent="0.35">
      <c r="A17" s="1232" t="s">
        <v>20</v>
      </c>
      <c r="B17" s="1233" t="s">
        <v>555</v>
      </c>
      <c r="C17" s="1234" t="s">
        <v>587</v>
      </c>
      <c r="D17" s="1235">
        <f>SUM(D18:D40)</f>
        <v>9340000000</v>
      </c>
      <c r="E17" s="1235">
        <f t="shared" ref="E17:H17" si="3">SUM(E18:E40)</f>
        <v>400000000</v>
      </c>
      <c r="F17" s="1235">
        <f t="shared" si="3"/>
        <v>0</v>
      </c>
      <c r="G17" s="1235">
        <f t="shared" si="3"/>
        <v>0</v>
      </c>
      <c r="H17" s="1235">
        <f t="shared" si="3"/>
        <v>9340000000</v>
      </c>
      <c r="I17" s="1236" t="s">
        <v>259</v>
      </c>
    </row>
    <row r="18" spans="1:9" ht="30" customHeight="1" x14ac:dyDescent="0.35">
      <c r="A18" s="1227"/>
      <c r="B18" s="1228">
        <v>1</v>
      </c>
      <c r="C18" s="1229" t="s">
        <v>348</v>
      </c>
      <c r="D18" s="1230">
        <v>1560000000</v>
      </c>
      <c r="E18" s="1230"/>
      <c r="F18" s="1230"/>
      <c r="G18" s="1230"/>
      <c r="H18" s="1230">
        <f>'[86]SF 2022'!D14</f>
        <v>1560000000</v>
      </c>
      <c r="I18" s="1231"/>
    </row>
    <row r="19" spans="1:9" ht="30" customHeight="1" x14ac:dyDescent="0.35">
      <c r="A19" s="1178"/>
      <c r="B19" s="1187">
        <f>B18+1</f>
        <v>2</v>
      </c>
      <c r="C19" s="1185" t="s">
        <v>352</v>
      </c>
      <c r="D19" s="1186">
        <v>2400000000</v>
      </c>
      <c r="E19" s="1186"/>
      <c r="F19" s="1186"/>
      <c r="G19" s="1186"/>
      <c r="H19" s="1186">
        <f>'[86]SF 2022'!D15</f>
        <v>2400000000</v>
      </c>
      <c r="I19" s="1180"/>
    </row>
    <row r="20" spans="1:9" ht="30" customHeight="1" x14ac:dyDescent="0.35">
      <c r="A20" s="1178"/>
      <c r="B20" s="1187">
        <f t="shared" ref="B20:B40" si="4">B19+1</f>
        <v>3</v>
      </c>
      <c r="C20" s="1185" t="s">
        <v>1070</v>
      </c>
      <c r="D20" s="1186">
        <v>4800000000</v>
      </c>
      <c r="E20" s="1186"/>
      <c r="F20" s="1186"/>
      <c r="G20" s="1186"/>
      <c r="H20" s="1186">
        <v>4800000000</v>
      </c>
      <c r="I20" s="1180"/>
    </row>
    <row r="21" spans="1:9" ht="30" customHeight="1" x14ac:dyDescent="0.35">
      <c r="A21" s="1178"/>
      <c r="B21" s="1187">
        <f t="shared" si="4"/>
        <v>4</v>
      </c>
      <c r="C21" s="1188" t="s">
        <v>511</v>
      </c>
      <c r="D21" s="1189"/>
      <c r="E21" s="1189"/>
      <c r="F21" s="1189"/>
      <c r="G21" s="1189"/>
      <c r="H21" s="1189">
        <f>'[86]SF 2022'!D16</f>
        <v>0</v>
      </c>
      <c r="I21" s="1180" t="s">
        <v>461</v>
      </c>
    </row>
    <row r="22" spans="1:9" ht="30" customHeight="1" x14ac:dyDescent="0.35">
      <c r="A22" s="1178"/>
      <c r="B22" s="1187">
        <f t="shared" si="4"/>
        <v>5</v>
      </c>
      <c r="C22" s="1190" t="s">
        <v>353</v>
      </c>
      <c r="D22" s="1191">
        <v>300000000</v>
      </c>
      <c r="E22" s="1191"/>
      <c r="F22" s="1191"/>
      <c r="G22" s="1191"/>
      <c r="H22" s="1191">
        <f>'[86]SF 2022'!D17</f>
        <v>300000000</v>
      </c>
      <c r="I22" s="1192"/>
    </row>
    <row r="23" spans="1:9" ht="30" customHeight="1" x14ac:dyDescent="0.35">
      <c r="A23" s="1178"/>
      <c r="B23" s="1187">
        <f t="shared" si="4"/>
        <v>6</v>
      </c>
      <c r="C23" s="1184" t="s">
        <v>354</v>
      </c>
      <c r="D23" s="1179"/>
      <c r="E23" s="1179"/>
      <c r="F23" s="1179"/>
      <c r="G23" s="1179"/>
      <c r="H23" s="1179"/>
      <c r="I23" s="1180"/>
    </row>
    <row r="24" spans="1:9" s="1197" customFormat="1" ht="30" customHeight="1" x14ac:dyDescent="0.35">
      <c r="A24" s="1193"/>
      <c r="B24" s="1187">
        <f t="shared" si="4"/>
        <v>7</v>
      </c>
      <c r="C24" s="1194" t="s">
        <v>307</v>
      </c>
      <c r="D24" s="1195"/>
      <c r="E24" s="1195"/>
      <c r="F24" s="1195"/>
      <c r="G24" s="1195"/>
      <c r="H24" s="1195">
        <f>'[86]SF 2022'!D19</f>
        <v>0</v>
      </c>
      <c r="I24" s="1196" t="s">
        <v>306</v>
      </c>
    </row>
    <row r="25" spans="1:9" s="1197" customFormat="1" ht="30" customHeight="1" x14ac:dyDescent="0.35">
      <c r="A25" s="1193"/>
      <c r="B25" s="1187">
        <f t="shared" si="4"/>
        <v>8</v>
      </c>
      <c r="C25" s="1194" t="s">
        <v>305</v>
      </c>
      <c r="D25" s="1195"/>
      <c r="E25" s="1195"/>
      <c r="F25" s="1195"/>
      <c r="G25" s="1195"/>
      <c r="H25" s="1195">
        <f>'[86]SF 2022'!D20</f>
        <v>0</v>
      </c>
      <c r="I25" s="1196" t="s">
        <v>306</v>
      </c>
    </row>
    <row r="26" spans="1:9" ht="30" customHeight="1" x14ac:dyDescent="0.35">
      <c r="A26" s="1178"/>
      <c r="B26" s="1187">
        <f t="shared" si="4"/>
        <v>9</v>
      </c>
      <c r="C26" s="1188" t="s">
        <v>356</v>
      </c>
      <c r="D26" s="1189">
        <v>280000000</v>
      </c>
      <c r="E26" s="1189"/>
      <c r="F26" s="1189"/>
      <c r="G26" s="1189"/>
      <c r="H26" s="1189">
        <f>'[86]SF 2022'!D21</f>
        <v>280000000</v>
      </c>
      <c r="I26" s="1180"/>
    </row>
    <row r="27" spans="1:9" ht="30" customHeight="1" x14ac:dyDescent="0.35">
      <c r="A27" s="1178"/>
      <c r="B27" s="1187">
        <f t="shared" si="4"/>
        <v>10</v>
      </c>
      <c r="C27" s="1188" t="s">
        <v>1077</v>
      </c>
      <c r="D27" s="1189"/>
      <c r="E27" s="1189">
        <v>200000000</v>
      </c>
      <c r="F27" s="1189"/>
      <c r="G27" s="1189"/>
      <c r="H27" s="1189"/>
      <c r="I27" s="1180"/>
    </row>
    <row r="28" spans="1:9" ht="30" customHeight="1" x14ac:dyDescent="0.35">
      <c r="A28" s="1178"/>
      <c r="B28" s="1187">
        <f t="shared" si="4"/>
        <v>11</v>
      </c>
      <c r="C28" s="1188" t="s">
        <v>1078</v>
      </c>
      <c r="D28" s="1189"/>
      <c r="E28" s="1189">
        <v>200000000</v>
      </c>
      <c r="F28" s="1189"/>
      <c r="G28" s="1189"/>
      <c r="H28" s="1189"/>
      <c r="I28" s="1180"/>
    </row>
    <row r="29" spans="1:9" ht="30" customHeight="1" x14ac:dyDescent="0.35">
      <c r="A29" s="1178"/>
      <c r="B29" s="1187">
        <f t="shared" si="4"/>
        <v>12</v>
      </c>
      <c r="C29" s="1188" t="s">
        <v>1079</v>
      </c>
      <c r="D29" s="1189"/>
      <c r="E29" s="1189"/>
      <c r="F29" s="1189"/>
      <c r="G29" s="1189"/>
      <c r="H29" s="1189"/>
      <c r="I29" s="1180"/>
    </row>
    <row r="30" spans="1:9" ht="30" customHeight="1" x14ac:dyDescent="0.35">
      <c r="A30" s="1178"/>
      <c r="B30" s="1187">
        <f t="shared" si="4"/>
        <v>13</v>
      </c>
      <c r="C30" s="1188" t="s">
        <v>1080</v>
      </c>
      <c r="D30" s="1189"/>
      <c r="E30" s="1189"/>
      <c r="F30" s="1189"/>
      <c r="G30" s="1189"/>
      <c r="H30" s="1189"/>
      <c r="I30" s="1180"/>
    </row>
    <row r="31" spans="1:9" ht="30" customHeight="1" x14ac:dyDescent="0.35">
      <c r="A31" s="1178"/>
      <c r="B31" s="1187">
        <f t="shared" si="4"/>
        <v>14</v>
      </c>
      <c r="C31" s="1188" t="s">
        <v>1081</v>
      </c>
      <c r="D31" s="1189"/>
      <c r="E31" s="1189"/>
      <c r="F31" s="1189"/>
      <c r="G31" s="1189"/>
      <c r="H31" s="1189"/>
      <c r="I31" s="1180"/>
    </row>
    <row r="32" spans="1:9" ht="30" customHeight="1" x14ac:dyDescent="0.35">
      <c r="A32" s="1178"/>
      <c r="B32" s="1187">
        <f t="shared" si="4"/>
        <v>15</v>
      </c>
      <c r="C32" s="1188" t="s">
        <v>1082</v>
      </c>
      <c r="D32" s="1189"/>
      <c r="E32" s="1189"/>
      <c r="F32" s="1189"/>
      <c r="G32" s="1189"/>
      <c r="H32" s="1189"/>
      <c r="I32" s="1180"/>
    </row>
    <row r="33" spans="1:29" ht="30" customHeight="1" x14ac:dyDescent="0.35">
      <c r="A33" s="1178"/>
      <c r="B33" s="1187">
        <f t="shared" si="4"/>
        <v>16</v>
      </c>
      <c r="C33" s="1188" t="s">
        <v>1083</v>
      </c>
      <c r="D33" s="1189"/>
      <c r="E33" s="1189"/>
      <c r="F33" s="1189"/>
      <c r="G33" s="1189"/>
      <c r="H33" s="1189"/>
      <c r="I33" s="1180"/>
    </row>
    <row r="34" spans="1:29" ht="30" customHeight="1" x14ac:dyDescent="0.35">
      <c r="A34" s="1178"/>
      <c r="B34" s="1187">
        <f t="shared" si="4"/>
        <v>17</v>
      </c>
      <c r="C34" s="1188" t="s">
        <v>1084</v>
      </c>
      <c r="D34" s="1189"/>
      <c r="E34" s="1189"/>
      <c r="F34" s="1189"/>
      <c r="G34" s="1189"/>
      <c r="H34" s="1189"/>
      <c r="I34" s="1180"/>
    </row>
    <row r="35" spans="1:29" ht="30" customHeight="1" x14ac:dyDescent="0.35">
      <c r="A35" s="1178"/>
      <c r="B35" s="1187">
        <f t="shared" si="4"/>
        <v>18</v>
      </c>
      <c r="C35" s="1188" t="s">
        <v>1085</v>
      </c>
      <c r="D35" s="1189"/>
      <c r="E35" s="1189"/>
      <c r="F35" s="1189"/>
      <c r="G35" s="1189"/>
      <c r="H35" s="1189"/>
      <c r="I35" s="1180"/>
      <c r="J35" s="1209"/>
      <c r="K35" s="1209"/>
      <c r="L35" s="1209"/>
      <c r="M35" s="1209"/>
      <c r="N35" s="1209"/>
      <c r="O35" s="1209"/>
      <c r="P35" s="1209"/>
      <c r="Q35" s="1209"/>
      <c r="R35" s="1209"/>
      <c r="S35" s="1209"/>
      <c r="T35" s="1209"/>
      <c r="U35" s="1209"/>
      <c r="V35" s="1209"/>
      <c r="W35" s="1209"/>
      <c r="X35" s="1209"/>
      <c r="Y35" s="1209"/>
      <c r="Z35" s="1209"/>
      <c r="AA35" s="1209"/>
      <c r="AB35" s="1209"/>
      <c r="AC35" s="1209"/>
    </row>
    <row r="36" spans="1:29" ht="30" customHeight="1" x14ac:dyDescent="0.35">
      <c r="A36" s="1178"/>
      <c r="B36" s="1187">
        <f t="shared" si="4"/>
        <v>19</v>
      </c>
      <c r="C36" s="1188" t="s">
        <v>1086</v>
      </c>
      <c r="D36" s="1189"/>
      <c r="E36" s="1189"/>
      <c r="F36" s="1189"/>
      <c r="G36" s="1189"/>
      <c r="H36" s="1189"/>
      <c r="I36" s="1180"/>
      <c r="J36" s="1209"/>
      <c r="K36" s="1209"/>
      <c r="L36" s="1209"/>
      <c r="M36" s="1209"/>
      <c r="N36" s="1209"/>
      <c r="O36" s="1209"/>
      <c r="P36" s="1209"/>
      <c r="Q36" s="1209"/>
      <c r="R36" s="1209"/>
      <c r="S36" s="1209"/>
      <c r="T36" s="1209"/>
      <c r="U36" s="1209"/>
      <c r="V36" s="1209"/>
      <c r="W36" s="1209"/>
      <c r="X36" s="1209"/>
      <c r="Y36" s="1209"/>
      <c r="Z36" s="1209"/>
      <c r="AA36" s="1209"/>
      <c r="AB36" s="1209"/>
      <c r="AC36" s="1209"/>
    </row>
    <row r="37" spans="1:29" ht="30" customHeight="1" x14ac:dyDescent="0.35">
      <c r="A37" s="1178"/>
      <c r="B37" s="1187">
        <f t="shared" si="4"/>
        <v>20</v>
      </c>
      <c r="C37" s="1188" t="s">
        <v>1087</v>
      </c>
      <c r="D37" s="1189"/>
      <c r="E37" s="1189"/>
      <c r="F37" s="1189"/>
      <c r="G37" s="1189"/>
      <c r="H37" s="1189"/>
      <c r="I37" s="1180"/>
      <c r="J37" s="1209"/>
      <c r="K37" s="1209"/>
      <c r="L37" s="1209"/>
      <c r="M37" s="1209"/>
      <c r="N37" s="1209"/>
      <c r="O37" s="1209"/>
      <c r="P37" s="1209"/>
      <c r="Q37" s="1209"/>
      <c r="R37" s="1209"/>
      <c r="S37" s="1209"/>
      <c r="T37" s="1209"/>
      <c r="U37" s="1209"/>
      <c r="V37" s="1209"/>
      <c r="W37" s="1209"/>
      <c r="X37" s="1209"/>
      <c r="Y37" s="1209"/>
      <c r="Z37" s="1209"/>
      <c r="AA37" s="1209"/>
      <c r="AB37" s="1209"/>
      <c r="AC37" s="1209"/>
    </row>
    <row r="38" spans="1:29" ht="30" customHeight="1" x14ac:dyDescent="0.35">
      <c r="A38" s="1178"/>
      <c r="B38" s="1187">
        <f t="shared" si="4"/>
        <v>21</v>
      </c>
      <c r="C38" s="1188" t="s">
        <v>1088</v>
      </c>
      <c r="D38" s="1189"/>
      <c r="E38" s="1189"/>
      <c r="F38" s="1189"/>
      <c r="G38" s="1189"/>
      <c r="H38" s="1189"/>
      <c r="I38" s="1180"/>
      <c r="J38" s="1209"/>
      <c r="K38" s="1209"/>
      <c r="L38" s="1209"/>
      <c r="M38" s="1209"/>
      <c r="N38" s="1209"/>
      <c r="O38" s="1209"/>
      <c r="P38" s="1209"/>
      <c r="Q38" s="1209"/>
      <c r="R38" s="1209"/>
      <c r="S38" s="1209"/>
      <c r="T38" s="1209"/>
      <c r="U38" s="1209"/>
      <c r="V38" s="1209"/>
      <c r="W38" s="1209"/>
      <c r="X38" s="1209"/>
      <c r="Y38" s="1209"/>
      <c r="Z38" s="1209"/>
      <c r="AA38" s="1209"/>
      <c r="AB38" s="1209"/>
      <c r="AC38" s="1209"/>
    </row>
    <row r="39" spans="1:29" ht="30" customHeight="1" x14ac:dyDescent="0.35">
      <c r="A39" s="1178"/>
      <c r="B39" s="1187">
        <f t="shared" si="4"/>
        <v>22</v>
      </c>
      <c r="C39" s="1188" t="s">
        <v>1089</v>
      </c>
      <c r="D39" s="1189"/>
      <c r="E39" s="1189"/>
      <c r="F39" s="1189"/>
      <c r="G39" s="1189"/>
      <c r="H39" s="1189"/>
      <c r="I39" s="1180"/>
      <c r="J39" s="1209"/>
      <c r="K39" s="1209"/>
      <c r="L39" s="1209"/>
      <c r="M39" s="1209"/>
      <c r="N39" s="1209"/>
      <c r="O39" s="1209"/>
      <c r="P39" s="1209"/>
      <c r="Q39" s="1209"/>
      <c r="R39" s="1209"/>
      <c r="S39" s="1209"/>
      <c r="T39" s="1209"/>
      <c r="U39" s="1209"/>
      <c r="V39" s="1209"/>
      <c r="W39" s="1209"/>
      <c r="X39" s="1209"/>
      <c r="Y39" s="1209"/>
      <c r="Z39" s="1209"/>
      <c r="AA39" s="1209"/>
      <c r="AB39" s="1209"/>
      <c r="AC39" s="1209"/>
    </row>
    <row r="40" spans="1:29" ht="30" customHeight="1" x14ac:dyDescent="0.35">
      <c r="A40" s="1222"/>
      <c r="B40" s="1223">
        <f t="shared" si="4"/>
        <v>23</v>
      </c>
      <c r="C40" s="1224" t="s">
        <v>1090</v>
      </c>
      <c r="D40" s="1225"/>
      <c r="E40" s="1225"/>
      <c r="F40" s="1225"/>
      <c r="G40" s="1225"/>
      <c r="H40" s="1225"/>
      <c r="I40" s="1226"/>
      <c r="J40" s="1209"/>
      <c r="K40" s="1209"/>
      <c r="L40" s="1209"/>
      <c r="M40" s="1209"/>
      <c r="N40" s="1209"/>
      <c r="O40" s="1209"/>
      <c r="P40" s="1209"/>
      <c r="Q40" s="1209"/>
      <c r="R40" s="1209"/>
      <c r="S40" s="1209"/>
      <c r="T40" s="1209"/>
      <c r="U40" s="1209"/>
      <c r="V40" s="1209"/>
      <c r="W40" s="1209"/>
      <c r="X40" s="1209"/>
      <c r="Y40" s="1209"/>
      <c r="Z40" s="1209"/>
      <c r="AA40" s="1209"/>
      <c r="AB40" s="1209"/>
      <c r="AC40" s="1209"/>
    </row>
    <row r="41" spans="1:29" ht="30" customHeight="1" x14ac:dyDescent="0.35">
      <c r="A41" s="1218"/>
      <c r="B41" s="1219"/>
      <c r="C41" s="1219" t="s">
        <v>358</v>
      </c>
      <c r="D41" s="1219"/>
      <c r="E41" s="1219"/>
      <c r="F41" s="1219"/>
      <c r="G41" s="1219"/>
      <c r="H41" s="1220"/>
      <c r="I41" s="1221"/>
      <c r="J41" s="1209"/>
      <c r="K41" s="1209"/>
      <c r="L41" s="1209"/>
      <c r="M41" s="1209"/>
      <c r="N41" s="1209"/>
      <c r="O41" s="1209"/>
      <c r="P41" s="1209"/>
      <c r="Q41" s="1209"/>
      <c r="R41" s="1209"/>
      <c r="S41" s="1209"/>
      <c r="T41" s="1209"/>
      <c r="U41" s="1209"/>
      <c r="V41" s="1209"/>
      <c r="W41" s="1209"/>
      <c r="X41" s="1209"/>
      <c r="Y41" s="1209"/>
      <c r="Z41" s="1209"/>
      <c r="AA41" s="1209"/>
      <c r="AB41" s="1209"/>
      <c r="AC41" s="1209"/>
    </row>
    <row r="42" spans="1:29" s="1177" customFormat="1" ht="20.25" customHeight="1" x14ac:dyDescent="0.25">
      <c r="A42" s="1198"/>
      <c r="B42" s="1198"/>
      <c r="C42" s="1199"/>
      <c r="D42" s="1200"/>
      <c r="E42" s="1200"/>
      <c r="F42" s="1200"/>
      <c r="G42" s="1200"/>
      <c r="H42" s="1201"/>
      <c r="I42" s="1202"/>
      <c r="AC42" s="1209"/>
    </row>
    <row r="43" spans="1:29" s="1177" customFormat="1" ht="20.25" customHeight="1" x14ac:dyDescent="0.25">
      <c r="A43" s="1203"/>
      <c r="B43" s="1203"/>
      <c r="C43" s="1200"/>
      <c r="D43" s="1200"/>
      <c r="E43" s="1200"/>
      <c r="F43" s="1200"/>
      <c r="G43" s="1200"/>
      <c r="H43" s="1201"/>
      <c r="I43" s="1202"/>
      <c r="AC43" s="1209"/>
    </row>
    <row r="44" spans="1:29" s="1177" customFormat="1" ht="20.25" customHeight="1" x14ac:dyDescent="0.25">
      <c r="A44" s="1203"/>
      <c r="B44" s="1203"/>
      <c r="C44" s="1200"/>
      <c r="D44" s="1200"/>
      <c r="E44" s="1200"/>
      <c r="F44" s="1200"/>
      <c r="G44" s="1200"/>
      <c r="H44" s="1201"/>
      <c r="I44" s="1202"/>
      <c r="AC44" s="1209"/>
    </row>
    <row r="45" spans="1:29" s="1177" customFormat="1" ht="21.75" customHeight="1" x14ac:dyDescent="0.3">
      <c r="A45" s="801"/>
      <c r="B45" s="801"/>
      <c r="C45" s="1156" t="s">
        <v>1015</v>
      </c>
      <c r="D45" s="886"/>
      <c r="E45" s="887"/>
      <c r="G45" s="1157" t="s">
        <v>1015</v>
      </c>
      <c r="I45" s="886"/>
      <c r="K45" s="890"/>
      <c r="M45" s="1158" t="s">
        <v>1048</v>
      </c>
      <c r="N45" s="1143"/>
      <c r="O45" s="1144"/>
      <c r="P45" s="1143"/>
      <c r="R45" s="1145"/>
      <c r="S45" s="1146"/>
      <c r="T45" s="1137"/>
      <c r="U45" s="1145"/>
      <c r="W45" s="1136"/>
      <c r="X45" s="1156" t="s">
        <v>1015</v>
      </c>
      <c r="AC45" s="1209"/>
    </row>
    <row r="46" spans="1:29" s="1177" customFormat="1" ht="13" x14ac:dyDescent="0.3">
      <c r="A46" s="801"/>
      <c r="B46" s="801"/>
      <c r="C46" s="1140"/>
      <c r="D46" s="886"/>
      <c r="E46" s="887"/>
      <c r="G46" s="890"/>
      <c r="H46" s="886"/>
      <c r="I46" s="886"/>
      <c r="K46" s="890"/>
      <c r="M46" s="886"/>
      <c r="N46" s="1145"/>
      <c r="O46" s="1146"/>
      <c r="P46" s="1145"/>
      <c r="R46" s="1145"/>
      <c r="S46" s="1146"/>
      <c r="T46" s="1137"/>
      <c r="U46" s="1145"/>
      <c r="W46" s="1136"/>
      <c r="X46" s="886"/>
      <c r="AC46" s="1209"/>
    </row>
    <row r="47" spans="1:29" s="1177" customFormat="1" ht="13" x14ac:dyDescent="0.3">
      <c r="A47" s="801"/>
      <c r="B47" s="801"/>
      <c r="C47" s="1140"/>
      <c r="D47" s="886"/>
      <c r="E47" s="887"/>
      <c r="G47" s="890"/>
      <c r="H47" s="886"/>
      <c r="I47" s="886"/>
      <c r="K47" s="890"/>
      <c r="M47" s="886"/>
      <c r="N47" s="1145"/>
      <c r="O47" s="1146"/>
      <c r="P47" s="1145"/>
      <c r="R47" s="1145"/>
      <c r="S47" s="1146"/>
      <c r="T47" s="1137"/>
      <c r="U47" s="1145"/>
      <c r="W47" s="1136"/>
      <c r="X47" s="886"/>
      <c r="AC47" s="1209"/>
    </row>
    <row r="48" spans="1:29" s="1177" customFormat="1" ht="13" x14ac:dyDescent="0.3">
      <c r="A48" s="801"/>
      <c r="B48" s="801"/>
      <c r="C48" s="1140"/>
      <c r="D48" s="886"/>
      <c r="E48" s="887"/>
      <c r="G48" s="890"/>
      <c r="H48" s="886"/>
      <c r="I48" s="886"/>
      <c r="K48" s="890"/>
      <c r="M48" s="886"/>
      <c r="N48" s="1145"/>
      <c r="O48" s="1146"/>
      <c r="P48" s="1145"/>
      <c r="R48" s="1145"/>
      <c r="S48" s="1146"/>
      <c r="T48" s="1137"/>
      <c r="U48" s="1145"/>
      <c r="W48" s="1136"/>
      <c r="X48" s="886"/>
      <c r="AC48" s="1209"/>
    </row>
    <row r="49" spans="1:29" s="1177" customFormat="1" ht="13" x14ac:dyDescent="0.3">
      <c r="A49" s="801"/>
      <c r="B49" s="801"/>
      <c r="C49" s="1140"/>
      <c r="D49" s="886"/>
      <c r="E49" s="887"/>
      <c r="G49" s="890"/>
      <c r="H49" s="886"/>
      <c r="I49" s="886"/>
      <c r="K49" s="890"/>
      <c r="M49" s="886"/>
      <c r="N49" s="1145"/>
      <c r="O49" s="1146"/>
      <c r="P49" s="1145"/>
      <c r="R49" s="1145"/>
      <c r="S49" s="1146"/>
      <c r="T49" s="1137"/>
      <c r="U49" s="1145"/>
      <c r="W49" s="1136"/>
      <c r="X49" s="886"/>
      <c r="AC49" s="1209"/>
    </row>
    <row r="50" spans="1:29" s="1177" customFormat="1" ht="13" x14ac:dyDescent="0.3">
      <c r="A50" s="801"/>
      <c r="B50" s="801"/>
      <c r="C50" s="886" t="s">
        <v>994</v>
      </c>
      <c r="D50" s="886"/>
      <c r="E50" s="887"/>
      <c r="G50" s="890" t="s">
        <v>995</v>
      </c>
      <c r="H50" s="886"/>
      <c r="I50" s="886"/>
      <c r="K50" s="890"/>
      <c r="M50" s="886" t="s">
        <v>996</v>
      </c>
      <c r="N50" s="1145"/>
      <c r="O50" s="1146"/>
      <c r="P50" s="1145"/>
      <c r="R50" s="1145"/>
      <c r="S50" s="1146"/>
      <c r="T50" s="1137"/>
      <c r="U50" s="1145"/>
      <c r="W50" s="1136"/>
      <c r="X50" s="886" t="s">
        <v>997</v>
      </c>
      <c r="AC50" s="1209"/>
    </row>
    <row r="51" spans="1:29" s="1177" customFormat="1" ht="12.5" x14ac:dyDescent="0.25">
      <c r="A51" s="255"/>
      <c r="B51" s="255"/>
      <c r="C51" s="256"/>
      <c r="D51" s="265"/>
      <c r="E51" s="780"/>
      <c r="F51" s="781"/>
      <c r="G51" s="782"/>
      <c r="H51" s="268"/>
      <c r="I51" s="265"/>
      <c r="J51" s="265"/>
      <c r="K51" s="736"/>
      <c r="L51" s="265"/>
      <c r="M51" s="267"/>
      <c r="N51" s="267"/>
      <c r="O51" s="268"/>
      <c r="P51" s="267"/>
      <c r="Q51" s="267"/>
      <c r="R51" s="267"/>
      <c r="S51" s="268"/>
      <c r="T51" s="740"/>
      <c r="U51" s="267"/>
      <c r="V51" s="267"/>
      <c r="W51" s="261"/>
      <c r="AC51" s="1209"/>
    </row>
    <row r="52" spans="1:29" s="1177" customFormat="1" ht="13" x14ac:dyDescent="0.3">
      <c r="A52" s="269"/>
      <c r="B52" s="269"/>
      <c r="C52" s="1160" t="s">
        <v>1015</v>
      </c>
      <c r="D52" s="272"/>
      <c r="E52" s="783"/>
      <c r="F52" s="784"/>
      <c r="G52" s="783"/>
      <c r="I52" s="1159" t="s">
        <v>1015</v>
      </c>
      <c r="J52" s="1151"/>
      <c r="K52" s="741"/>
      <c r="L52" s="273"/>
      <c r="M52" s="274"/>
      <c r="N52" s="275"/>
      <c r="P52" s="274"/>
      <c r="Q52" s="274"/>
      <c r="R52" s="274"/>
      <c r="S52" s="275"/>
      <c r="T52" s="275"/>
      <c r="V52" s="273"/>
      <c r="W52" s="1122"/>
      <c r="X52" s="1038" t="s">
        <v>1015</v>
      </c>
      <c r="AC52" s="1209"/>
    </row>
    <row r="53" spans="1:29" s="1177" customFormat="1" ht="12.5" x14ac:dyDescent="0.25">
      <c r="A53" s="255"/>
      <c r="B53" s="255"/>
      <c r="C53" s="1152"/>
      <c r="D53" s="268"/>
      <c r="E53" s="735"/>
      <c r="F53" s="258"/>
      <c r="G53" s="780"/>
      <c r="I53" s="260"/>
      <c r="J53" s="1153"/>
      <c r="K53" s="735"/>
      <c r="L53" s="259"/>
      <c r="M53" s="259"/>
      <c r="N53" s="264"/>
      <c r="P53" s="267"/>
      <c r="Q53" s="267"/>
      <c r="R53" s="267"/>
      <c r="S53" s="264"/>
      <c r="T53" s="245"/>
      <c r="V53" s="265"/>
      <c r="W53" s="261"/>
      <c r="X53" s="736"/>
      <c r="AC53" s="1209"/>
    </row>
    <row r="54" spans="1:29" s="1177" customFormat="1" ht="13" x14ac:dyDescent="0.3">
      <c r="A54" s="265"/>
      <c r="B54" s="265"/>
      <c r="C54" s="1124"/>
      <c r="D54" s="1271"/>
      <c r="E54" s="887"/>
      <c r="F54" s="781"/>
      <c r="G54" s="803"/>
      <c r="I54" s="278"/>
      <c r="J54" s="1152"/>
      <c r="K54" s="736"/>
      <c r="L54" s="886"/>
      <c r="M54" s="278"/>
      <c r="N54" s="278"/>
      <c r="P54" s="278"/>
      <c r="Q54" s="265"/>
      <c r="R54" s="278"/>
      <c r="S54" s="278"/>
      <c r="T54" s="278"/>
      <c r="V54" s="278"/>
      <c r="W54" s="894"/>
      <c r="X54" s="890"/>
      <c r="AC54" s="1209"/>
    </row>
    <row r="55" spans="1:29" s="1177" customFormat="1" ht="13" x14ac:dyDescent="0.3">
      <c r="A55" s="265"/>
      <c r="B55" s="265"/>
      <c r="C55" s="1124"/>
      <c r="D55" s="1271"/>
      <c r="E55" s="887"/>
      <c r="F55" s="781"/>
      <c r="G55" s="803"/>
      <c r="I55" s="278"/>
      <c r="J55" s="1152"/>
      <c r="K55" s="736"/>
      <c r="L55" s="886"/>
      <c r="M55" s="278"/>
      <c r="N55" s="278"/>
      <c r="P55" s="278"/>
      <c r="Q55" s="265"/>
      <c r="R55" s="278"/>
      <c r="S55" s="278"/>
      <c r="T55" s="278"/>
      <c r="V55" s="278"/>
      <c r="W55" s="894"/>
      <c r="X55" s="890"/>
      <c r="AC55" s="1209"/>
    </row>
    <row r="56" spans="1:29" s="1177" customFormat="1" ht="12.5" x14ac:dyDescent="0.25">
      <c r="A56" s="265"/>
      <c r="B56" s="265"/>
      <c r="C56" s="1154"/>
      <c r="D56" s="280"/>
      <c r="E56" s="780"/>
      <c r="F56" s="781"/>
      <c r="G56" s="782"/>
      <c r="I56" s="267"/>
      <c r="J56" s="1152"/>
      <c r="K56" s="736"/>
      <c r="L56" s="265"/>
      <c r="M56" s="267"/>
      <c r="N56" s="267"/>
      <c r="P56" s="267"/>
      <c r="Q56" s="267"/>
      <c r="R56" s="267"/>
      <c r="S56" s="267"/>
      <c r="T56" s="267"/>
      <c r="V56" s="267"/>
      <c r="W56" s="895"/>
      <c r="X56" s="740"/>
    </row>
    <row r="57" spans="1:29" s="1177" customFormat="1" ht="12.5" x14ac:dyDescent="0.25">
      <c r="A57" s="265"/>
      <c r="B57" s="265"/>
      <c r="C57" s="1154"/>
      <c r="D57" s="280"/>
      <c r="E57" s="780"/>
      <c r="F57" s="781"/>
      <c r="G57" s="782"/>
      <c r="I57" s="267"/>
      <c r="J57" s="1152"/>
      <c r="K57" s="736"/>
      <c r="L57" s="265"/>
      <c r="M57" s="267"/>
      <c r="N57" s="267"/>
      <c r="P57" s="267"/>
      <c r="Q57" s="267"/>
      <c r="R57" s="267"/>
      <c r="S57" s="267"/>
      <c r="T57" s="267"/>
      <c r="V57" s="267"/>
      <c r="W57" s="895"/>
      <c r="X57" s="740"/>
    </row>
    <row r="58" spans="1:29" s="1177" customFormat="1" ht="13" x14ac:dyDescent="0.3">
      <c r="A58" s="265"/>
      <c r="B58" s="265"/>
      <c r="C58" s="1155" t="s">
        <v>1001</v>
      </c>
      <c r="D58" s="1161"/>
      <c r="E58" s="780"/>
      <c r="F58" s="781"/>
      <c r="G58" s="782"/>
      <c r="I58" s="886" t="s">
        <v>1002</v>
      </c>
      <c r="J58" s="1152"/>
      <c r="K58" s="736"/>
      <c r="L58" s="265"/>
      <c r="M58" s="267"/>
      <c r="N58" s="267"/>
      <c r="P58" s="267"/>
      <c r="Q58" s="267"/>
      <c r="R58" s="267"/>
      <c r="S58" s="267"/>
      <c r="T58" s="267"/>
      <c r="V58" s="267"/>
      <c r="W58" s="895"/>
      <c r="X58" s="1028" t="s">
        <v>1000</v>
      </c>
    </row>
    <row r="59" spans="1:29" s="1177" customFormat="1" ht="12.5" x14ac:dyDescent="0.25">
      <c r="A59" s="265"/>
      <c r="B59" s="265"/>
      <c r="C59" s="267"/>
      <c r="D59" s="279"/>
      <c r="E59" s="780"/>
      <c r="F59" s="781"/>
      <c r="G59" s="782"/>
      <c r="H59" s="280"/>
      <c r="I59" s="279"/>
      <c r="J59" s="265"/>
      <c r="K59" s="736"/>
      <c r="L59" s="265"/>
      <c r="M59" s="267"/>
      <c r="N59" s="267"/>
      <c r="O59" s="267"/>
      <c r="P59" s="267"/>
      <c r="Q59" s="267"/>
      <c r="R59" s="267"/>
      <c r="S59" s="267"/>
      <c r="T59" s="740"/>
      <c r="U59" s="267"/>
      <c r="V59" s="267"/>
      <c r="W59" s="895"/>
    </row>
    <row r="60" spans="1:29" s="1177" customFormat="1" ht="13" x14ac:dyDescent="0.3">
      <c r="A60" s="265"/>
      <c r="B60" s="265"/>
      <c r="C60" s="1163" t="s">
        <v>1016</v>
      </c>
      <c r="D60" s="279"/>
      <c r="E60" s="780"/>
      <c r="F60" s="781"/>
      <c r="G60" s="782"/>
      <c r="I60" s="1156" t="s">
        <v>1015</v>
      </c>
      <c r="J60" s="1152"/>
      <c r="K60" s="736"/>
      <c r="L60" s="265"/>
      <c r="M60" s="267"/>
      <c r="N60" s="265"/>
      <c r="P60" s="267"/>
      <c r="Q60" s="267"/>
      <c r="R60" s="267"/>
      <c r="S60" s="267"/>
      <c r="T60" s="740"/>
      <c r="V60" s="267"/>
      <c r="W60" s="895"/>
      <c r="X60" s="1156" t="s">
        <v>1017</v>
      </c>
    </row>
    <row r="61" spans="1:29" s="1177" customFormat="1" ht="12.5" x14ac:dyDescent="0.25">
      <c r="A61" s="265"/>
      <c r="B61" s="265"/>
      <c r="C61" s="1152"/>
      <c r="D61" s="267"/>
      <c r="E61" s="780"/>
      <c r="F61" s="781"/>
      <c r="G61" s="782"/>
      <c r="I61" s="267"/>
      <c r="J61" s="1152"/>
      <c r="K61" s="736"/>
      <c r="L61" s="265"/>
      <c r="M61" s="267"/>
      <c r="N61" s="267"/>
      <c r="P61" s="267"/>
      <c r="Q61" s="267"/>
      <c r="R61" s="267"/>
      <c r="S61" s="267"/>
      <c r="T61" s="740"/>
      <c r="V61" s="267"/>
      <c r="W61" s="895"/>
      <c r="X61" s="267"/>
    </row>
    <row r="62" spans="1:29" s="1177" customFormat="1" ht="12.5" x14ac:dyDescent="0.25">
      <c r="A62" s="265"/>
      <c r="B62" s="265"/>
      <c r="C62" s="1152"/>
      <c r="D62" s="267"/>
      <c r="E62" s="780"/>
      <c r="F62" s="781"/>
      <c r="G62" s="782"/>
      <c r="I62" s="267"/>
      <c r="J62" s="1152"/>
      <c r="K62" s="736"/>
      <c r="L62" s="265"/>
      <c r="M62" s="267"/>
      <c r="N62" s="267"/>
      <c r="P62" s="267"/>
      <c r="Q62" s="267"/>
      <c r="R62" s="267"/>
      <c r="S62" s="267"/>
      <c r="T62" s="740"/>
      <c r="V62" s="267"/>
      <c r="W62" s="895"/>
      <c r="X62" s="267"/>
    </row>
    <row r="63" spans="1:29" s="1177" customFormat="1" ht="12.5" x14ac:dyDescent="0.25">
      <c r="A63" s="265"/>
      <c r="B63" s="265"/>
      <c r="C63" s="1152"/>
      <c r="D63" s="267"/>
      <c r="E63" s="780"/>
      <c r="F63" s="781"/>
      <c r="G63" s="782"/>
      <c r="I63" s="267"/>
      <c r="J63" s="1152"/>
      <c r="K63" s="736"/>
      <c r="L63" s="265"/>
      <c r="M63" s="267"/>
      <c r="N63" s="267"/>
      <c r="P63" s="267"/>
      <c r="Q63" s="267"/>
      <c r="R63" s="267"/>
      <c r="S63" s="267"/>
      <c r="T63" s="740"/>
      <c r="V63" s="267"/>
      <c r="W63" s="895"/>
      <c r="X63" s="267"/>
    </row>
    <row r="64" spans="1:29" s="1177" customFormat="1" ht="13" x14ac:dyDescent="0.3">
      <c r="A64" s="265"/>
      <c r="B64" s="265"/>
      <c r="C64" s="1152"/>
      <c r="D64" s="267"/>
      <c r="E64" s="780"/>
      <c r="F64" s="781"/>
      <c r="G64" s="782"/>
      <c r="I64" s="267"/>
      <c r="J64" s="1152"/>
      <c r="K64" s="736"/>
      <c r="L64" s="265"/>
      <c r="M64" s="267"/>
      <c r="N64" s="267"/>
      <c r="P64" s="886"/>
      <c r="Q64" s="267"/>
      <c r="R64" s="267"/>
      <c r="S64" s="267"/>
      <c r="T64" s="740"/>
      <c r="V64" s="267"/>
      <c r="W64" s="895"/>
      <c r="X64" s="267"/>
    </row>
    <row r="65" spans="1:24" s="1177" customFormat="1" ht="13" x14ac:dyDescent="0.3">
      <c r="A65" s="279"/>
      <c r="B65" s="279"/>
      <c r="C65" s="1162" t="s">
        <v>1049</v>
      </c>
      <c r="D65" s="267"/>
      <c r="E65" s="785"/>
      <c r="F65" s="786"/>
      <c r="G65" s="787"/>
      <c r="I65" s="889" t="s">
        <v>998</v>
      </c>
      <c r="J65" s="1154"/>
      <c r="K65" s="742"/>
      <c r="L65" s="279"/>
      <c r="M65" s="264"/>
      <c r="N65" s="279"/>
      <c r="P65" s="889"/>
      <c r="Q65" s="264"/>
      <c r="R65" s="264"/>
      <c r="S65" s="264"/>
      <c r="T65" s="245"/>
      <c r="V65" s="264"/>
      <c r="W65" s="892"/>
      <c r="X65" s="889" t="s">
        <v>1037</v>
      </c>
    </row>
    <row r="66" spans="1:24" s="1177" customFormat="1" ht="13" x14ac:dyDescent="0.35">
      <c r="A66" s="279"/>
      <c r="B66" s="279"/>
      <c r="C66" s="279"/>
      <c r="D66" s="279"/>
      <c r="E66" s="785"/>
      <c r="F66" s="786"/>
      <c r="G66" s="787"/>
      <c r="H66" s="280"/>
      <c r="I66" s="889" t="s">
        <v>1047</v>
      </c>
      <c r="J66" s="279"/>
      <c r="K66" s="742"/>
      <c r="L66" s="279"/>
      <c r="M66" s="264"/>
      <c r="N66" s="279"/>
      <c r="P66" s="264"/>
      <c r="Q66" s="264"/>
      <c r="R66" s="264"/>
      <c r="S66" s="264"/>
      <c r="T66" s="245"/>
      <c r="U66" s="264"/>
      <c r="V66" s="264"/>
      <c r="W66" s="892"/>
    </row>
    <row r="67" spans="1:24" s="1177" customFormat="1" ht="13" x14ac:dyDescent="0.35">
      <c r="A67" s="1203"/>
      <c r="B67" s="1203"/>
      <c r="C67" s="1204"/>
      <c r="D67" s="1204"/>
      <c r="E67" s="1204"/>
      <c r="F67" s="1204"/>
      <c r="G67" s="1204"/>
      <c r="H67" s="1205"/>
      <c r="I67" s="1206"/>
    </row>
    <row r="68" spans="1:24" s="1177" customFormat="1" ht="13" x14ac:dyDescent="0.35">
      <c r="A68" s="1203"/>
      <c r="B68" s="1203"/>
      <c r="C68" s="1204"/>
      <c r="D68" s="1204"/>
      <c r="E68" s="1204"/>
      <c r="F68" s="1204"/>
      <c r="G68" s="1204"/>
      <c r="H68" s="1205"/>
      <c r="I68" s="1206"/>
    </row>
    <row r="69" spans="1:24" s="1177" customFormat="1" ht="13" x14ac:dyDescent="0.35">
      <c r="A69" s="1203"/>
      <c r="B69" s="1203"/>
      <c r="C69" s="1204"/>
      <c r="D69" s="1204"/>
      <c r="E69" s="1204"/>
      <c r="F69" s="1204"/>
      <c r="G69" s="1204"/>
      <c r="H69" s="1205"/>
      <c r="I69" s="1206"/>
    </row>
    <row r="70" spans="1:24" s="1177" customFormat="1" ht="13" x14ac:dyDescent="0.35">
      <c r="A70" s="1203"/>
      <c r="B70" s="1203"/>
      <c r="C70" s="1204"/>
      <c r="D70" s="1204"/>
      <c r="E70" s="1204"/>
      <c r="F70" s="1204"/>
      <c r="G70" s="1204"/>
      <c r="H70" s="1205"/>
      <c r="I70" s="1206"/>
    </row>
    <row r="71" spans="1:24" s="1177" customFormat="1" ht="13" x14ac:dyDescent="0.35">
      <c r="A71" s="1203"/>
      <c r="B71" s="1203"/>
      <c r="C71" s="1204"/>
      <c r="D71" s="1204"/>
      <c r="E71" s="1204"/>
      <c r="F71" s="1204"/>
      <c r="G71" s="1204"/>
      <c r="H71" s="1205"/>
      <c r="I71" s="1206"/>
    </row>
    <row r="72" spans="1:24" s="1177" customFormat="1" ht="13" x14ac:dyDescent="0.35">
      <c r="A72" s="1203"/>
      <c r="B72" s="1203"/>
      <c r="C72" s="1204"/>
      <c r="D72" s="1204"/>
      <c r="E72" s="1204"/>
      <c r="F72" s="1204"/>
      <c r="G72" s="1204"/>
      <c r="H72" s="1205"/>
      <c r="I72" s="1206"/>
    </row>
    <row r="73" spans="1:24" s="1177" customFormat="1" ht="13" x14ac:dyDescent="0.35">
      <c r="A73" s="1203"/>
      <c r="B73" s="1203"/>
      <c r="C73" s="1204"/>
      <c r="D73" s="1204"/>
      <c r="E73" s="1204"/>
      <c r="F73" s="1204"/>
      <c r="G73" s="1204"/>
      <c r="H73" s="1205"/>
      <c r="I73" s="1206"/>
    </row>
    <row r="74" spans="1:24" s="1177" customFormat="1" ht="13" x14ac:dyDescent="0.35">
      <c r="A74" s="1203"/>
      <c r="B74" s="1203"/>
      <c r="C74" s="1204"/>
      <c r="D74" s="1204"/>
      <c r="E74" s="1204"/>
      <c r="F74" s="1204"/>
      <c r="G74" s="1204"/>
      <c r="H74" s="1205"/>
      <c r="I74" s="1206"/>
    </row>
  </sheetData>
  <mergeCells count="1">
    <mergeCell ref="J15:AB15"/>
  </mergeCells>
  <conditionalFormatting sqref="V53 X53">
    <cfRule type="cellIs" dxfId="1" priority="2" stopIfTrue="1" operator="equal">
      <formula>0</formula>
    </cfRule>
  </conditionalFormatting>
  <conditionalFormatting sqref="G53">
    <cfRule type="cellIs" dxfId="0" priority="1" stopIfTrue="1" operator="equal">
      <formula>0</formula>
    </cfRule>
  </conditionalFormatting>
  <printOptions horizontalCentered="1"/>
  <pageMargins left="0.3" right="0.3" top="0.3" bottom="0.3" header="0.3" footer="0.2"/>
  <pageSetup paperSize="8" scale="53" firstPageNumber="20" fitToHeight="2" orientation="landscape" useFirstPageNumber="1" r:id="rId1"/>
  <headerFooter alignWithMargins="0">
    <oddFooter>&amp;L&amp;F, &amp;A&amp;RPage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U46"/>
  <sheetViews>
    <sheetView topLeftCell="A34" zoomScaleNormal="100" zoomScaleSheetLayoutView="85" workbookViewId="0">
      <selection activeCell="M50" sqref="M50"/>
    </sheetView>
  </sheetViews>
  <sheetFormatPr defaultRowHeight="14.5" x14ac:dyDescent="0.35"/>
  <sheetData>
    <row r="15" spans="10:12" x14ac:dyDescent="0.35">
      <c r="J15" s="1358" t="s">
        <v>118</v>
      </c>
      <c r="K15" s="1358"/>
      <c r="L15" s="1358"/>
    </row>
    <row r="16" spans="10:12" x14ac:dyDescent="0.35">
      <c r="J16" s="1358"/>
      <c r="K16" s="1358"/>
      <c r="L16" s="1358"/>
    </row>
    <row r="17" spans="1:21" x14ac:dyDescent="0.35">
      <c r="J17" s="1358"/>
      <c r="K17" s="1358"/>
      <c r="L17" s="1358"/>
    </row>
    <row r="18" spans="1:21" x14ac:dyDescent="0.35">
      <c r="J18" s="1358"/>
      <c r="K18" s="1358"/>
      <c r="L18" s="1358"/>
    </row>
    <row r="19" spans="1:21" x14ac:dyDescent="0.35">
      <c r="J19" s="1358"/>
      <c r="K19" s="1358"/>
      <c r="L19" s="1358"/>
    </row>
    <row r="20" spans="1:21" x14ac:dyDescent="0.35">
      <c r="J20" s="1358"/>
      <c r="K20" s="1358"/>
      <c r="L20" s="1358"/>
    </row>
    <row r="23" spans="1:21" ht="38.5" x14ac:dyDescent="0.85">
      <c r="A23" s="1288" t="s">
        <v>1066</v>
      </c>
      <c r="B23" s="1289"/>
      <c r="C23" s="1289"/>
      <c r="D23" s="1289"/>
      <c r="E23" s="1289"/>
      <c r="F23" s="1289"/>
      <c r="G23" s="1289"/>
      <c r="H23" s="1289"/>
      <c r="I23" s="1289"/>
      <c r="J23" s="1289"/>
      <c r="K23" s="1289"/>
      <c r="L23" s="1289"/>
      <c r="M23" s="1289"/>
      <c r="N23" s="1289"/>
      <c r="O23" s="1289"/>
      <c r="P23" s="1289"/>
      <c r="Q23" s="1289"/>
      <c r="R23" s="1289"/>
      <c r="S23" s="1289"/>
      <c r="T23" s="1289"/>
      <c r="U23" s="1289"/>
    </row>
    <row r="24" spans="1:21" ht="38.5" x14ac:dyDescent="0.85">
      <c r="A24" s="1288" t="s">
        <v>1069</v>
      </c>
      <c r="B24" s="1289"/>
      <c r="C24" s="1289"/>
      <c r="D24" s="1289"/>
      <c r="E24" s="1289"/>
      <c r="F24" s="1289"/>
      <c r="G24" s="1289"/>
      <c r="H24" s="1289"/>
      <c r="I24" s="1289"/>
      <c r="J24" s="1289"/>
      <c r="K24" s="1289"/>
      <c r="L24" s="1289"/>
      <c r="M24" s="1289"/>
      <c r="N24" s="1289"/>
      <c r="O24" s="1289"/>
      <c r="P24" s="1289"/>
      <c r="Q24" s="1289"/>
      <c r="R24" s="1289"/>
      <c r="S24" s="1289"/>
      <c r="T24" s="1289"/>
      <c r="U24" s="1289"/>
    </row>
    <row r="25" spans="1:21" x14ac:dyDescent="0.35">
      <c r="A25" s="294"/>
      <c r="B25" s="294"/>
      <c r="C25" s="294"/>
      <c r="D25" s="294"/>
      <c r="E25" s="294"/>
      <c r="F25" s="294"/>
      <c r="G25" s="294"/>
      <c r="H25" s="294"/>
      <c r="I25" s="294"/>
      <c r="J25" s="294"/>
      <c r="K25" s="294"/>
      <c r="L25" s="294"/>
      <c r="M25" s="294"/>
      <c r="N25" s="294"/>
      <c r="O25" s="294"/>
      <c r="P25" s="294"/>
      <c r="Q25" s="294"/>
      <c r="R25" s="294"/>
      <c r="S25" s="294"/>
      <c r="T25" s="294"/>
      <c r="U25" s="294"/>
    </row>
    <row r="26" spans="1:21" ht="15.5" x14ac:dyDescent="0.35">
      <c r="A26" s="1290"/>
      <c r="B26" s="294"/>
      <c r="C26" s="294"/>
      <c r="D26" s="294"/>
      <c r="E26" s="294"/>
      <c r="F26" s="294"/>
      <c r="G26" s="294"/>
      <c r="H26" s="294"/>
      <c r="I26" s="294"/>
      <c r="J26" s="294"/>
      <c r="K26" s="294"/>
      <c r="L26" s="294"/>
      <c r="M26" s="294"/>
      <c r="N26" s="294"/>
      <c r="O26" s="294"/>
      <c r="P26" s="294"/>
      <c r="Q26" s="294"/>
      <c r="R26" s="294"/>
      <c r="S26" s="294"/>
      <c r="T26" s="294"/>
      <c r="U26" s="294"/>
    </row>
    <row r="46" spans="1:21" ht="19.5" x14ac:dyDescent="0.45">
      <c r="A46" s="1294" t="s">
        <v>1091</v>
      </c>
      <c r="B46" s="1295"/>
      <c r="C46" s="1295"/>
      <c r="D46" s="1295"/>
      <c r="E46" s="1295"/>
      <c r="F46" s="1295"/>
      <c r="G46" s="1295"/>
      <c r="H46" s="1295"/>
      <c r="I46" s="1295"/>
      <c r="J46" s="1294"/>
      <c r="K46" s="1295"/>
      <c r="L46" s="1295"/>
      <c r="M46" s="1295"/>
      <c r="N46" s="1295"/>
      <c r="O46" s="1295"/>
      <c r="P46" s="1295"/>
      <c r="Q46" s="1295"/>
      <c r="R46" s="1295"/>
      <c r="S46" s="1295"/>
      <c r="T46" s="1295"/>
      <c r="U46" s="1295"/>
    </row>
  </sheetData>
  <mergeCells count="1">
    <mergeCell ref="J15:L20"/>
  </mergeCells>
  <pageMargins left="0.7" right="0.7" top="0.75" bottom="0.75" header="0.3" footer="0.3"/>
  <pageSetup paperSize="8"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zoomScaleNormal="100" workbookViewId="0"/>
  </sheetViews>
  <sheetFormatPr defaultColWidth="9.1796875" defaultRowHeight="14.5" x14ac:dyDescent="0.35"/>
  <cols>
    <col min="1" max="1" width="5.54296875" style="359" customWidth="1"/>
    <col min="2" max="2" width="13.7265625" style="8" hidden="1" customWidth="1"/>
    <col min="3" max="3" width="52.54296875" style="7" customWidth="1"/>
    <col min="4" max="4" width="19" style="197" customWidth="1"/>
    <col min="5" max="5" width="14.81640625" style="7" hidden="1" customWidth="1"/>
    <col min="6" max="6" width="17.453125" style="197" customWidth="1"/>
    <col min="7" max="7" width="24.1796875" style="4" customWidth="1"/>
    <col min="8" max="8" width="7.81640625" style="6" hidden="1" customWidth="1"/>
    <col min="9" max="9" width="14.81640625" style="4" hidden="1" customWidth="1"/>
    <col min="10" max="13" width="13.81640625" style="4" hidden="1" customWidth="1"/>
    <col min="14" max="18" width="16.26953125" style="4" hidden="1" customWidth="1"/>
    <col min="19" max="20" width="16.26953125" style="3" hidden="1" customWidth="1"/>
    <col min="21" max="21" width="14" style="1" hidden="1" customWidth="1"/>
    <col min="22" max="22" width="82.54296875" style="1" customWidth="1"/>
    <col min="23" max="23" width="14.26953125" style="1" hidden="1" customWidth="1"/>
    <col min="24" max="24" width="10.81640625" style="1" bestFit="1" customWidth="1"/>
    <col min="25" max="16384" width="9.1796875" style="1"/>
  </cols>
  <sheetData>
    <row r="1" spans="1:23" s="111" customFormat="1" ht="19.5" customHeight="1" x14ac:dyDescent="0.35">
      <c r="A1" s="118"/>
      <c r="B1" s="117"/>
      <c r="C1" s="116"/>
      <c r="D1" s="189"/>
      <c r="E1" s="116"/>
      <c r="F1" s="189"/>
      <c r="G1" s="113"/>
      <c r="H1" s="115"/>
      <c r="I1" s="113"/>
      <c r="J1" s="113"/>
      <c r="K1" s="113"/>
      <c r="L1" s="113"/>
      <c r="M1" s="113"/>
      <c r="N1" s="113"/>
      <c r="O1" s="113"/>
      <c r="P1" s="113"/>
      <c r="Q1" s="113"/>
      <c r="R1" s="113"/>
      <c r="S1" s="112"/>
      <c r="T1" s="112"/>
    </row>
    <row r="2" spans="1:23" s="111" customFormat="1" ht="37.5" customHeight="1" x14ac:dyDescent="0.35">
      <c r="A2" s="1165" t="s">
        <v>1050</v>
      </c>
      <c r="B2" s="896"/>
      <c r="C2" s="116"/>
      <c r="D2" s="189"/>
      <c r="E2" s="116"/>
      <c r="F2" s="189"/>
      <c r="G2" s="114"/>
      <c r="H2" s="115"/>
      <c r="I2" s="113"/>
      <c r="J2" s="113"/>
      <c r="K2" s="113"/>
      <c r="L2" s="113"/>
      <c r="M2" s="113"/>
      <c r="N2" s="113"/>
      <c r="O2" s="113"/>
      <c r="P2" s="113"/>
      <c r="Q2" s="113"/>
      <c r="R2" s="113"/>
      <c r="S2" s="112"/>
      <c r="T2" s="112"/>
      <c r="U2" s="897"/>
      <c r="V2" s="897"/>
    </row>
    <row r="3" spans="1:23" s="111" customFormat="1" ht="18" customHeight="1" x14ac:dyDescent="0.35">
      <c r="A3" s="872"/>
      <c r="B3" s="873"/>
      <c r="C3" s="874"/>
      <c r="D3" s="875"/>
      <c r="E3" s="874"/>
      <c r="F3" s="875"/>
      <c r="G3" s="876"/>
      <c r="H3" s="877"/>
      <c r="I3" s="878"/>
      <c r="J3" s="878"/>
      <c r="K3" s="878"/>
      <c r="L3" s="878"/>
      <c r="M3" s="878"/>
      <c r="N3" s="878"/>
      <c r="O3" s="878"/>
      <c r="P3" s="878"/>
      <c r="Q3" s="878"/>
      <c r="R3" s="878"/>
      <c r="S3" s="879"/>
      <c r="T3" s="879"/>
      <c r="U3" s="880"/>
      <c r="V3" s="880"/>
    </row>
    <row r="4" spans="1:23" s="111" customFormat="1" ht="5.15" customHeight="1" x14ac:dyDescent="0.35">
      <c r="A4" s="872"/>
      <c r="B4" s="873"/>
      <c r="C4" s="874"/>
      <c r="D4" s="875"/>
      <c r="E4" s="874"/>
      <c r="F4" s="875"/>
      <c r="G4" s="876"/>
      <c r="H4" s="877"/>
      <c r="I4" s="878"/>
      <c r="J4" s="878"/>
      <c r="K4" s="878"/>
      <c r="L4" s="878"/>
      <c r="M4" s="878"/>
      <c r="N4" s="878"/>
      <c r="O4" s="878"/>
      <c r="P4" s="878"/>
      <c r="Q4" s="878"/>
      <c r="R4" s="878"/>
      <c r="S4" s="879"/>
      <c r="T4" s="879"/>
      <c r="U4" s="880"/>
      <c r="V4" s="880"/>
    </row>
    <row r="5" spans="1:23" ht="5.15" customHeight="1" x14ac:dyDescent="0.35">
      <c r="A5" s="881"/>
      <c r="B5" s="882"/>
      <c r="C5" s="880"/>
      <c r="D5" s="883"/>
      <c r="E5" s="880"/>
      <c r="F5" s="883"/>
      <c r="G5" s="880"/>
      <c r="H5" s="882"/>
      <c r="I5" s="878"/>
      <c r="J5" s="880"/>
      <c r="K5" s="882"/>
      <c r="L5" s="880"/>
      <c r="M5" s="882"/>
      <c r="N5" s="880"/>
      <c r="O5" s="882"/>
      <c r="P5" s="880"/>
      <c r="Q5" s="882"/>
      <c r="R5" s="880"/>
      <c r="S5" s="882"/>
      <c r="T5" s="880"/>
      <c r="U5" s="880"/>
      <c r="V5" s="880"/>
    </row>
    <row r="6" spans="1:23" s="109" customFormat="1" ht="31.5" customHeight="1" x14ac:dyDescent="0.35">
      <c r="A6" s="1360" t="s">
        <v>214</v>
      </c>
      <c r="B6" s="979"/>
      <c r="C6" s="1360" t="s">
        <v>213</v>
      </c>
      <c r="D6" s="1412">
        <v>2017</v>
      </c>
      <c r="E6" s="1412"/>
      <c r="F6" s="1412"/>
      <c r="G6" s="1413" t="s">
        <v>646</v>
      </c>
      <c r="H6" s="1414"/>
      <c r="I6" s="1415"/>
      <c r="J6" s="495"/>
      <c r="K6" s="229"/>
      <c r="L6" s="229"/>
      <c r="M6" s="229"/>
      <c r="N6" s="229"/>
      <c r="O6" s="229"/>
      <c r="P6" s="230"/>
      <c r="Q6" s="229"/>
      <c r="R6" s="229"/>
      <c r="S6" s="229"/>
      <c r="T6" s="229"/>
      <c r="U6" s="231"/>
      <c r="V6" s="1166"/>
    </row>
    <row r="7" spans="1:23" s="109" customFormat="1" ht="48" customHeight="1" x14ac:dyDescent="0.35">
      <c r="A7" s="1411"/>
      <c r="B7" s="980"/>
      <c r="C7" s="1411"/>
      <c r="D7" s="340" t="s">
        <v>527</v>
      </c>
      <c r="E7" s="338" t="s">
        <v>856</v>
      </c>
      <c r="F7" s="339" t="s">
        <v>458</v>
      </c>
      <c r="G7" s="208" t="s">
        <v>893</v>
      </c>
      <c r="H7" s="208" t="s">
        <v>359</v>
      </c>
      <c r="I7" s="208" t="s">
        <v>212</v>
      </c>
      <c r="J7" s="110" t="s">
        <v>211</v>
      </c>
      <c r="K7" s="110" t="s">
        <v>210</v>
      </c>
      <c r="L7" s="110" t="s">
        <v>209</v>
      </c>
      <c r="M7" s="110" t="s">
        <v>208</v>
      </c>
      <c r="N7" s="110" t="s">
        <v>207</v>
      </c>
      <c r="O7" s="110" t="s">
        <v>206</v>
      </c>
      <c r="P7" s="110" t="s">
        <v>205</v>
      </c>
      <c r="Q7" s="110" t="s">
        <v>204</v>
      </c>
      <c r="R7" s="110" t="s">
        <v>203</v>
      </c>
      <c r="S7" s="110" t="s">
        <v>202</v>
      </c>
      <c r="T7" s="110" t="s">
        <v>201</v>
      </c>
      <c r="U7" s="110" t="s">
        <v>200</v>
      </c>
      <c r="V7" s="981" t="s">
        <v>449</v>
      </c>
      <c r="W7" s="2"/>
    </row>
    <row r="8" spans="1:23" s="39" customFormat="1" ht="5.15" customHeight="1" x14ac:dyDescent="0.35">
      <c r="A8" s="94"/>
      <c r="B8" s="93"/>
      <c r="C8" s="1167"/>
      <c r="D8" s="191"/>
      <c r="E8" s="92"/>
      <c r="F8" s="191"/>
      <c r="G8" s="91"/>
      <c r="H8" s="205"/>
      <c r="I8" s="91"/>
      <c r="J8" s="90"/>
      <c r="K8" s="90"/>
      <c r="L8" s="90"/>
      <c r="M8" s="90"/>
      <c r="N8" s="90"/>
      <c r="O8" s="90"/>
      <c r="P8" s="90"/>
      <c r="Q8" s="90"/>
      <c r="R8" s="90"/>
      <c r="S8" s="89"/>
      <c r="T8" s="89"/>
      <c r="U8" s="89"/>
      <c r="V8" s="89"/>
      <c r="W8" s="88"/>
    </row>
    <row r="9" spans="1:23" s="58" customFormat="1" ht="25" customHeight="1" x14ac:dyDescent="0.35">
      <c r="A9" s="352" t="s">
        <v>163</v>
      </c>
      <c r="B9" s="1168"/>
      <c r="C9" s="1169" t="s">
        <v>1051</v>
      </c>
      <c r="D9" s="343"/>
      <c r="E9" s="186"/>
      <c r="F9" s="199"/>
      <c r="G9" s="213"/>
      <c r="H9" s="214"/>
      <c r="I9" s="213"/>
      <c r="J9" s="32"/>
      <c r="K9" s="32"/>
      <c r="L9" s="32"/>
      <c r="M9" s="32"/>
      <c r="N9" s="32"/>
      <c r="O9" s="32"/>
      <c r="P9" s="32"/>
      <c r="Q9" s="32"/>
      <c r="R9" s="32"/>
      <c r="S9" s="31"/>
      <c r="T9" s="31"/>
      <c r="U9" s="31"/>
      <c r="V9" s="31"/>
      <c r="W9" s="87"/>
    </row>
    <row r="10" spans="1:23" s="21" customFormat="1" ht="25" hidden="1" customHeight="1" x14ac:dyDescent="0.35">
      <c r="A10" s="23" t="s">
        <v>154</v>
      </c>
      <c r="B10" s="24"/>
      <c r="C10" s="75"/>
      <c r="D10" s="342"/>
      <c r="E10" s="188"/>
      <c r="F10" s="201"/>
      <c r="G10" s="220"/>
      <c r="H10" s="212"/>
      <c r="I10" s="221"/>
      <c r="J10" s="23"/>
      <c r="K10" s="23"/>
      <c r="L10" s="23"/>
      <c r="M10" s="76"/>
      <c r="N10" s="23"/>
      <c r="O10" s="23"/>
      <c r="P10" s="23"/>
      <c r="Q10" s="23"/>
      <c r="R10" s="23"/>
      <c r="S10" s="74"/>
      <c r="T10" s="74"/>
      <c r="U10" s="74"/>
      <c r="V10" s="74"/>
      <c r="W10" s="3"/>
    </row>
    <row r="11" spans="1:23" s="21" customFormat="1" ht="25" hidden="1" customHeight="1" x14ac:dyDescent="0.35">
      <c r="A11" s="25" t="s">
        <v>153</v>
      </c>
      <c r="B11" s="72"/>
      <c r="C11" s="64" t="s">
        <v>152</v>
      </c>
      <c r="D11" s="345"/>
      <c r="E11" s="188">
        <f>SUMIFS(HSBC!$I$85:$I$182,HSBC!$G$85:$G$182,'General-Budget 2018 - SF'!$A11)</f>
        <v>0</v>
      </c>
      <c r="F11" s="202"/>
      <c r="G11" s="221">
        <f t="shared" ref="G11" si="0">SUM(J11:U11)</f>
        <v>0</v>
      </c>
      <c r="H11" s="222">
        <f>IF(F11=0,0,(G11-F11)/F11)</f>
        <v>0</v>
      </c>
      <c r="I11" s="221">
        <f>G11/12</f>
        <v>0</v>
      </c>
      <c r="J11" s="27"/>
      <c r="K11" s="27"/>
      <c r="L11" s="27"/>
      <c r="M11" s="27"/>
      <c r="N11" s="27"/>
      <c r="O11" s="27"/>
      <c r="P11" s="27"/>
      <c r="Q11" s="27"/>
      <c r="R11" s="27"/>
      <c r="S11" s="27"/>
      <c r="T11" s="27"/>
      <c r="U11" s="27"/>
      <c r="V11" s="27"/>
      <c r="W11" s="3" t="s">
        <v>530</v>
      </c>
    </row>
    <row r="12" spans="1:23" s="21" customFormat="1" ht="25" customHeight="1" x14ac:dyDescent="0.35">
      <c r="A12" s="25" t="s">
        <v>151</v>
      </c>
      <c r="B12" s="72">
        <v>642811</v>
      </c>
      <c r="C12" s="64" t="s">
        <v>150</v>
      </c>
      <c r="D12" s="345">
        <f>E12</f>
        <v>8310500</v>
      </c>
      <c r="E12" s="188">
        <f>SUMIFS(HSBC!$I$85:$I$182,HSBC!$G$85:$G$182,'General-Budget 2018 - SF'!$A12)</f>
        <v>8310500</v>
      </c>
      <c r="F12" s="202">
        <f>1000000+E12</f>
        <v>9310500</v>
      </c>
      <c r="G12" s="223">
        <f>SUM(J12:U12)</f>
        <v>4180000</v>
      </c>
      <c r="H12" s="224">
        <f>IF(F12=0,0,(G12-F12)/F12)</f>
        <v>-0.55104451962837653</v>
      </c>
      <c r="I12" s="221">
        <f>G12/12</f>
        <v>348333.33333333331</v>
      </c>
      <c r="J12" s="27">
        <f>5*33000</f>
        <v>165000</v>
      </c>
      <c r="K12" s="27">
        <f>J12</f>
        <v>165000</v>
      </c>
      <c r="L12" s="27">
        <f>K12+550000</f>
        <v>715000</v>
      </c>
      <c r="M12" s="27">
        <f>5*33000</f>
        <v>165000</v>
      </c>
      <c r="N12" s="27">
        <f t="shared" ref="N12:T12" si="1">M12</f>
        <v>165000</v>
      </c>
      <c r="O12" s="27">
        <f>N12+550000</f>
        <v>715000</v>
      </c>
      <c r="P12" s="27">
        <f>5*33000</f>
        <v>165000</v>
      </c>
      <c r="Q12" s="27">
        <f t="shared" si="1"/>
        <v>165000</v>
      </c>
      <c r="R12" s="27">
        <f>Q12+550000</f>
        <v>715000</v>
      </c>
      <c r="S12" s="27">
        <f>5*33000</f>
        <v>165000</v>
      </c>
      <c r="T12" s="27">
        <f t="shared" si="1"/>
        <v>165000</v>
      </c>
      <c r="U12" s="27">
        <f>T12+550000</f>
        <v>715000</v>
      </c>
      <c r="V12" s="27"/>
      <c r="W12" s="3" t="s">
        <v>530</v>
      </c>
    </row>
    <row r="13" spans="1:23" s="21" customFormat="1" ht="25" customHeight="1" x14ac:dyDescent="0.35">
      <c r="A13" s="52"/>
      <c r="B13" s="51"/>
      <c r="C13" s="50" t="s">
        <v>119</v>
      </c>
      <c r="D13" s="999">
        <f>SUM(D11:D12)</f>
        <v>8310500</v>
      </c>
      <c r="E13" s="49">
        <f t="shared" ref="E13" si="2">SUM(E11:E12)</f>
        <v>8310500</v>
      </c>
      <c r="F13" s="999">
        <f>SUM(F11:F12)</f>
        <v>9310500</v>
      </c>
      <c r="G13" s="49">
        <f>SUM(G11:G12)</f>
        <v>4180000</v>
      </c>
      <c r="H13" s="986">
        <f>IF(F13=0,0,(G13-F13)/F13)</f>
        <v>-0.55104451962837653</v>
      </c>
      <c r="I13" s="49">
        <f t="shared" ref="I13:U13" si="3">SUM(I11:I12)</f>
        <v>348333.33333333331</v>
      </c>
      <c r="J13" s="49">
        <f t="shared" si="3"/>
        <v>165000</v>
      </c>
      <c r="K13" s="49">
        <f t="shared" si="3"/>
        <v>165000</v>
      </c>
      <c r="L13" s="49">
        <f t="shared" si="3"/>
        <v>715000</v>
      </c>
      <c r="M13" s="49">
        <f t="shared" si="3"/>
        <v>165000</v>
      </c>
      <c r="N13" s="49">
        <f t="shared" si="3"/>
        <v>165000</v>
      </c>
      <c r="O13" s="49">
        <f t="shared" si="3"/>
        <v>715000</v>
      </c>
      <c r="P13" s="49">
        <f t="shared" si="3"/>
        <v>165000</v>
      </c>
      <c r="Q13" s="49">
        <f t="shared" si="3"/>
        <v>165000</v>
      </c>
      <c r="R13" s="49">
        <f t="shared" si="3"/>
        <v>715000</v>
      </c>
      <c r="S13" s="49">
        <f t="shared" si="3"/>
        <v>165000</v>
      </c>
      <c r="T13" s="49">
        <f t="shared" si="3"/>
        <v>165000</v>
      </c>
      <c r="U13" s="49">
        <f t="shared" si="3"/>
        <v>715000</v>
      </c>
      <c r="V13" s="49"/>
      <c r="W13" s="3"/>
    </row>
    <row r="14" spans="1:23" s="39" customFormat="1" ht="5.15" customHeight="1" x14ac:dyDescent="0.35">
      <c r="A14" s="41"/>
      <c r="B14" s="48"/>
      <c r="C14" s="71"/>
      <c r="D14" s="192"/>
      <c r="E14" s="71"/>
      <c r="F14" s="192">
        <f t="shared" ref="F14" si="4">E14/9*12</f>
        <v>0</v>
      </c>
      <c r="G14" s="46"/>
      <c r="H14" s="206"/>
      <c r="I14" s="46"/>
      <c r="J14" s="59"/>
      <c r="K14" s="59"/>
      <c r="L14" s="59"/>
      <c r="M14" s="59"/>
      <c r="N14" s="59"/>
      <c r="O14" s="59"/>
      <c r="P14" s="59"/>
      <c r="Q14" s="59"/>
      <c r="R14" s="59"/>
      <c r="S14" s="59"/>
      <c r="T14" s="59"/>
      <c r="U14" s="59"/>
      <c r="V14" s="59"/>
      <c r="W14" s="40"/>
    </row>
    <row r="15" spans="1:23" s="58" customFormat="1" ht="25" customHeight="1" x14ac:dyDescent="0.35">
      <c r="A15" s="34" t="s">
        <v>79</v>
      </c>
      <c r="B15" s="33"/>
      <c r="C15" s="68" t="s">
        <v>78</v>
      </c>
      <c r="D15" s="343"/>
      <c r="E15" s="186"/>
      <c r="F15" s="199"/>
      <c r="G15" s="213"/>
      <c r="H15" s="214"/>
      <c r="I15" s="213"/>
      <c r="J15" s="32"/>
      <c r="K15" s="32"/>
      <c r="L15" s="32"/>
      <c r="M15" s="32"/>
      <c r="N15" s="32"/>
      <c r="O15" s="32"/>
      <c r="P15" s="32"/>
      <c r="Q15" s="32"/>
      <c r="R15" s="32"/>
      <c r="S15" s="67"/>
      <c r="T15" s="67"/>
      <c r="U15" s="67"/>
      <c r="V15" s="67"/>
      <c r="W15" s="3"/>
    </row>
    <row r="16" spans="1:23" s="21" customFormat="1" ht="25" hidden="1" customHeight="1" x14ac:dyDescent="0.35">
      <c r="A16" s="356" t="s">
        <v>77</v>
      </c>
      <c r="B16" s="30">
        <v>6427301</v>
      </c>
      <c r="C16" s="64" t="s">
        <v>76</v>
      </c>
      <c r="D16" s="345"/>
      <c r="E16" s="188">
        <f>SUMIFS(HSBC!$I$85:$I$182,HSBC!$G$85:$G$182,'General-Budget 2018 - SF'!$A16)</f>
        <v>0</v>
      </c>
      <c r="F16" s="202"/>
      <c r="G16" s="225">
        <f>SUM(J16:U16)</f>
        <v>0</v>
      </c>
      <c r="H16" s="222">
        <f t="shared" ref="H16:H44" si="5">IF(F16=0,0,(G16-F16)/F16)</f>
        <v>0</v>
      </c>
      <c r="I16" s="221">
        <f>G16/12</f>
        <v>0</v>
      </c>
      <c r="J16" s="27"/>
      <c r="K16" s="27"/>
      <c r="L16" s="27"/>
      <c r="M16" s="27"/>
      <c r="N16" s="27"/>
      <c r="O16" s="27"/>
      <c r="P16" s="27"/>
      <c r="Q16" s="27"/>
      <c r="R16" s="27"/>
      <c r="S16" s="27"/>
      <c r="T16" s="27"/>
      <c r="U16" s="27"/>
      <c r="V16" s="27"/>
      <c r="W16" s="3" t="s">
        <v>530</v>
      </c>
    </row>
    <row r="17" spans="1:23" s="66" customFormat="1" ht="25" customHeight="1" x14ac:dyDescent="0.35">
      <c r="A17" s="356" t="s">
        <v>75</v>
      </c>
      <c r="B17" s="30">
        <v>6427302</v>
      </c>
      <c r="C17" s="64" t="s">
        <v>885</v>
      </c>
      <c r="D17" s="345"/>
      <c r="E17" s="188">
        <f>SUMIFS(HSBC!$I$85:$I$182,HSBC!$G$85:$G$182,'General-Budget 2018 - SF'!$A17)-723415000</f>
        <v>532635950</v>
      </c>
      <c r="F17" s="202">
        <f>'Pending not yet paid'!J13+'Pending not yet paid'!F18+E17</f>
        <v>905697100</v>
      </c>
      <c r="G17" s="221">
        <f>SUM(J17:U17)</f>
        <v>830160000</v>
      </c>
      <c r="H17" s="222">
        <f t="shared" si="5"/>
        <v>-8.3402166132584499E-2</v>
      </c>
      <c r="I17" s="221">
        <f>G17/12</f>
        <v>69180000</v>
      </c>
      <c r="J17" s="27">
        <f>'Allocation - SF'!H13</f>
        <v>69180000</v>
      </c>
      <c r="K17" s="27">
        <f>'Allocation - SF'!I13</f>
        <v>69180000</v>
      </c>
      <c r="L17" s="27">
        <f>'Allocation - SF'!J13</f>
        <v>69180000</v>
      </c>
      <c r="M17" s="27">
        <f>'Allocation - SF'!K13</f>
        <v>69180000</v>
      </c>
      <c r="N17" s="27">
        <f>'Allocation - SF'!L13</f>
        <v>69180000</v>
      </c>
      <c r="O17" s="27">
        <f>'Allocation - SF'!M13</f>
        <v>69180000</v>
      </c>
      <c r="P17" s="27">
        <f>'Allocation - SF'!N13</f>
        <v>69180000</v>
      </c>
      <c r="Q17" s="27">
        <f>'Allocation - SF'!O13</f>
        <v>69180000</v>
      </c>
      <c r="R17" s="27">
        <f>'Allocation - SF'!P13</f>
        <v>69180000</v>
      </c>
      <c r="S17" s="27">
        <f>'Allocation - SF'!Q13</f>
        <v>69180000</v>
      </c>
      <c r="T17" s="27">
        <f>'Allocation - SF'!R13</f>
        <v>69180000</v>
      </c>
      <c r="U17" s="27">
        <f>'Allocation - SF'!S13</f>
        <v>69180000</v>
      </c>
      <c r="V17" s="317" t="s">
        <v>1052</v>
      </c>
      <c r="W17" s="3" t="s">
        <v>530</v>
      </c>
    </row>
    <row r="18" spans="1:23" s="21" customFormat="1" ht="25" hidden="1" customHeight="1" x14ac:dyDescent="0.35">
      <c r="A18" s="356" t="s">
        <v>73</v>
      </c>
      <c r="B18" s="30"/>
      <c r="C18" s="64" t="s">
        <v>72</v>
      </c>
      <c r="D18" s="345"/>
      <c r="E18" s="188">
        <f>SUMIFS(HSBC!$I$85:$I$182,HSBC!$G$85:$G$182,'General-Budget 2018 - SF'!$A18)</f>
        <v>0</v>
      </c>
      <c r="F18" s="202"/>
      <c r="G18" s="225">
        <f>SUM(G19:G20)</f>
        <v>0</v>
      </c>
      <c r="H18" s="222">
        <f t="shared" si="5"/>
        <v>0</v>
      </c>
      <c r="I18" s="221">
        <f t="shared" ref="I18:U18" si="6">SUM(I19:I20)</f>
        <v>0</v>
      </c>
      <c r="J18" s="27">
        <f>SUM(J19:J20)</f>
        <v>0</v>
      </c>
      <c r="K18" s="27">
        <f t="shared" si="6"/>
        <v>0</v>
      </c>
      <c r="L18" s="27">
        <f t="shared" si="6"/>
        <v>0</v>
      </c>
      <c r="M18" s="27">
        <f t="shared" si="6"/>
        <v>0</v>
      </c>
      <c r="N18" s="27">
        <f t="shared" si="6"/>
        <v>0</v>
      </c>
      <c r="O18" s="27">
        <f t="shared" si="6"/>
        <v>0</v>
      </c>
      <c r="P18" s="27">
        <f t="shared" si="6"/>
        <v>0</v>
      </c>
      <c r="Q18" s="27">
        <f t="shared" si="6"/>
        <v>0</v>
      </c>
      <c r="R18" s="27">
        <f t="shared" si="6"/>
        <v>0</v>
      </c>
      <c r="S18" s="27">
        <f t="shared" si="6"/>
        <v>0</v>
      </c>
      <c r="T18" s="27">
        <f t="shared" si="6"/>
        <v>0</v>
      </c>
      <c r="U18" s="27">
        <f t="shared" si="6"/>
        <v>0</v>
      </c>
      <c r="V18" s="27"/>
      <c r="W18" s="5">
        <v>198950000</v>
      </c>
    </row>
    <row r="19" spans="1:23" s="53" customFormat="1" ht="25" hidden="1" customHeight="1" x14ac:dyDescent="0.35">
      <c r="A19" s="357" t="s">
        <v>71</v>
      </c>
      <c r="B19" s="57">
        <v>6427303</v>
      </c>
      <c r="C19" s="56" t="s">
        <v>70</v>
      </c>
      <c r="D19" s="346"/>
      <c r="E19" s="188">
        <f>SUMIFS(HSBC!$I$85:$I$182,HSBC!$G$85:$G$182,'General-Budget 2018 - SF'!$A19)</f>
        <v>0</v>
      </c>
      <c r="F19" s="203"/>
      <c r="G19" s="226">
        <f>SUM(J19:U19)</f>
        <v>0</v>
      </c>
      <c r="H19" s="227">
        <f t="shared" si="5"/>
        <v>0</v>
      </c>
      <c r="I19" s="228">
        <f>G19/12</f>
        <v>0</v>
      </c>
      <c r="J19" s="55"/>
      <c r="K19" s="55"/>
      <c r="L19" s="55"/>
      <c r="M19" s="55"/>
      <c r="N19" s="55"/>
      <c r="O19" s="55"/>
      <c r="P19" s="55"/>
      <c r="Q19" s="27"/>
      <c r="R19" s="55"/>
      <c r="S19" s="55"/>
      <c r="T19" s="55"/>
      <c r="U19" s="55"/>
      <c r="V19" s="55"/>
      <c r="W19" s="65"/>
    </row>
    <row r="20" spans="1:23" s="53" customFormat="1" ht="25" hidden="1" customHeight="1" x14ac:dyDescent="0.35">
      <c r="A20" s="357" t="s">
        <v>69</v>
      </c>
      <c r="B20" s="57">
        <v>6427303</v>
      </c>
      <c r="C20" s="56" t="s">
        <v>68</v>
      </c>
      <c r="D20" s="346"/>
      <c r="E20" s="188">
        <f>SUMIFS(HSBC!$I$85:$I$182,HSBC!$G$85:$G$182,'General-Budget 2018 - SF'!$A20)</f>
        <v>0</v>
      </c>
      <c r="F20" s="203"/>
      <c r="G20" s="226">
        <f>SUM(J20:U20)</f>
        <v>0</v>
      </c>
      <c r="H20" s="227">
        <f t="shared" si="5"/>
        <v>0</v>
      </c>
      <c r="I20" s="228">
        <f>G20/12</f>
        <v>0</v>
      </c>
      <c r="J20" s="55"/>
      <c r="K20" s="55"/>
      <c r="L20" s="55"/>
      <c r="M20" s="55"/>
      <c r="N20" s="55"/>
      <c r="O20" s="55"/>
      <c r="P20" s="55"/>
      <c r="Q20" s="27"/>
      <c r="R20" s="55"/>
      <c r="S20" s="55"/>
      <c r="T20" s="55"/>
      <c r="U20" s="55"/>
      <c r="V20" s="55"/>
      <c r="W20" s="65"/>
    </row>
    <row r="21" spans="1:23" s="21" customFormat="1" ht="25" customHeight="1" x14ac:dyDescent="0.35">
      <c r="A21" s="356" t="s">
        <v>67</v>
      </c>
      <c r="B21" s="30"/>
      <c r="C21" s="64" t="s">
        <v>66</v>
      </c>
      <c r="D21" s="345"/>
      <c r="E21" s="188">
        <f>SUMIFS(HSBC!$I$85:$I$182,HSBC!$G$85:$G$182,'General-Budget 2018 - SF'!$A21)</f>
        <v>89803362</v>
      </c>
      <c r="F21" s="202">
        <f>F22+F23</f>
        <v>339510404</v>
      </c>
      <c r="G21" s="225">
        <f>SUM(G22:G23)</f>
        <v>0</v>
      </c>
      <c r="H21" s="222">
        <f t="shared" si="5"/>
        <v>-1</v>
      </c>
      <c r="I21" s="225">
        <f t="shared" ref="I21:U21" si="7">SUM(I22:I23)</f>
        <v>0</v>
      </c>
      <c r="J21" s="28">
        <f>SUM(J22:J23)</f>
        <v>0</v>
      </c>
      <c r="K21" s="28">
        <f t="shared" si="7"/>
        <v>0</v>
      </c>
      <c r="L21" s="28">
        <f t="shared" si="7"/>
        <v>0</v>
      </c>
      <c r="M21" s="28">
        <f t="shared" si="7"/>
        <v>0</v>
      </c>
      <c r="N21" s="28">
        <f t="shared" si="7"/>
        <v>0</v>
      </c>
      <c r="O21" s="28">
        <f t="shared" si="7"/>
        <v>0</v>
      </c>
      <c r="P21" s="28">
        <f t="shared" si="7"/>
        <v>0</v>
      </c>
      <c r="Q21" s="27">
        <f t="shared" si="7"/>
        <v>0</v>
      </c>
      <c r="R21" s="28">
        <f t="shared" si="7"/>
        <v>0</v>
      </c>
      <c r="S21" s="28">
        <f t="shared" si="7"/>
        <v>0</v>
      </c>
      <c r="T21" s="28">
        <f>SUM(T22:T23)</f>
        <v>0</v>
      </c>
      <c r="U21" s="28">
        <f t="shared" si="7"/>
        <v>0</v>
      </c>
      <c r="V21" s="28"/>
      <c r="W21" s="3" t="s">
        <v>530</v>
      </c>
    </row>
    <row r="22" spans="1:23" s="53" customFormat="1" ht="25" customHeight="1" x14ac:dyDescent="0.35">
      <c r="A22" s="357" t="s">
        <v>65</v>
      </c>
      <c r="B22" s="57">
        <v>6427304</v>
      </c>
      <c r="C22" s="56" t="s">
        <v>64</v>
      </c>
      <c r="D22" s="346"/>
      <c r="E22" s="188">
        <f>SUMIFS(HSBC!$I$85:$I$182,HSBC!$G$85:$G$182,'General-Budget 2018 - SF'!$A22)</f>
        <v>0</v>
      </c>
      <c r="F22" s="319"/>
      <c r="G22" s="320">
        <f>SUM(J22:U22)</f>
        <v>0</v>
      </c>
      <c r="H22" s="227">
        <f t="shared" si="5"/>
        <v>0</v>
      </c>
      <c r="I22" s="228">
        <f>G22/12</f>
        <v>0</v>
      </c>
      <c r="J22" s="55"/>
      <c r="K22" s="55"/>
      <c r="L22" s="55"/>
      <c r="M22" s="55"/>
      <c r="N22" s="55"/>
      <c r="O22" s="55"/>
      <c r="P22" s="55"/>
      <c r="Q22" s="27"/>
      <c r="R22" s="55"/>
      <c r="S22" s="55"/>
      <c r="T22" s="55"/>
      <c r="U22" s="55"/>
      <c r="V22" s="55"/>
      <c r="W22" s="54"/>
    </row>
    <row r="23" spans="1:23" s="53" customFormat="1" ht="24.75" customHeight="1" x14ac:dyDescent="0.35">
      <c r="A23" s="357" t="s">
        <v>63</v>
      </c>
      <c r="B23" s="57">
        <v>6427304</v>
      </c>
      <c r="C23" s="56" t="s">
        <v>62</v>
      </c>
      <c r="D23" s="346"/>
      <c r="E23" s="611">
        <v>89803362</v>
      </c>
      <c r="F23" s="203">
        <f>'Pending not yet paid'!J14+'Pending not yet paid'!J15+E23</f>
        <v>339510404</v>
      </c>
      <c r="G23" s="226">
        <f>SUM(J23:U23)</f>
        <v>0</v>
      </c>
      <c r="H23" s="227">
        <f t="shared" si="5"/>
        <v>-1</v>
      </c>
      <c r="I23" s="228">
        <f>G23/12</f>
        <v>0</v>
      </c>
      <c r="J23" s="55"/>
      <c r="K23" s="55"/>
      <c r="L23" s="55"/>
      <c r="M23" s="55"/>
      <c r="N23" s="55"/>
      <c r="O23" s="55"/>
      <c r="P23" s="55"/>
      <c r="Q23" s="27"/>
      <c r="R23" s="55"/>
      <c r="S23" s="55"/>
      <c r="T23" s="55"/>
      <c r="U23" s="55"/>
      <c r="V23" s="610" t="s">
        <v>891</v>
      </c>
      <c r="W23" s="54"/>
    </row>
    <row r="24" spans="1:23" s="21" customFormat="1" ht="25" customHeight="1" x14ac:dyDescent="0.35">
      <c r="A24" s="356" t="s">
        <v>61</v>
      </c>
      <c r="B24" s="30">
        <v>6427305</v>
      </c>
      <c r="C24" s="64" t="s">
        <v>60</v>
      </c>
      <c r="D24" s="345"/>
      <c r="E24" s="188">
        <f>SUMIFS(HSBC!$I$85:$I$182,HSBC!$G$85:$G$182,'General-Budget 2018 - SF'!$A24)</f>
        <v>91003000</v>
      </c>
      <c r="F24" s="202">
        <f>E24</f>
        <v>91003000</v>
      </c>
      <c r="G24" s="225">
        <f>SUM(J24:U24)</f>
        <v>208050000</v>
      </c>
      <c r="H24" s="222">
        <f t="shared" si="5"/>
        <v>1.2861883674164587</v>
      </c>
      <c r="I24" s="221">
        <f>G24/12</f>
        <v>17337500</v>
      </c>
      <c r="J24" s="27">
        <f>'Allocation - SF'!H20</f>
        <v>17337500</v>
      </c>
      <c r="K24" s="27">
        <f>'Allocation - SF'!I20</f>
        <v>17337500</v>
      </c>
      <c r="L24" s="27">
        <f>'Allocation - SF'!J20</f>
        <v>17337500</v>
      </c>
      <c r="M24" s="27">
        <f>'Allocation - SF'!K20</f>
        <v>17337500</v>
      </c>
      <c r="N24" s="27">
        <f>'Allocation - SF'!L20</f>
        <v>17337500</v>
      </c>
      <c r="O24" s="27">
        <f>'Allocation - SF'!M20</f>
        <v>17337500</v>
      </c>
      <c r="P24" s="27">
        <f>'Allocation - SF'!N20</f>
        <v>17337500</v>
      </c>
      <c r="Q24" s="27">
        <f>'Allocation - SF'!O20</f>
        <v>17337500</v>
      </c>
      <c r="R24" s="27">
        <f>'Allocation - SF'!P20</f>
        <v>17337500</v>
      </c>
      <c r="S24" s="27">
        <f>'Allocation - SF'!Q20</f>
        <v>17337500</v>
      </c>
      <c r="T24" s="27">
        <f>'Allocation - SF'!R20</f>
        <v>17337500</v>
      </c>
      <c r="U24" s="27">
        <f>'Allocation - SF'!S20</f>
        <v>17337500</v>
      </c>
      <c r="V24" s="27"/>
      <c r="W24" s="3" t="s">
        <v>530</v>
      </c>
    </row>
    <row r="25" spans="1:23" s="21" customFormat="1" ht="25" customHeight="1" x14ac:dyDescent="0.35">
      <c r="A25" s="356" t="s">
        <v>59</v>
      </c>
      <c r="B25" s="30">
        <v>6427306</v>
      </c>
      <c r="C25" s="64" t="s">
        <v>58</v>
      </c>
      <c r="D25" s="345"/>
      <c r="E25" s="188">
        <f>SUMIFS(HSBC!$I$85:$I$182,HSBC!$G$85:$G$182,'General-Budget 2018 - SF'!$A25)</f>
        <v>66082500</v>
      </c>
      <c r="F25" s="202">
        <f>E25</f>
        <v>66082500</v>
      </c>
      <c r="G25" s="225">
        <f>SUM(J25:U25)</f>
        <v>0</v>
      </c>
      <c r="H25" s="222">
        <f t="shared" si="5"/>
        <v>-1</v>
      </c>
      <c r="I25" s="221">
        <f>G25/12</f>
        <v>0</v>
      </c>
      <c r="J25" s="27"/>
      <c r="K25" s="27"/>
      <c r="L25" s="27"/>
      <c r="M25" s="27"/>
      <c r="N25" s="27"/>
      <c r="O25" s="27"/>
      <c r="P25" s="27"/>
      <c r="Q25" s="27"/>
      <c r="R25" s="27"/>
      <c r="S25" s="27"/>
      <c r="T25" s="27"/>
      <c r="U25" s="27"/>
      <c r="V25" s="27"/>
      <c r="W25" s="3" t="s">
        <v>530</v>
      </c>
    </row>
    <row r="26" spans="1:23" s="21" customFormat="1" ht="25" customHeight="1" x14ac:dyDescent="0.35">
      <c r="A26" s="356" t="s">
        <v>57</v>
      </c>
      <c r="B26" s="30">
        <v>6427307</v>
      </c>
      <c r="C26" s="64" t="s">
        <v>56</v>
      </c>
      <c r="D26" s="345"/>
      <c r="E26" s="188">
        <f>SUMIFS(HSBC!$I$85:$I$182,HSBC!$G$85:$G$182,'General-Budget 2018 - SF'!$A26)</f>
        <v>0</v>
      </c>
      <c r="F26" s="202">
        <f>'Pending not yet paid'!J16</f>
        <v>11467500</v>
      </c>
      <c r="G26" s="225">
        <f>SUM(J26:U26)</f>
        <v>0</v>
      </c>
      <c r="H26" s="222">
        <f t="shared" si="5"/>
        <v>-1</v>
      </c>
      <c r="I26" s="221">
        <f>G26/12</f>
        <v>0</v>
      </c>
      <c r="J26" s="27"/>
      <c r="K26" s="27"/>
      <c r="L26" s="27"/>
      <c r="M26" s="27"/>
      <c r="N26" s="27"/>
      <c r="O26" s="27"/>
      <c r="P26" s="27"/>
      <c r="Q26" s="27"/>
      <c r="R26" s="27"/>
      <c r="S26" s="27"/>
      <c r="T26" s="27"/>
      <c r="U26" s="27"/>
      <c r="V26" s="317" t="s">
        <v>891</v>
      </c>
      <c r="W26" s="3" t="s">
        <v>530</v>
      </c>
    </row>
    <row r="27" spans="1:23" s="21" customFormat="1" ht="25" customHeight="1" x14ac:dyDescent="0.35">
      <c r="A27" s="356" t="s">
        <v>55</v>
      </c>
      <c r="B27" s="30"/>
      <c r="C27" s="64" t="s">
        <v>54</v>
      </c>
      <c r="D27" s="345"/>
      <c r="E27" s="188">
        <f>SUMIFS(HSBC!$I$85:$I$182,HSBC!$G$85:$G$182,'General-Budget 2018 - SF'!$A27)</f>
        <v>0</v>
      </c>
      <c r="F27" s="202"/>
      <c r="G27" s="225">
        <f>SUM(G28:G29)</f>
        <v>33600000</v>
      </c>
      <c r="H27" s="222">
        <f t="shared" si="5"/>
        <v>0</v>
      </c>
      <c r="I27" s="225">
        <f t="shared" ref="I27:U27" si="8">SUM(I28:I29)</f>
        <v>2800000</v>
      </c>
      <c r="J27" s="28">
        <f t="shared" si="8"/>
        <v>2800000</v>
      </c>
      <c r="K27" s="28">
        <f t="shared" si="8"/>
        <v>2800000</v>
      </c>
      <c r="L27" s="28">
        <f t="shared" si="8"/>
        <v>2800000</v>
      </c>
      <c r="M27" s="28">
        <f t="shared" si="8"/>
        <v>2800000</v>
      </c>
      <c r="N27" s="28">
        <f t="shared" si="8"/>
        <v>2800000</v>
      </c>
      <c r="O27" s="28">
        <f t="shared" si="8"/>
        <v>2800000</v>
      </c>
      <c r="P27" s="28">
        <f t="shared" si="8"/>
        <v>2800000</v>
      </c>
      <c r="Q27" s="27">
        <f t="shared" si="8"/>
        <v>2800000</v>
      </c>
      <c r="R27" s="28">
        <f t="shared" si="8"/>
        <v>2800000</v>
      </c>
      <c r="S27" s="28">
        <f t="shared" si="8"/>
        <v>2800000</v>
      </c>
      <c r="T27" s="28">
        <f t="shared" si="8"/>
        <v>2800000</v>
      </c>
      <c r="U27" s="28">
        <f t="shared" si="8"/>
        <v>2800000</v>
      </c>
      <c r="V27" s="28"/>
      <c r="W27" s="3" t="s">
        <v>530</v>
      </c>
    </row>
    <row r="28" spans="1:23" s="53" customFormat="1" ht="25" customHeight="1" x14ac:dyDescent="0.35">
      <c r="A28" s="357" t="s">
        <v>53</v>
      </c>
      <c r="B28" s="57">
        <v>6427308</v>
      </c>
      <c r="C28" s="56" t="s">
        <v>52</v>
      </c>
      <c r="D28" s="346"/>
      <c r="E28" s="188">
        <f>SUMIFS(HSBC!$I$85:$I$182,HSBC!$G$85:$G$182,'General-Budget 2018 - SF'!$A28)</f>
        <v>0</v>
      </c>
      <c r="F28" s="203"/>
      <c r="G28" s="226">
        <f>SUM(J28:U28)</f>
        <v>0</v>
      </c>
      <c r="H28" s="227">
        <f t="shared" si="5"/>
        <v>0</v>
      </c>
      <c r="I28" s="228">
        <f>G28/12</f>
        <v>0</v>
      </c>
      <c r="J28" s="55"/>
      <c r="K28" s="55"/>
      <c r="L28" s="55"/>
      <c r="M28" s="55"/>
      <c r="N28" s="55"/>
      <c r="O28" s="55"/>
      <c r="P28" s="55"/>
      <c r="Q28" s="55"/>
      <c r="R28" s="55"/>
      <c r="S28" s="55"/>
      <c r="T28" s="55"/>
      <c r="U28" s="55"/>
      <c r="V28" s="55"/>
      <c r="W28" s="54"/>
    </row>
    <row r="29" spans="1:23" s="53" customFormat="1" ht="25" customHeight="1" x14ac:dyDescent="0.35">
      <c r="A29" s="357" t="s">
        <v>51</v>
      </c>
      <c r="B29" s="57">
        <v>6427308</v>
      </c>
      <c r="C29" s="56" t="s">
        <v>50</v>
      </c>
      <c r="D29" s="346"/>
      <c r="E29" s="188">
        <f>SUMIFS(HSBC!$I$85:$I$182,HSBC!$G$85:$G$182,'General-Budget 2018 - SF'!$A29)</f>
        <v>0</v>
      </c>
      <c r="F29" s="203"/>
      <c r="G29" s="226">
        <f>SUM(J29:U29)</f>
        <v>33600000</v>
      </c>
      <c r="H29" s="227">
        <f t="shared" si="5"/>
        <v>0</v>
      </c>
      <c r="I29" s="228">
        <f>G29/12</f>
        <v>2800000</v>
      </c>
      <c r="J29" s="55">
        <f>'Allocation - SF'!H23</f>
        <v>2800000</v>
      </c>
      <c r="K29" s="55">
        <f>'Allocation - SF'!I23</f>
        <v>2800000</v>
      </c>
      <c r="L29" s="55">
        <f>'Allocation - SF'!J23</f>
        <v>2800000</v>
      </c>
      <c r="M29" s="55">
        <f>'Allocation - SF'!K23</f>
        <v>2800000</v>
      </c>
      <c r="N29" s="55">
        <f>'Allocation - SF'!L23</f>
        <v>2800000</v>
      </c>
      <c r="O29" s="55">
        <f>'Allocation - SF'!M23</f>
        <v>2800000</v>
      </c>
      <c r="P29" s="55">
        <f>'Allocation - SF'!N23</f>
        <v>2800000</v>
      </c>
      <c r="Q29" s="55">
        <f>'Allocation - SF'!O23</f>
        <v>2800000</v>
      </c>
      <c r="R29" s="55">
        <f>'Allocation - SF'!P23</f>
        <v>2800000</v>
      </c>
      <c r="S29" s="55">
        <f>'Allocation - SF'!Q23</f>
        <v>2800000</v>
      </c>
      <c r="T29" s="55">
        <f>'Allocation - SF'!R23</f>
        <v>2800000</v>
      </c>
      <c r="U29" s="55">
        <f>'Allocation - SF'!S23</f>
        <v>2800000</v>
      </c>
      <c r="V29" s="55"/>
      <c r="W29" s="54"/>
    </row>
    <row r="30" spans="1:23" s="21" customFormat="1" ht="25" hidden="1" customHeight="1" x14ac:dyDescent="0.35">
      <c r="A30" s="356" t="s">
        <v>49</v>
      </c>
      <c r="B30" s="30"/>
      <c r="C30" s="64" t="s">
        <v>48</v>
      </c>
      <c r="D30" s="345"/>
      <c r="E30" s="188">
        <f>SUMIFS(HSBC!$I$85:$I$182,HSBC!$G$85:$G$182,'General-Budget 2018 - SF'!$A30)</f>
        <v>0</v>
      </c>
      <c r="F30" s="202"/>
      <c r="G30" s="225">
        <f>SUM(G31:G32)</f>
        <v>0</v>
      </c>
      <c r="H30" s="222">
        <f t="shared" si="5"/>
        <v>0</v>
      </c>
      <c r="I30" s="225">
        <f t="shared" ref="I30:U30" si="9">SUM(I31:I32)</f>
        <v>0</v>
      </c>
      <c r="J30" s="28">
        <f t="shared" si="9"/>
        <v>0</v>
      </c>
      <c r="K30" s="28">
        <f t="shared" si="9"/>
        <v>0</v>
      </c>
      <c r="L30" s="28">
        <f t="shared" si="9"/>
        <v>0</v>
      </c>
      <c r="M30" s="28">
        <f t="shared" si="9"/>
        <v>0</v>
      </c>
      <c r="N30" s="28">
        <f t="shared" si="9"/>
        <v>0</v>
      </c>
      <c r="O30" s="28">
        <f t="shared" si="9"/>
        <v>0</v>
      </c>
      <c r="P30" s="28">
        <f t="shared" si="9"/>
        <v>0</v>
      </c>
      <c r="Q30" s="27">
        <f t="shared" si="9"/>
        <v>0</v>
      </c>
      <c r="R30" s="28">
        <f t="shared" si="9"/>
        <v>0</v>
      </c>
      <c r="S30" s="28">
        <f t="shared" si="9"/>
        <v>0</v>
      </c>
      <c r="T30" s="28">
        <f t="shared" si="9"/>
        <v>0</v>
      </c>
      <c r="U30" s="28">
        <f t="shared" si="9"/>
        <v>0</v>
      </c>
      <c r="V30" s="28"/>
      <c r="W30" s="3" t="s">
        <v>530</v>
      </c>
    </row>
    <row r="31" spans="1:23" s="53" customFormat="1" ht="25" hidden="1" customHeight="1" x14ac:dyDescent="0.35">
      <c r="A31" s="357" t="s">
        <v>47</v>
      </c>
      <c r="B31" s="57">
        <v>6427309</v>
      </c>
      <c r="C31" s="56" t="s">
        <v>46</v>
      </c>
      <c r="D31" s="346"/>
      <c r="E31" s="188">
        <f>SUMIFS(HSBC!$I$85:$I$182,HSBC!$G$85:$G$182,'General-Budget 2018 - SF'!$A31)</f>
        <v>0</v>
      </c>
      <c r="F31" s="203"/>
      <c r="G31" s="226">
        <f>SUM(J31:U31)</f>
        <v>0</v>
      </c>
      <c r="H31" s="227">
        <f t="shared" si="5"/>
        <v>0</v>
      </c>
      <c r="I31" s="228">
        <f>G31/12</f>
        <v>0</v>
      </c>
      <c r="J31" s="55"/>
      <c r="K31" s="55"/>
      <c r="L31" s="55"/>
      <c r="M31" s="55"/>
      <c r="N31" s="55"/>
      <c r="O31" s="55"/>
      <c r="P31" s="55"/>
      <c r="Q31" s="27"/>
      <c r="R31" s="55"/>
      <c r="S31" s="55"/>
      <c r="T31" s="55"/>
      <c r="U31" s="55"/>
      <c r="V31" s="55"/>
      <c r="W31" s="54"/>
    </row>
    <row r="32" spans="1:23" s="53" customFormat="1" ht="25" hidden="1" customHeight="1" x14ac:dyDescent="0.35">
      <c r="A32" s="357" t="s">
        <v>45</v>
      </c>
      <c r="B32" s="57">
        <v>6427309</v>
      </c>
      <c r="C32" s="56" t="s">
        <v>44</v>
      </c>
      <c r="D32" s="346"/>
      <c r="E32" s="188">
        <f>SUMIFS(HSBC!$I$85:$I$182,HSBC!$G$85:$G$182,'General-Budget 2018 - SF'!$A32)</f>
        <v>0</v>
      </c>
      <c r="F32" s="203"/>
      <c r="G32" s="226">
        <f>SUM(J32:U32)</f>
        <v>0</v>
      </c>
      <c r="H32" s="227">
        <f t="shared" si="5"/>
        <v>0</v>
      </c>
      <c r="I32" s="228">
        <f>G32/12</f>
        <v>0</v>
      </c>
      <c r="J32" s="55"/>
      <c r="K32" s="55"/>
      <c r="L32" s="55"/>
      <c r="M32" s="55"/>
      <c r="N32" s="55"/>
      <c r="O32" s="55"/>
      <c r="P32" s="55"/>
      <c r="Q32" s="55"/>
      <c r="R32" s="55"/>
      <c r="S32" s="55"/>
      <c r="T32" s="55"/>
      <c r="U32" s="55"/>
      <c r="V32" s="55"/>
      <c r="W32" s="54"/>
    </row>
    <row r="33" spans="1:23" s="21" customFormat="1" ht="25" hidden="1" customHeight="1" x14ac:dyDescent="0.35">
      <c r="A33" s="356" t="s">
        <v>43</v>
      </c>
      <c r="B33" s="30"/>
      <c r="C33" s="64" t="s">
        <v>42</v>
      </c>
      <c r="D33" s="345"/>
      <c r="E33" s="188">
        <f>SUMIFS(HSBC!$I$85:$I$182,HSBC!$G$85:$G$182,'General-Budget 2018 - SF'!$A33)</f>
        <v>0</v>
      </c>
      <c r="F33" s="202"/>
      <c r="G33" s="225">
        <f>SUM(G34:G35)</f>
        <v>0</v>
      </c>
      <c r="H33" s="222">
        <f t="shared" si="5"/>
        <v>0</v>
      </c>
      <c r="I33" s="225">
        <f t="shared" ref="I33:U33" si="10">SUM(I34:I35)</f>
        <v>0</v>
      </c>
      <c r="J33" s="28">
        <f>SUM(J34:J35)</f>
        <v>0</v>
      </c>
      <c r="K33" s="28">
        <f t="shared" si="10"/>
        <v>0</v>
      </c>
      <c r="L33" s="28">
        <f t="shared" si="10"/>
        <v>0</v>
      </c>
      <c r="M33" s="28">
        <f t="shared" si="10"/>
        <v>0</v>
      </c>
      <c r="N33" s="28">
        <f t="shared" si="10"/>
        <v>0</v>
      </c>
      <c r="O33" s="28">
        <f t="shared" si="10"/>
        <v>0</v>
      </c>
      <c r="P33" s="28">
        <f t="shared" si="10"/>
        <v>0</v>
      </c>
      <c r="Q33" s="27">
        <f t="shared" si="10"/>
        <v>0</v>
      </c>
      <c r="R33" s="28">
        <f t="shared" si="10"/>
        <v>0</v>
      </c>
      <c r="S33" s="28">
        <f t="shared" si="10"/>
        <v>0</v>
      </c>
      <c r="T33" s="28">
        <f t="shared" si="10"/>
        <v>0</v>
      </c>
      <c r="U33" s="28">
        <f t="shared" si="10"/>
        <v>0</v>
      </c>
      <c r="V33" s="28"/>
      <c r="W33" s="3" t="s">
        <v>530</v>
      </c>
    </row>
    <row r="34" spans="1:23" s="53" customFormat="1" ht="25" hidden="1" customHeight="1" x14ac:dyDescent="0.35">
      <c r="A34" s="357" t="s">
        <v>41</v>
      </c>
      <c r="B34" s="57">
        <v>6427310</v>
      </c>
      <c r="C34" s="56" t="s">
        <v>40</v>
      </c>
      <c r="D34" s="346"/>
      <c r="E34" s="188">
        <f>SUMIFS(HSBC!$I$85:$I$182,HSBC!$G$85:$G$182,'General-Budget 2018 - SF'!$A34)</f>
        <v>0</v>
      </c>
      <c r="F34" s="203"/>
      <c r="G34" s="226">
        <f>SUM(J34:U34)</f>
        <v>0</v>
      </c>
      <c r="H34" s="227">
        <f t="shared" si="5"/>
        <v>0</v>
      </c>
      <c r="I34" s="228">
        <f>G34/12</f>
        <v>0</v>
      </c>
      <c r="J34" s="55"/>
      <c r="K34" s="55"/>
      <c r="L34" s="55"/>
      <c r="M34" s="55"/>
      <c r="N34" s="55"/>
      <c r="O34" s="55"/>
      <c r="P34" s="55"/>
      <c r="Q34" s="55"/>
      <c r="R34" s="55"/>
      <c r="S34" s="55"/>
      <c r="T34" s="55"/>
      <c r="U34" s="55"/>
      <c r="V34" s="55"/>
      <c r="W34" s="54"/>
    </row>
    <row r="35" spans="1:23" s="53" customFormat="1" ht="25" hidden="1" customHeight="1" x14ac:dyDescent="0.35">
      <c r="A35" s="357" t="s">
        <v>39</v>
      </c>
      <c r="B35" s="57">
        <v>6427310</v>
      </c>
      <c r="C35" s="56" t="s">
        <v>38</v>
      </c>
      <c r="D35" s="346"/>
      <c r="E35" s="188">
        <f>SUMIFS(HSBC!$I$85:$I$182,HSBC!$G$85:$G$182,'General-Budget 2018 - SF'!$A35)</f>
        <v>0</v>
      </c>
      <c r="F35" s="203"/>
      <c r="G35" s="226">
        <f>SUM(J35:U35)</f>
        <v>0</v>
      </c>
      <c r="H35" s="227">
        <f t="shared" si="5"/>
        <v>0</v>
      </c>
      <c r="I35" s="228">
        <f>G35/12</f>
        <v>0</v>
      </c>
      <c r="J35" s="55"/>
      <c r="K35" s="55"/>
      <c r="L35" s="55"/>
      <c r="M35" s="55"/>
      <c r="N35" s="55"/>
      <c r="O35" s="55"/>
      <c r="P35" s="55"/>
      <c r="Q35" s="55"/>
      <c r="R35" s="55"/>
      <c r="S35" s="55"/>
      <c r="T35" s="55"/>
      <c r="U35" s="55"/>
      <c r="V35" s="55"/>
      <c r="W35" s="54"/>
    </row>
    <row r="36" spans="1:23" s="21" customFormat="1" ht="25" hidden="1" customHeight="1" x14ac:dyDescent="0.35">
      <c r="A36" s="356" t="s">
        <v>37</v>
      </c>
      <c r="B36" s="30"/>
      <c r="C36" s="64" t="s">
        <v>36</v>
      </c>
      <c r="D36" s="345"/>
      <c r="E36" s="188">
        <f>SUMIFS(HSBC!$I$85:$I$182,HSBC!$G$85:$G$182,'General-Budget 2018 - SF'!$A36)</f>
        <v>0</v>
      </c>
      <c r="F36" s="202"/>
      <c r="G36" s="225">
        <f>SUM(G37:G38)</f>
        <v>0</v>
      </c>
      <c r="H36" s="222">
        <f t="shared" si="5"/>
        <v>0</v>
      </c>
      <c r="I36" s="225">
        <f t="shared" ref="I36:U36" si="11">SUM(I37:I38)</f>
        <v>0</v>
      </c>
      <c r="J36" s="28">
        <f>SUM(J37:J38)</f>
        <v>0</v>
      </c>
      <c r="K36" s="28">
        <f t="shared" si="11"/>
        <v>0</v>
      </c>
      <c r="L36" s="28">
        <f t="shared" si="11"/>
        <v>0</v>
      </c>
      <c r="M36" s="28">
        <f t="shared" si="11"/>
        <v>0</v>
      </c>
      <c r="N36" s="28">
        <f t="shared" si="11"/>
        <v>0</v>
      </c>
      <c r="O36" s="28">
        <f t="shared" si="11"/>
        <v>0</v>
      </c>
      <c r="P36" s="28">
        <f t="shared" si="11"/>
        <v>0</v>
      </c>
      <c r="Q36" s="27">
        <f t="shared" si="11"/>
        <v>0</v>
      </c>
      <c r="R36" s="28">
        <f t="shared" si="11"/>
        <v>0</v>
      </c>
      <c r="S36" s="28">
        <f t="shared" si="11"/>
        <v>0</v>
      </c>
      <c r="T36" s="28">
        <f t="shared" si="11"/>
        <v>0</v>
      </c>
      <c r="U36" s="28">
        <f t="shared" si="11"/>
        <v>0</v>
      </c>
      <c r="V36" s="28"/>
      <c r="W36" s="3" t="s">
        <v>530</v>
      </c>
    </row>
    <row r="37" spans="1:23" s="53" customFormat="1" ht="25" hidden="1" customHeight="1" x14ac:dyDescent="0.35">
      <c r="A37" s="357" t="s">
        <v>35</v>
      </c>
      <c r="B37" s="30">
        <v>6427311</v>
      </c>
      <c r="C37" s="56" t="s">
        <v>34</v>
      </c>
      <c r="D37" s="346"/>
      <c r="E37" s="188">
        <f>SUMIFS(HSBC!$I$85:$I$182,HSBC!$G$85:$G$182,'General-Budget 2018 - SF'!$A37)</f>
        <v>0</v>
      </c>
      <c r="F37" s="203"/>
      <c r="G37" s="226">
        <f>SUM(J37:U37)</f>
        <v>0</v>
      </c>
      <c r="H37" s="227">
        <f t="shared" si="5"/>
        <v>0</v>
      </c>
      <c r="I37" s="228">
        <f>G37/12</f>
        <v>0</v>
      </c>
      <c r="J37" s="55"/>
      <c r="K37" s="55"/>
      <c r="L37" s="55"/>
      <c r="M37" s="55"/>
      <c r="N37" s="55"/>
      <c r="O37" s="55"/>
      <c r="P37" s="55"/>
      <c r="Q37" s="27"/>
      <c r="R37" s="55"/>
      <c r="S37" s="55"/>
      <c r="T37" s="55"/>
      <c r="U37" s="55"/>
      <c r="V37" s="55"/>
      <c r="W37" s="54"/>
    </row>
    <row r="38" spans="1:23" s="53" customFormat="1" ht="25" hidden="1" customHeight="1" x14ac:dyDescent="0.35">
      <c r="A38" s="357" t="s">
        <v>33</v>
      </c>
      <c r="B38" s="30">
        <v>6427311</v>
      </c>
      <c r="C38" s="56" t="s">
        <v>32</v>
      </c>
      <c r="D38" s="346"/>
      <c r="E38" s="188">
        <f>SUMIFS(HSBC!$I$85:$I$182,HSBC!$G$85:$G$182,'General-Budget 2018 - SF'!$A38)</f>
        <v>0</v>
      </c>
      <c r="F38" s="203"/>
      <c r="G38" s="226">
        <f>SUM(J38:U38)</f>
        <v>0</v>
      </c>
      <c r="H38" s="227">
        <f t="shared" si="5"/>
        <v>0</v>
      </c>
      <c r="I38" s="228">
        <f>G38/12</f>
        <v>0</v>
      </c>
      <c r="J38" s="55"/>
      <c r="K38" s="55"/>
      <c r="L38" s="55"/>
      <c r="M38" s="55"/>
      <c r="N38" s="55"/>
      <c r="O38" s="55"/>
      <c r="P38" s="55"/>
      <c r="Q38" s="27"/>
      <c r="R38" s="55"/>
      <c r="S38" s="55"/>
      <c r="T38" s="55"/>
      <c r="U38" s="55"/>
      <c r="V38" s="55"/>
      <c r="W38" s="54"/>
    </row>
    <row r="39" spans="1:23" s="21" customFormat="1" ht="25" hidden="1" customHeight="1" x14ac:dyDescent="0.35">
      <c r="A39" s="356" t="s">
        <v>31</v>
      </c>
      <c r="B39" s="30"/>
      <c r="C39" s="64" t="s">
        <v>30</v>
      </c>
      <c r="D39" s="345"/>
      <c r="E39" s="188">
        <f>SUMIFS(HSBC!$I$85:$I$182,HSBC!$G$85:$G$182,'General-Budget 2018 - SF'!$A39)</f>
        <v>0</v>
      </c>
      <c r="F39" s="202"/>
      <c r="G39" s="225">
        <f>SUM(G40:G41)</f>
        <v>0</v>
      </c>
      <c r="H39" s="222">
        <f t="shared" si="5"/>
        <v>0</v>
      </c>
      <c r="I39" s="221">
        <f t="shared" ref="I39:U39" si="12">SUM(I40:I41)</f>
        <v>0</v>
      </c>
      <c r="J39" s="27">
        <f>SUM(J40:J41)</f>
        <v>0</v>
      </c>
      <c r="K39" s="27">
        <f t="shared" si="12"/>
        <v>0</v>
      </c>
      <c r="L39" s="27">
        <f t="shared" si="12"/>
        <v>0</v>
      </c>
      <c r="M39" s="27">
        <f t="shared" si="12"/>
        <v>0</v>
      </c>
      <c r="N39" s="27">
        <f t="shared" si="12"/>
        <v>0</v>
      </c>
      <c r="O39" s="27">
        <f t="shared" si="12"/>
        <v>0</v>
      </c>
      <c r="P39" s="27">
        <f t="shared" si="12"/>
        <v>0</v>
      </c>
      <c r="Q39" s="27">
        <f t="shared" si="12"/>
        <v>0</v>
      </c>
      <c r="R39" s="27">
        <f t="shared" si="12"/>
        <v>0</v>
      </c>
      <c r="S39" s="27">
        <f t="shared" si="12"/>
        <v>0</v>
      </c>
      <c r="T39" s="27">
        <f t="shared" si="12"/>
        <v>0</v>
      </c>
      <c r="U39" s="27">
        <f t="shared" si="12"/>
        <v>0</v>
      </c>
      <c r="V39" s="27"/>
      <c r="W39" s="3" t="s">
        <v>530</v>
      </c>
    </row>
    <row r="40" spans="1:23" s="53" customFormat="1" ht="25" hidden="1" customHeight="1" x14ac:dyDescent="0.35">
      <c r="A40" s="357" t="s">
        <v>29</v>
      </c>
      <c r="B40" s="57"/>
      <c r="C40" s="56" t="s">
        <v>27</v>
      </c>
      <c r="D40" s="346"/>
      <c r="E40" s="188">
        <f>SUMIFS(HSBC!$I$85:$I$182,HSBC!$G$85:$G$182,'General-Budget 2018 - SF'!$A40)</f>
        <v>0</v>
      </c>
      <c r="F40" s="203"/>
      <c r="G40" s="226">
        <f t="shared" ref="G40:G69" si="13">SUM(J40:U40)</f>
        <v>0</v>
      </c>
      <c r="H40" s="227">
        <f t="shared" si="5"/>
        <v>0</v>
      </c>
      <c r="I40" s="228">
        <f t="shared" ref="I40:I69" si="14">G40/12</f>
        <v>0</v>
      </c>
      <c r="J40" s="55"/>
      <c r="K40" s="55"/>
      <c r="L40" s="55"/>
      <c r="M40" s="55"/>
      <c r="N40" s="55"/>
      <c r="O40" s="55"/>
      <c r="P40" s="55"/>
      <c r="Q40" s="27"/>
      <c r="R40" s="55"/>
      <c r="S40" s="55"/>
      <c r="T40" s="55"/>
      <c r="U40" s="55"/>
      <c r="V40" s="55"/>
      <c r="W40" s="54"/>
    </row>
    <row r="41" spans="1:23" s="53" customFormat="1" ht="25" hidden="1" customHeight="1" x14ac:dyDescent="0.35">
      <c r="A41" s="357" t="s">
        <v>28</v>
      </c>
      <c r="B41" s="57"/>
      <c r="C41" s="56" t="s">
        <v>529</v>
      </c>
      <c r="D41" s="346"/>
      <c r="E41" s="188">
        <f>SUMIFS(HSBC!$I$85:$I$182,HSBC!$G$85:$G$182,'General-Budget 2018 - SF'!$A41)</f>
        <v>0</v>
      </c>
      <c r="F41" s="203"/>
      <c r="G41" s="226">
        <f t="shared" si="13"/>
        <v>0</v>
      </c>
      <c r="H41" s="227">
        <f t="shared" si="5"/>
        <v>0</v>
      </c>
      <c r="I41" s="228">
        <f t="shared" si="14"/>
        <v>0</v>
      </c>
      <c r="J41" s="55"/>
      <c r="K41" s="55"/>
      <c r="L41" s="55"/>
      <c r="M41" s="55"/>
      <c r="N41" s="55"/>
      <c r="O41" s="55"/>
      <c r="P41" s="55"/>
      <c r="Q41" s="27"/>
      <c r="R41" s="55"/>
      <c r="S41" s="55"/>
      <c r="T41" s="55"/>
      <c r="U41" s="55"/>
      <c r="V41" s="55"/>
      <c r="W41" s="54"/>
    </row>
    <row r="42" spans="1:23" s="21" customFormat="1" ht="25" hidden="1" customHeight="1" x14ac:dyDescent="0.35">
      <c r="A42" s="356" t="s">
        <v>26</v>
      </c>
      <c r="B42" s="30"/>
      <c r="C42" s="64" t="s">
        <v>25</v>
      </c>
      <c r="D42" s="345"/>
      <c r="E42" s="188">
        <f>SUMIFS(HSBC!$I$85:$I$182,HSBC!$G$85:$G$182,'General-Budget 2018 - SF'!$A42)</f>
        <v>0</v>
      </c>
      <c r="F42" s="202"/>
      <c r="G42" s="225">
        <f t="shared" si="13"/>
        <v>0</v>
      </c>
      <c r="H42" s="222">
        <f t="shared" si="5"/>
        <v>0</v>
      </c>
      <c r="I42" s="221">
        <f t="shared" si="14"/>
        <v>0</v>
      </c>
      <c r="J42" s="27"/>
      <c r="K42" s="27"/>
      <c r="L42" s="27"/>
      <c r="M42" s="27"/>
      <c r="N42" s="27"/>
      <c r="O42" s="27"/>
      <c r="P42" s="27"/>
      <c r="Q42" s="27"/>
      <c r="R42" s="27"/>
      <c r="S42" s="27"/>
      <c r="T42" s="27"/>
      <c r="U42" s="27"/>
      <c r="V42" s="27"/>
      <c r="W42" s="3" t="s">
        <v>530</v>
      </c>
    </row>
    <row r="43" spans="1:23" s="21" customFormat="1" ht="25" hidden="1" customHeight="1" x14ac:dyDescent="0.35">
      <c r="A43" s="356" t="s">
        <v>24</v>
      </c>
      <c r="B43" s="30"/>
      <c r="C43" s="64" t="s">
        <v>23</v>
      </c>
      <c r="D43" s="345"/>
      <c r="E43" s="188">
        <f>SUMIFS(HSBC!$I$85:$I$182,HSBC!$G$85:$G$182,'General-Budget 2018 - SF'!$A43)</f>
        <v>0</v>
      </c>
      <c r="F43" s="202"/>
      <c r="G43" s="225">
        <f t="shared" si="13"/>
        <v>0</v>
      </c>
      <c r="H43" s="222">
        <f t="shared" si="5"/>
        <v>0</v>
      </c>
      <c r="I43" s="221">
        <f t="shared" si="14"/>
        <v>0</v>
      </c>
      <c r="J43" s="27"/>
      <c r="K43" s="27"/>
      <c r="L43" s="27"/>
      <c r="M43" s="27"/>
      <c r="N43" s="27"/>
      <c r="O43" s="27"/>
      <c r="P43" s="27"/>
      <c r="Q43" s="27"/>
      <c r="R43" s="27"/>
      <c r="S43" s="27"/>
      <c r="T43" s="27"/>
      <c r="U43" s="27"/>
      <c r="V43" s="27"/>
      <c r="W43" s="3" t="s">
        <v>532</v>
      </c>
    </row>
    <row r="44" spans="1:23" s="21" customFormat="1" ht="25" customHeight="1" x14ac:dyDescent="0.35">
      <c r="A44" s="356" t="s">
        <v>22</v>
      </c>
      <c r="B44" s="30"/>
      <c r="C44" s="64" t="s">
        <v>21</v>
      </c>
      <c r="D44" s="345"/>
      <c r="E44" s="188">
        <f>SUMIFS(HSBC!$I$85:$I$182,HSBC!$G$85:$G$182,'General-Budget 2018 - SF'!$A44)</f>
        <v>0</v>
      </c>
      <c r="F44" s="202"/>
      <c r="G44" s="225">
        <f t="shared" si="13"/>
        <v>0</v>
      </c>
      <c r="H44" s="222">
        <f t="shared" si="5"/>
        <v>0</v>
      </c>
      <c r="I44" s="221">
        <f t="shared" si="14"/>
        <v>0</v>
      </c>
      <c r="J44" s="27"/>
      <c r="K44" s="27"/>
      <c r="L44" s="27"/>
      <c r="M44" s="27"/>
      <c r="N44" s="27"/>
      <c r="O44" s="27"/>
      <c r="P44" s="27"/>
      <c r="Q44" s="27"/>
      <c r="R44" s="27"/>
      <c r="S44" s="27"/>
      <c r="T44" s="27"/>
      <c r="U44" s="27"/>
      <c r="V44" s="27"/>
      <c r="W44" s="3" t="s">
        <v>530</v>
      </c>
    </row>
    <row r="45" spans="1:23" s="21" customFormat="1" ht="25" customHeight="1" x14ac:dyDescent="0.35">
      <c r="A45" s="356" t="s">
        <v>20</v>
      </c>
      <c r="B45" s="30">
        <v>6427315</v>
      </c>
      <c r="C45" s="64" t="s">
        <v>19</v>
      </c>
      <c r="D45" s="342">
        <f>SUBTOTAL(9,D46:D67)</f>
        <v>11567820049</v>
      </c>
      <c r="E45" s="188">
        <f>SUMIFS(HSBC!$I$85:$I$182,HSBC!$G$85:$G$182,'General-Budget 2018 - SF'!$A45)</f>
        <v>104500000</v>
      </c>
      <c r="F45" s="202">
        <f>SUBTOTAL(9,F46:F67)+'Pending not yet paid'!J17</f>
        <v>247183200</v>
      </c>
      <c r="G45" s="225">
        <f>SUM(J45:U45)</f>
        <v>1018000000.0000004</v>
      </c>
      <c r="H45" s="222">
        <f>IF(F45=0,0,(G45-F45)/F45)</f>
        <v>3.1184028688033827</v>
      </c>
      <c r="I45" s="221">
        <f>G45/12</f>
        <v>84833333.333333358</v>
      </c>
      <c r="J45" s="27">
        <f>'Allocation - SF'!H31</f>
        <v>84833333.333333343</v>
      </c>
      <c r="K45" s="27">
        <f>'Allocation - SF'!I31</f>
        <v>84833333.333333343</v>
      </c>
      <c r="L45" s="27">
        <f>'Allocation - SF'!J31</f>
        <v>84833333.333333343</v>
      </c>
      <c r="M45" s="27">
        <f>'Allocation - SF'!K31</f>
        <v>84833333.333333343</v>
      </c>
      <c r="N45" s="27">
        <f>'Allocation - SF'!L31</f>
        <v>84833333.333333343</v>
      </c>
      <c r="O45" s="27">
        <f>'Allocation - SF'!M31</f>
        <v>84833333.333333343</v>
      </c>
      <c r="P45" s="27">
        <f>'Allocation - SF'!N31</f>
        <v>84833333.333333343</v>
      </c>
      <c r="Q45" s="27">
        <f>'Allocation - SF'!O31</f>
        <v>84833333.333333343</v>
      </c>
      <c r="R45" s="27">
        <f>'Allocation - SF'!P31</f>
        <v>84833333.333333343</v>
      </c>
      <c r="S45" s="27">
        <f>'Allocation - SF'!Q31</f>
        <v>84833333.333333343</v>
      </c>
      <c r="T45" s="27">
        <f>'Allocation - SF'!R31</f>
        <v>84833333.333333343</v>
      </c>
      <c r="U45" s="27">
        <f>'Allocation - SF'!S31</f>
        <v>84833333.333333343</v>
      </c>
      <c r="V45" s="317" t="s">
        <v>891</v>
      </c>
      <c r="W45" s="3" t="s">
        <v>530</v>
      </c>
    </row>
    <row r="46" spans="1:23" s="21" customFormat="1" ht="25" hidden="1" customHeight="1" x14ac:dyDescent="0.35">
      <c r="A46" s="356"/>
      <c r="B46" s="30"/>
      <c r="C46" s="496" t="s">
        <v>623</v>
      </c>
      <c r="D46" s="497">
        <v>7200000000</v>
      </c>
      <c r="E46" s="584">
        <f>SUMIFS(HSBC!$I$85:$I$182,HSBC!$G$85:$G$182,'General-Budget 2018 - SF'!$A46)</f>
        <v>0</v>
      </c>
      <c r="F46" s="585"/>
      <c r="G46" s="586">
        <v>2400000000</v>
      </c>
      <c r="H46" s="587"/>
      <c r="I46" s="588"/>
      <c r="J46" s="27"/>
      <c r="K46" s="27"/>
      <c r="L46" s="27"/>
      <c r="M46" s="27"/>
      <c r="N46" s="27"/>
      <c r="O46" s="27"/>
      <c r="P46" s="27"/>
      <c r="Q46" s="27"/>
      <c r="R46" s="27"/>
      <c r="S46" s="27"/>
      <c r="T46" s="27"/>
      <c r="U46" s="27"/>
      <c r="V46" s="27"/>
      <c r="W46" s="3"/>
    </row>
    <row r="47" spans="1:23" s="21" customFormat="1" ht="25" hidden="1" customHeight="1" x14ac:dyDescent="0.35">
      <c r="A47" s="356"/>
      <c r="B47" s="30"/>
      <c r="C47" s="496" t="s">
        <v>624</v>
      </c>
      <c r="D47" s="497">
        <v>1560000000</v>
      </c>
      <c r="E47" s="584">
        <f>SUMIFS(HSBC!$I$85:$I$182,HSBC!$G$85:$G$182,'General-Budget 2018 - SF'!$A47)</f>
        <v>0</v>
      </c>
      <c r="F47" s="585"/>
      <c r="G47" s="586">
        <v>1560000000</v>
      </c>
      <c r="H47" s="587"/>
      <c r="I47" s="588"/>
      <c r="J47" s="27"/>
      <c r="K47" s="27"/>
      <c r="L47" s="27"/>
      <c r="M47" s="27"/>
      <c r="N47" s="27"/>
      <c r="O47" s="27"/>
      <c r="P47" s="27"/>
      <c r="Q47" s="27"/>
      <c r="R47" s="27"/>
      <c r="S47" s="27"/>
      <c r="T47" s="27"/>
      <c r="U47" s="27"/>
      <c r="V47" s="27"/>
      <c r="W47" s="3"/>
    </row>
    <row r="48" spans="1:23" s="21" customFormat="1" ht="25" hidden="1" customHeight="1" x14ac:dyDescent="0.35">
      <c r="A48" s="356"/>
      <c r="B48" s="30"/>
      <c r="C48" s="496" t="s">
        <v>642</v>
      </c>
      <c r="D48" s="497">
        <v>260000000</v>
      </c>
      <c r="E48" s="584">
        <f>SUMIFS(HSBC!$I$85:$I$182,HSBC!$G$85:$G$182,'General-Budget 2018 - SF'!$A48)</f>
        <v>0</v>
      </c>
      <c r="F48" s="585"/>
      <c r="G48" s="586">
        <v>280000000</v>
      </c>
      <c r="H48" s="587"/>
      <c r="I48" s="588"/>
      <c r="J48" s="27"/>
      <c r="K48" s="27"/>
      <c r="L48" s="27"/>
      <c r="M48" s="27"/>
      <c r="N48" s="27"/>
      <c r="O48" s="27"/>
      <c r="P48" s="27"/>
      <c r="Q48" s="27"/>
      <c r="R48" s="27"/>
      <c r="S48" s="27"/>
      <c r="T48" s="27"/>
      <c r="U48" s="27"/>
      <c r="V48" s="27"/>
      <c r="W48" s="3"/>
    </row>
    <row r="49" spans="1:23" s="21" customFormat="1" ht="25" hidden="1" customHeight="1" x14ac:dyDescent="0.35">
      <c r="A49" s="356"/>
      <c r="B49" s="30"/>
      <c r="C49" s="496" t="s">
        <v>354</v>
      </c>
      <c r="D49" s="497">
        <v>530600000</v>
      </c>
      <c r="E49" s="584">
        <f>SUMIFS(HSBC!$I$85:$I$182,HSBC!$G$85:$G$182,'General-Budget 2018 - SF'!$A49)</f>
        <v>0</v>
      </c>
      <c r="F49" s="585"/>
      <c r="G49" s="586">
        <v>550000000</v>
      </c>
      <c r="H49" s="587"/>
      <c r="I49" s="588"/>
      <c r="J49" s="27"/>
      <c r="K49" s="27"/>
      <c r="L49" s="27"/>
      <c r="M49" s="27"/>
      <c r="N49" s="27"/>
      <c r="O49" s="27"/>
      <c r="P49" s="27"/>
      <c r="Q49" s="27"/>
      <c r="R49" s="27"/>
      <c r="S49" s="27"/>
      <c r="T49" s="27"/>
      <c r="U49" s="27"/>
      <c r="V49" s="27"/>
      <c r="W49" s="3"/>
    </row>
    <row r="50" spans="1:23" s="21" customFormat="1" ht="25" hidden="1" customHeight="1" x14ac:dyDescent="0.35">
      <c r="A50" s="356"/>
      <c r="B50" s="30"/>
      <c r="C50" s="496" t="s">
        <v>625</v>
      </c>
      <c r="D50" s="497">
        <v>239875000</v>
      </c>
      <c r="E50" s="584">
        <f>SUMIFS(HSBC!$I$85:$I$182,HSBC!$G$85:$G$182,'General-Budget 2018 - SF'!$A50)</f>
        <v>0</v>
      </c>
      <c r="F50" s="585"/>
      <c r="G50" s="586"/>
      <c r="H50" s="587"/>
      <c r="I50" s="588"/>
      <c r="J50" s="27"/>
      <c r="K50" s="27"/>
      <c r="L50" s="27"/>
      <c r="M50" s="27"/>
      <c r="N50" s="27"/>
      <c r="O50" s="27"/>
      <c r="P50" s="27"/>
      <c r="Q50" s="27"/>
      <c r="R50" s="27"/>
      <c r="S50" s="27"/>
      <c r="T50" s="27"/>
      <c r="U50" s="27"/>
      <c r="V50" s="27"/>
      <c r="W50" s="3"/>
    </row>
    <row r="51" spans="1:23" s="21" customFormat="1" ht="25" hidden="1" customHeight="1" x14ac:dyDescent="0.35">
      <c r="A51" s="356"/>
      <c r="B51" s="30"/>
      <c r="C51" s="496" t="s">
        <v>511</v>
      </c>
      <c r="D51" s="497">
        <v>225000000</v>
      </c>
      <c r="E51" s="584">
        <f>SUMIFS(HSBC!$I$85:$I$182,HSBC!$G$85:$G$182,'General-Budget 2018 - SF'!$A51)</f>
        <v>0</v>
      </c>
      <c r="F51" s="585">
        <v>227383200</v>
      </c>
      <c r="G51" s="586"/>
      <c r="H51" s="587"/>
      <c r="I51" s="588"/>
      <c r="J51" s="27"/>
      <c r="K51" s="27"/>
      <c r="L51" s="27"/>
      <c r="M51" s="27"/>
      <c r="N51" s="27"/>
      <c r="O51" s="27"/>
      <c r="P51" s="27"/>
      <c r="Q51" s="27"/>
      <c r="R51" s="27"/>
      <c r="S51" s="27"/>
      <c r="T51" s="27"/>
      <c r="U51" s="27"/>
      <c r="V51" s="27"/>
      <c r="W51" s="3"/>
    </row>
    <row r="52" spans="1:23" s="21" customFormat="1" ht="25" hidden="1" customHeight="1" x14ac:dyDescent="0.35">
      <c r="A52" s="356"/>
      <c r="B52" s="30"/>
      <c r="C52" s="496" t="s">
        <v>626</v>
      </c>
      <c r="D52" s="497">
        <v>204098549</v>
      </c>
      <c r="E52" s="584">
        <f>SUMIFS(HSBC!$I$85:$I$182,HSBC!$G$85:$G$182,'General-Budget 2018 - SF'!$A52)</f>
        <v>0</v>
      </c>
      <c r="F52" s="585"/>
      <c r="G52" s="586"/>
      <c r="H52" s="587"/>
      <c r="I52" s="588"/>
      <c r="J52" s="27"/>
      <c r="K52" s="27"/>
      <c r="L52" s="27"/>
      <c r="M52" s="27"/>
      <c r="N52" s="27"/>
      <c r="O52" s="27"/>
      <c r="P52" s="27"/>
      <c r="Q52" s="27"/>
      <c r="R52" s="27"/>
      <c r="S52" s="27"/>
      <c r="T52" s="27"/>
      <c r="U52" s="27"/>
      <c r="V52" s="27"/>
      <c r="W52" s="3"/>
    </row>
    <row r="53" spans="1:23" s="21" customFormat="1" ht="25" hidden="1" customHeight="1" x14ac:dyDescent="0.35">
      <c r="A53" s="356"/>
      <c r="B53" s="30"/>
      <c r="C53" s="496" t="s">
        <v>627</v>
      </c>
      <c r="D53" s="497">
        <v>185744000</v>
      </c>
      <c r="E53" s="584">
        <f>SUMIFS(HSBC!$I$85:$I$182,HSBC!$G$85:$G$182,'General-Budget 2018 - SF'!$A53)</f>
        <v>0</v>
      </c>
      <c r="F53" s="585"/>
      <c r="G53" s="586"/>
      <c r="H53" s="587"/>
      <c r="I53" s="588"/>
      <c r="J53" s="27"/>
      <c r="K53" s="27"/>
      <c r="L53" s="27"/>
      <c r="M53" s="27"/>
      <c r="N53" s="27"/>
      <c r="O53" s="27"/>
      <c r="P53" s="27"/>
      <c r="Q53" s="27"/>
      <c r="R53" s="27"/>
      <c r="S53" s="27"/>
      <c r="T53" s="27"/>
      <c r="U53" s="27"/>
      <c r="V53" s="27"/>
      <c r="W53" s="3"/>
    </row>
    <row r="54" spans="1:23" s="21" customFormat="1" ht="25" hidden="1" customHeight="1" x14ac:dyDescent="0.35">
      <c r="A54" s="356"/>
      <c r="B54" s="30"/>
      <c r="C54" s="496" t="s">
        <v>628</v>
      </c>
      <c r="D54" s="497">
        <v>120000000</v>
      </c>
      <c r="E54" s="584">
        <f>SUMIFS(HSBC!$I$85:$I$182,HSBC!$G$85:$G$182,'General-Budget 2018 - SF'!$A54)</f>
        <v>0</v>
      </c>
      <c r="F54" s="585"/>
      <c r="G54" s="586"/>
      <c r="H54" s="587"/>
      <c r="I54" s="588"/>
      <c r="J54" s="27"/>
      <c r="K54" s="27"/>
      <c r="L54" s="27"/>
      <c r="M54" s="27"/>
      <c r="N54" s="27"/>
      <c r="O54" s="27"/>
      <c r="P54" s="27"/>
      <c r="Q54" s="27"/>
      <c r="R54" s="27"/>
      <c r="S54" s="27"/>
      <c r="T54" s="27"/>
      <c r="U54" s="27"/>
      <c r="V54" s="27"/>
      <c r="W54" s="3"/>
    </row>
    <row r="55" spans="1:23" s="21" customFormat="1" ht="25" hidden="1" customHeight="1" x14ac:dyDescent="0.35">
      <c r="A55" s="356"/>
      <c r="B55" s="30"/>
      <c r="C55" s="496" t="s">
        <v>629</v>
      </c>
      <c r="D55" s="497">
        <v>100000000</v>
      </c>
      <c r="E55" s="584">
        <f>SUMIFS(HSBC!$I$85:$I$182,HSBC!$G$85:$G$182,'General-Budget 2018 - SF'!$A55)</f>
        <v>0</v>
      </c>
      <c r="F55" s="585"/>
      <c r="G55" s="586"/>
      <c r="H55" s="587"/>
      <c r="I55" s="588"/>
      <c r="J55" s="27"/>
      <c r="K55" s="27"/>
      <c r="L55" s="27"/>
      <c r="M55" s="27"/>
      <c r="N55" s="27"/>
      <c r="O55" s="27"/>
      <c r="P55" s="27"/>
      <c r="Q55" s="27"/>
      <c r="R55" s="27"/>
      <c r="S55" s="27"/>
      <c r="T55" s="27"/>
      <c r="U55" s="27"/>
      <c r="V55" s="27"/>
      <c r="W55" s="3"/>
    </row>
    <row r="56" spans="1:23" s="21" customFormat="1" ht="25" hidden="1" customHeight="1" x14ac:dyDescent="0.35">
      <c r="A56" s="356"/>
      <c r="B56" s="30"/>
      <c r="C56" s="496" t="s">
        <v>630</v>
      </c>
      <c r="D56" s="497">
        <v>96187500</v>
      </c>
      <c r="E56" s="584">
        <f>SUMIFS(HSBC!$I$85:$I$182,HSBC!$G$85:$G$182,'General-Budget 2018 - SF'!$A56)</f>
        <v>0</v>
      </c>
      <c r="F56" s="585"/>
      <c r="G56" s="586"/>
      <c r="H56" s="587"/>
      <c r="I56" s="588"/>
      <c r="J56" s="27"/>
      <c r="K56" s="27"/>
      <c r="L56" s="27"/>
      <c r="M56" s="27"/>
      <c r="N56" s="27"/>
      <c r="O56" s="27"/>
      <c r="P56" s="27"/>
      <c r="Q56" s="27"/>
      <c r="R56" s="27"/>
      <c r="S56" s="27"/>
      <c r="T56" s="27"/>
      <c r="U56" s="27"/>
      <c r="V56" s="27"/>
      <c r="W56" s="3"/>
    </row>
    <row r="57" spans="1:23" s="21" customFormat="1" ht="25" hidden="1" customHeight="1" x14ac:dyDescent="0.35">
      <c r="A57" s="356"/>
      <c r="B57" s="30"/>
      <c r="C57" s="496" t="s">
        <v>631</v>
      </c>
      <c r="D57" s="497">
        <v>81937500</v>
      </c>
      <c r="E57" s="584">
        <f>SUMIFS(HSBC!$I$85:$I$182,HSBC!$G$85:$G$182,'General-Budget 2018 - SF'!$A57)</f>
        <v>0</v>
      </c>
      <c r="F57" s="585"/>
      <c r="G57" s="586"/>
      <c r="H57" s="587"/>
      <c r="I57" s="588"/>
      <c r="J57" s="27"/>
      <c r="K57" s="27"/>
      <c r="L57" s="27"/>
      <c r="M57" s="27"/>
      <c r="N57" s="27"/>
      <c r="O57" s="27"/>
      <c r="P57" s="27"/>
      <c r="Q57" s="27"/>
      <c r="R57" s="27"/>
      <c r="S57" s="27"/>
      <c r="T57" s="27"/>
      <c r="U57" s="27"/>
      <c r="V57" s="27"/>
      <c r="W57" s="3"/>
    </row>
    <row r="58" spans="1:23" s="21" customFormat="1" ht="25" hidden="1" customHeight="1" x14ac:dyDescent="0.35">
      <c r="A58" s="356"/>
      <c r="B58" s="30"/>
      <c r="C58" s="496" t="s">
        <v>632</v>
      </c>
      <c r="D58" s="497">
        <v>80000000</v>
      </c>
      <c r="E58" s="584">
        <f>SUMIFS(HSBC!$I$85:$I$182,HSBC!$G$85:$G$182,'General-Budget 2018 - SF'!$A58)</f>
        <v>0</v>
      </c>
      <c r="F58" s="585"/>
      <c r="G58" s="586"/>
      <c r="H58" s="587"/>
      <c r="I58" s="588"/>
      <c r="J58" s="27"/>
      <c r="K58" s="27"/>
      <c r="L58" s="27"/>
      <c r="M58" s="27"/>
      <c r="N58" s="27"/>
      <c r="O58" s="27"/>
      <c r="P58" s="27"/>
      <c r="Q58" s="27"/>
      <c r="R58" s="27"/>
      <c r="S58" s="27"/>
      <c r="T58" s="27"/>
      <c r="U58" s="27"/>
      <c r="V58" s="27"/>
      <c r="W58" s="3"/>
    </row>
    <row r="59" spans="1:23" s="21" customFormat="1" ht="25" hidden="1" customHeight="1" x14ac:dyDescent="0.35">
      <c r="A59" s="356"/>
      <c r="B59" s="30"/>
      <c r="C59" s="496" t="s">
        <v>633</v>
      </c>
      <c r="D59" s="497">
        <v>80000000</v>
      </c>
      <c r="E59" s="584">
        <f>SUMIFS(HSBC!$I$85:$I$182,HSBC!$G$85:$G$182,'General-Budget 2018 - SF'!$A59)</f>
        <v>0</v>
      </c>
      <c r="F59" s="585"/>
      <c r="G59" s="586"/>
      <c r="H59" s="587"/>
      <c r="I59" s="588"/>
      <c r="J59" s="27"/>
      <c r="K59" s="27"/>
      <c r="L59" s="27"/>
      <c r="M59" s="27"/>
      <c r="N59" s="27"/>
      <c r="O59" s="27"/>
      <c r="P59" s="27"/>
      <c r="Q59" s="27"/>
      <c r="R59" s="27"/>
      <c r="S59" s="27"/>
      <c r="T59" s="27"/>
      <c r="U59" s="27"/>
      <c r="V59" s="27"/>
      <c r="W59" s="3"/>
    </row>
    <row r="60" spans="1:23" s="21" customFormat="1" ht="25" hidden="1" customHeight="1" x14ac:dyDescent="0.35">
      <c r="A60" s="356"/>
      <c r="B60" s="30"/>
      <c r="C60" s="496" t="s">
        <v>634</v>
      </c>
      <c r="D60" s="497">
        <v>70087500</v>
      </c>
      <c r="E60" s="584">
        <f>SUMIFS(HSBC!$I$85:$I$182,HSBC!$G$85:$G$182,'General-Budget 2018 - SF'!$A60)</f>
        <v>0</v>
      </c>
      <c r="F60" s="585"/>
      <c r="G60" s="586"/>
      <c r="H60" s="587"/>
      <c r="I60" s="588"/>
      <c r="J60" s="27"/>
      <c r="K60" s="27"/>
      <c r="L60" s="27"/>
      <c r="M60" s="27"/>
      <c r="N60" s="27"/>
      <c r="O60" s="27"/>
      <c r="P60" s="27"/>
      <c r="Q60" s="27"/>
      <c r="R60" s="27"/>
      <c r="S60" s="27"/>
      <c r="T60" s="27"/>
      <c r="U60" s="27"/>
      <c r="V60" s="27"/>
      <c r="W60" s="3"/>
    </row>
    <row r="61" spans="1:23" s="21" customFormat="1" ht="25" hidden="1" customHeight="1" x14ac:dyDescent="0.35">
      <c r="A61" s="356"/>
      <c r="B61" s="30"/>
      <c r="C61" s="496" t="s">
        <v>635</v>
      </c>
      <c r="D61" s="497">
        <v>61790000</v>
      </c>
      <c r="E61" s="584">
        <f>SUMIFS(HSBC!$I$85:$I$182,HSBC!$G$85:$G$182,'General-Budget 2018 - SF'!$A61)</f>
        <v>0</v>
      </c>
      <c r="F61" s="585"/>
      <c r="G61" s="586"/>
      <c r="H61" s="587"/>
      <c r="I61" s="588"/>
      <c r="J61" s="27"/>
      <c r="K61" s="27"/>
      <c r="L61" s="27"/>
      <c r="M61" s="27"/>
      <c r="N61" s="27"/>
      <c r="O61" s="27"/>
      <c r="P61" s="27"/>
      <c r="Q61" s="27"/>
      <c r="R61" s="27"/>
      <c r="S61" s="27"/>
      <c r="T61" s="27"/>
      <c r="U61" s="27"/>
      <c r="V61" s="27"/>
      <c r="W61" s="3"/>
    </row>
    <row r="62" spans="1:23" s="21" customFormat="1" ht="25" hidden="1" customHeight="1" x14ac:dyDescent="0.35">
      <c r="A62" s="356"/>
      <c r="B62" s="30"/>
      <c r="C62" s="496" t="s">
        <v>636</v>
      </c>
      <c r="D62" s="497">
        <v>58500000</v>
      </c>
      <c r="E62" s="584">
        <f>SUMIFS(HSBC!$I$85:$I$182,HSBC!$G$85:$G$182,'General-Budget 2018 - SF'!$A62)</f>
        <v>0</v>
      </c>
      <c r="F62" s="585"/>
      <c r="G62" s="586"/>
      <c r="H62" s="587"/>
      <c r="I62" s="588"/>
      <c r="J62" s="27"/>
      <c r="K62" s="27"/>
      <c r="L62" s="27"/>
      <c r="M62" s="27"/>
      <c r="N62" s="27"/>
      <c r="O62" s="27"/>
      <c r="P62" s="27"/>
      <c r="Q62" s="27"/>
      <c r="R62" s="27"/>
      <c r="S62" s="27"/>
      <c r="T62" s="27"/>
      <c r="U62" s="27"/>
      <c r="V62" s="27"/>
      <c r="W62" s="3"/>
    </row>
    <row r="63" spans="1:23" s="21" customFormat="1" ht="25" hidden="1" customHeight="1" x14ac:dyDescent="0.35">
      <c r="A63" s="356"/>
      <c r="B63" s="30"/>
      <c r="C63" s="496" t="s">
        <v>637</v>
      </c>
      <c r="D63" s="497">
        <v>55500000</v>
      </c>
      <c r="E63" s="584">
        <f>SUMIFS(HSBC!$I$85:$I$182,HSBC!$G$85:$G$182,'General-Budget 2018 - SF'!$A63)</f>
        <v>0</v>
      </c>
      <c r="F63" s="585"/>
      <c r="G63" s="586"/>
      <c r="H63" s="587"/>
      <c r="I63" s="588"/>
      <c r="J63" s="27"/>
      <c r="K63" s="27"/>
      <c r="L63" s="27"/>
      <c r="M63" s="27"/>
      <c r="N63" s="27"/>
      <c r="O63" s="27"/>
      <c r="P63" s="27"/>
      <c r="Q63" s="27"/>
      <c r="R63" s="27"/>
      <c r="S63" s="27"/>
      <c r="T63" s="27"/>
      <c r="U63" s="27"/>
      <c r="V63" s="27"/>
      <c r="W63" s="3"/>
    </row>
    <row r="64" spans="1:23" s="21" customFormat="1" ht="25" hidden="1" customHeight="1" x14ac:dyDescent="0.35">
      <c r="A64" s="356"/>
      <c r="B64" s="30"/>
      <c r="C64" s="498" t="s">
        <v>638</v>
      </c>
      <c r="D64" s="497"/>
      <c r="E64" s="584">
        <f>SUMIFS(HSBC!$I$85:$I$182,HSBC!$G$85:$G$182,'General-Budget 2018 - SF'!$A64)</f>
        <v>0</v>
      </c>
      <c r="F64" s="585"/>
      <c r="G64" s="586"/>
      <c r="H64" s="587"/>
      <c r="I64" s="588"/>
      <c r="J64" s="27"/>
      <c r="K64" s="27"/>
      <c r="L64" s="27"/>
      <c r="M64" s="27"/>
      <c r="N64" s="27"/>
      <c r="O64" s="27"/>
      <c r="P64" s="27"/>
      <c r="Q64" s="27"/>
      <c r="R64" s="27"/>
      <c r="S64" s="27"/>
      <c r="T64" s="27"/>
      <c r="U64" s="27"/>
      <c r="V64" s="27"/>
      <c r="W64" s="3"/>
    </row>
    <row r="65" spans="1:23" s="21" customFormat="1" ht="25" hidden="1" customHeight="1" x14ac:dyDescent="0.35">
      <c r="A65" s="356"/>
      <c r="B65" s="30"/>
      <c r="C65" s="496" t="s">
        <v>639</v>
      </c>
      <c r="D65" s="497">
        <v>201000000</v>
      </c>
      <c r="E65" s="584">
        <f>SUMIFS(HSBC!$I$85:$I$182,HSBC!$G$85:$G$182,'General-Budget 2018 - SF'!$A65)</f>
        <v>0</v>
      </c>
      <c r="F65" s="585"/>
      <c r="G65" s="586"/>
      <c r="H65" s="587"/>
      <c r="I65" s="588"/>
      <c r="J65" s="27"/>
      <c r="K65" s="27"/>
      <c r="L65" s="27"/>
      <c r="M65" s="27"/>
      <c r="N65" s="27"/>
      <c r="O65" s="27"/>
      <c r="P65" s="27"/>
      <c r="Q65" s="27"/>
      <c r="R65" s="27"/>
      <c r="S65" s="27"/>
      <c r="T65" s="27"/>
      <c r="U65" s="27"/>
      <c r="V65" s="27"/>
      <c r="W65" s="3"/>
    </row>
    <row r="66" spans="1:23" s="21" customFormat="1" ht="25" hidden="1" customHeight="1" x14ac:dyDescent="0.35">
      <c r="A66" s="356"/>
      <c r="B66" s="30"/>
      <c r="C66" s="496" t="s">
        <v>640</v>
      </c>
      <c r="D66" s="497">
        <v>105000000</v>
      </c>
      <c r="E66" s="584">
        <f>SUMIFS(HSBC!$I$85:$I$182,HSBC!$G$85:$G$182,'General-Budget 2018 - SF'!$A66)</f>
        <v>0</v>
      </c>
      <c r="F66" s="585"/>
      <c r="G66" s="586"/>
      <c r="H66" s="587"/>
      <c r="I66" s="588"/>
      <c r="J66" s="27"/>
      <c r="K66" s="27"/>
      <c r="L66" s="27"/>
      <c r="M66" s="27"/>
      <c r="N66" s="27"/>
      <c r="O66" s="27"/>
      <c r="P66" s="27"/>
      <c r="Q66" s="27"/>
      <c r="R66" s="27"/>
      <c r="S66" s="27"/>
      <c r="T66" s="27"/>
      <c r="U66" s="27"/>
      <c r="V66" s="27"/>
      <c r="W66" s="3"/>
    </row>
    <row r="67" spans="1:23" s="21" customFormat="1" ht="25" hidden="1" customHeight="1" x14ac:dyDescent="0.35">
      <c r="A67" s="356"/>
      <c r="B67" s="30"/>
      <c r="C67" s="496" t="s">
        <v>641</v>
      </c>
      <c r="D67" s="497">
        <v>52500000</v>
      </c>
      <c r="E67" s="584"/>
      <c r="F67" s="585"/>
      <c r="G67" s="586"/>
      <c r="H67" s="587"/>
      <c r="I67" s="588"/>
      <c r="J67" s="27"/>
      <c r="K67" s="27"/>
      <c r="L67" s="27"/>
      <c r="M67" s="27"/>
      <c r="N67" s="27"/>
      <c r="O67" s="27"/>
      <c r="P67" s="27"/>
      <c r="Q67" s="27"/>
      <c r="R67" s="27"/>
      <c r="S67" s="27"/>
      <c r="T67" s="27"/>
      <c r="U67" s="27"/>
      <c r="V67" s="27"/>
      <c r="W67" s="3"/>
    </row>
    <row r="68" spans="1:23" s="21" customFormat="1" ht="25" hidden="1" customHeight="1" x14ac:dyDescent="0.35">
      <c r="A68" s="356" t="s">
        <v>18</v>
      </c>
      <c r="B68" s="30">
        <v>6427316</v>
      </c>
      <c r="C68" s="64" t="s">
        <v>17</v>
      </c>
      <c r="D68" s="345"/>
      <c r="E68" s="188">
        <f>SUMIFS(HSBC!$I$85:$I$182,HSBC!$G$85:$G$182,'General-Budget 2018 - SF'!$A68)</f>
        <v>0</v>
      </c>
      <c r="F68" s="202"/>
      <c r="G68" s="225">
        <f t="shared" si="13"/>
        <v>0</v>
      </c>
      <c r="H68" s="222">
        <f>IF(F68=0,0,(G68-F68)/F68)</f>
        <v>0</v>
      </c>
      <c r="I68" s="221">
        <f t="shared" si="14"/>
        <v>0</v>
      </c>
      <c r="J68" s="27"/>
      <c r="K68" s="27"/>
      <c r="L68" s="27"/>
      <c r="M68" s="27"/>
      <c r="N68" s="27"/>
      <c r="O68" s="27"/>
      <c r="P68" s="27"/>
      <c r="Q68" s="27"/>
      <c r="R68" s="27"/>
      <c r="S68" s="27"/>
      <c r="T68" s="27"/>
      <c r="U68" s="27"/>
      <c r="V68" s="317"/>
      <c r="W68" s="3" t="s">
        <v>532</v>
      </c>
    </row>
    <row r="69" spans="1:23" s="21" customFormat="1" ht="25" hidden="1" customHeight="1" x14ac:dyDescent="0.35">
      <c r="A69" s="356" t="s">
        <v>16</v>
      </c>
      <c r="B69" s="30">
        <v>6427318</v>
      </c>
      <c r="C69" s="64" t="s">
        <v>15</v>
      </c>
      <c r="D69" s="345"/>
      <c r="E69" s="188">
        <f>SUMIFS(HSBC!$I$85:$I$182,HSBC!$G$85:$G$182,'General-Budget 2018 - SF'!$A69)</f>
        <v>0</v>
      </c>
      <c r="F69" s="202"/>
      <c r="G69" s="225">
        <f t="shared" si="13"/>
        <v>0</v>
      </c>
      <c r="H69" s="222">
        <f>IF(F69=0,0,(G69-F69)/F69)</f>
        <v>0</v>
      </c>
      <c r="I69" s="221">
        <f t="shared" si="14"/>
        <v>0</v>
      </c>
      <c r="J69" s="27"/>
      <c r="K69" s="27"/>
      <c r="L69" s="27"/>
      <c r="M69" s="27"/>
      <c r="N69" s="27"/>
      <c r="O69" s="27"/>
      <c r="P69" s="27"/>
      <c r="Q69" s="27"/>
      <c r="R69" s="27"/>
      <c r="S69" s="27"/>
      <c r="T69" s="27"/>
      <c r="U69" s="27"/>
      <c r="V69" s="27"/>
      <c r="W69" s="3" t="s">
        <v>532</v>
      </c>
    </row>
    <row r="70" spans="1:23" s="21" customFormat="1" ht="25" customHeight="1" x14ac:dyDescent="0.35">
      <c r="A70" s="52"/>
      <c r="B70" s="51"/>
      <c r="C70" s="50" t="s">
        <v>14</v>
      </c>
      <c r="D70" s="351">
        <f>SUM(D16:D17,D18,D21,D24:D26,D27,D30,D33,D36,D39,D42:D45,D68:D69)</f>
        <v>11567820049</v>
      </c>
      <c r="E70" s="351">
        <f>SUM(E16:E17,E18,E21,E24:E26,E27,E30,E33,E36,E39,E42:E45,E68:E69)</f>
        <v>884024812</v>
      </c>
      <c r="F70" s="351">
        <f>SUM(F16:F17,F18,F21,F24:F26,F27,F30,F33,F36,F39,F42:F45,F68:F69)</f>
        <v>1660943704</v>
      </c>
      <c r="G70" s="37">
        <f>SUM(G16:G17,G18,G21,G24:G26,G27,G30,G33,G36,G39,G42:G45,G68:G69)</f>
        <v>2089810000.0000005</v>
      </c>
      <c r="H70" s="350">
        <f>IF(F70=0,0,(G70-F70)/F70)</f>
        <v>0.25820640095577885</v>
      </c>
      <c r="I70" s="37">
        <f t="shared" ref="I70:U70" si="15">SUM(I16:I17,I18,I21,I24:I26,I27,I30,I33,I36,I39,I42:I69)</f>
        <v>174150833.33333337</v>
      </c>
      <c r="J70" s="49">
        <f t="shared" si="15"/>
        <v>174150833.33333334</v>
      </c>
      <c r="K70" s="49">
        <f t="shared" si="15"/>
        <v>174150833.33333334</v>
      </c>
      <c r="L70" s="49">
        <f t="shared" si="15"/>
        <v>174150833.33333334</v>
      </c>
      <c r="M70" s="49">
        <f t="shared" si="15"/>
        <v>174150833.33333334</v>
      </c>
      <c r="N70" s="49">
        <f t="shared" si="15"/>
        <v>174150833.33333334</v>
      </c>
      <c r="O70" s="49">
        <f t="shared" si="15"/>
        <v>174150833.33333334</v>
      </c>
      <c r="P70" s="49">
        <f t="shared" si="15"/>
        <v>174150833.33333334</v>
      </c>
      <c r="Q70" s="49">
        <f t="shared" si="15"/>
        <v>174150833.33333334</v>
      </c>
      <c r="R70" s="49">
        <f t="shared" si="15"/>
        <v>174150833.33333334</v>
      </c>
      <c r="S70" s="49">
        <f t="shared" si="15"/>
        <v>174150833.33333334</v>
      </c>
      <c r="T70" s="49">
        <f t="shared" si="15"/>
        <v>174150833.33333334</v>
      </c>
      <c r="U70" s="49">
        <f t="shared" si="15"/>
        <v>174150833.33333334</v>
      </c>
      <c r="V70" s="49"/>
      <c r="W70" s="3"/>
    </row>
    <row r="71" spans="1:23" s="39" customFormat="1" ht="5.15" customHeight="1" x14ac:dyDescent="0.35">
      <c r="A71" s="358"/>
      <c r="B71" s="43"/>
      <c r="C71" s="63"/>
      <c r="D71" s="193"/>
      <c r="E71" s="63"/>
      <c r="F71" s="193"/>
      <c r="G71" s="61"/>
      <c r="H71" s="207"/>
      <c r="I71" s="62"/>
      <c r="J71" s="61"/>
      <c r="K71" s="61"/>
      <c r="L71" s="61"/>
      <c r="M71" s="61"/>
      <c r="N71" s="61"/>
      <c r="O71" s="61"/>
      <c r="P71" s="61"/>
      <c r="Q71" s="61"/>
      <c r="R71" s="61"/>
      <c r="S71" s="60"/>
      <c r="T71" s="60"/>
      <c r="U71" s="60"/>
      <c r="V71" s="60"/>
      <c r="W71" s="40"/>
    </row>
    <row r="72" spans="1:23" s="44" customFormat="1" ht="25" customHeight="1" x14ac:dyDescent="0.35">
      <c r="A72" s="354"/>
      <c r="B72" s="38"/>
      <c r="C72" s="45" t="s">
        <v>1</v>
      </c>
      <c r="D72" s="337">
        <f>D70+D13</f>
        <v>11576130549</v>
      </c>
      <c r="E72" s="337">
        <f>E70+E13</f>
        <v>892335312</v>
      </c>
      <c r="F72" s="36">
        <f>F70+F13</f>
        <v>1670254204</v>
      </c>
      <c r="G72" s="36">
        <f>G70+G13</f>
        <v>2093990000.0000005</v>
      </c>
      <c r="H72" s="350">
        <f>IF(F72=0,0,(G72-F72)/F72)</f>
        <v>0.25369539258468493</v>
      </c>
      <c r="I72" s="36">
        <f t="shared" ref="I72:U72" si="16">I70+I13</f>
        <v>174499166.66666672</v>
      </c>
      <c r="J72" s="36">
        <f t="shared" si="16"/>
        <v>174315833.33333334</v>
      </c>
      <c r="K72" s="36">
        <f t="shared" si="16"/>
        <v>174315833.33333334</v>
      </c>
      <c r="L72" s="36">
        <f t="shared" si="16"/>
        <v>174865833.33333334</v>
      </c>
      <c r="M72" s="36">
        <f t="shared" si="16"/>
        <v>174315833.33333334</v>
      </c>
      <c r="N72" s="36">
        <f t="shared" si="16"/>
        <v>174315833.33333334</v>
      </c>
      <c r="O72" s="36">
        <f t="shared" si="16"/>
        <v>174865833.33333334</v>
      </c>
      <c r="P72" s="36">
        <f t="shared" si="16"/>
        <v>174315833.33333334</v>
      </c>
      <c r="Q72" s="36">
        <f t="shared" si="16"/>
        <v>174315833.33333334</v>
      </c>
      <c r="R72" s="36">
        <f t="shared" si="16"/>
        <v>174865833.33333334</v>
      </c>
      <c r="S72" s="36">
        <f t="shared" si="16"/>
        <v>174315833.33333334</v>
      </c>
      <c r="T72" s="36">
        <f t="shared" si="16"/>
        <v>174315833.33333334</v>
      </c>
      <c r="U72" s="36">
        <f t="shared" si="16"/>
        <v>174865833.33333334</v>
      </c>
      <c r="V72" s="36"/>
      <c r="W72" s="35"/>
    </row>
    <row r="73" spans="1:23" s="21" customFormat="1" ht="25" customHeight="1" x14ac:dyDescent="0.35">
      <c r="A73" s="359"/>
      <c r="B73" s="17"/>
      <c r="C73" s="13"/>
      <c r="D73" s="195"/>
      <c r="E73" s="13"/>
      <c r="F73" s="195"/>
      <c r="G73" s="16"/>
      <c r="H73" s="12"/>
      <c r="I73" s="16"/>
      <c r="J73" s="16"/>
      <c r="K73" s="16"/>
      <c r="L73" s="16"/>
      <c r="M73" s="16"/>
      <c r="N73" s="16"/>
      <c r="O73" s="16"/>
      <c r="P73" s="15"/>
      <c r="Q73" s="15"/>
      <c r="R73" s="15"/>
      <c r="S73" s="3"/>
      <c r="T73" s="3"/>
    </row>
    <row r="74" spans="1:23" s="21" customFormat="1" ht="25" customHeight="1" x14ac:dyDescent="0.35">
      <c r="B74" s="884"/>
      <c r="C74" s="640"/>
      <c r="D74" s="884"/>
      <c r="E74" s="640"/>
      <c r="F74" s="717"/>
      <c r="G74" s="861"/>
      <c r="H74" s="714"/>
      <c r="I74" s="16"/>
      <c r="J74" s="16"/>
      <c r="K74" s="16"/>
      <c r="L74" s="16"/>
      <c r="M74" s="16"/>
      <c r="N74" s="16"/>
      <c r="O74" s="16"/>
      <c r="P74" s="15"/>
      <c r="Q74" s="15"/>
      <c r="R74" s="15"/>
      <c r="S74" s="3"/>
      <c r="T74" s="3"/>
    </row>
    <row r="75" spans="1:23" s="21" customFormat="1" ht="25" customHeight="1" x14ac:dyDescent="0.35">
      <c r="A75" s="717"/>
      <c r="B75" s="717"/>
      <c r="C75" s="713"/>
      <c r="D75" s="717"/>
      <c r="E75" s="713"/>
      <c r="F75" s="714"/>
      <c r="G75" s="861"/>
      <c r="H75" s="714"/>
      <c r="I75" s="861"/>
      <c r="J75" s="861"/>
      <c r="K75" s="861"/>
      <c r="L75" s="861"/>
      <c r="M75" s="861"/>
      <c r="N75" s="861"/>
      <c r="O75" s="861"/>
      <c r="P75" s="862"/>
      <c r="Q75" s="862"/>
      <c r="R75" s="862"/>
      <c r="S75" s="636"/>
      <c r="T75" s="636"/>
      <c r="U75" s="709"/>
      <c r="V75" s="709"/>
    </row>
    <row r="76" spans="1:23" s="21" customFormat="1" ht="25" customHeight="1" x14ac:dyDescent="0.35">
      <c r="A76" s="281"/>
      <c r="B76" s="640"/>
      <c r="C76" s="640"/>
      <c r="D76" s="640"/>
      <c r="E76" s="640"/>
      <c r="F76" s="638"/>
      <c r="G76" s="16"/>
      <c r="H76" s="18"/>
      <c r="I76" s="16"/>
      <c r="J76" s="16"/>
      <c r="K76" s="16"/>
      <c r="L76" s="16"/>
      <c r="M76" s="16"/>
      <c r="N76" s="16"/>
      <c r="O76" s="16"/>
      <c r="P76" s="15"/>
      <c r="Q76" s="15"/>
      <c r="R76" s="15"/>
      <c r="S76" s="3"/>
      <c r="T76" s="3"/>
    </row>
    <row r="77" spans="1:23" s="21" customFormat="1" ht="25" customHeight="1" x14ac:dyDescent="0.35">
      <c r="A77" s="281"/>
      <c r="B77" s="640"/>
      <c r="C77" s="640"/>
      <c r="D77" s="640"/>
      <c r="E77" s="640"/>
      <c r="F77" s="638"/>
      <c r="G77" s="16"/>
      <c r="H77" s="12"/>
      <c r="I77" s="16"/>
      <c r="J77" s="16"/>
      <c r="K77" s="16"/>
      <c r="L77" s="16"/>
      <c r="M77" s="16"/>
      <c r="N77" s="16"/>
      <c r="O77" s="16"/>
      <c r="P77" s="15"/>
      <c r="Q77" s="15"/>
      <c r="R77" s="15"/>
      <c r="S77" s="3"/>
      <c r="T77" s="3"/>
    </row>
    <row r="78" spans="1:23" s="21" customFormat="1" ht="25" customHeight="1" x14ac:dyDescent="0.35">
      <c r="A78" s="864"/>
      <c r="B78" s="713"/>
      <c r="C78" s="713"/>
      <c r="D78" s="640"/>
      <c r="E78" s="640"/>
      <c r="F78" s="871"/>
      <c r="G78" s="861"/>
      <c r="H78" s="714"/>
      <c r="I78" s="16"/>
      <c r="J78" s="16"/>
      <c r="K78" s="16"/>
      <c r="L78" s="16"/>
      <c r="M78" s="16"/>
      <c r="N78" s="16"/>
      <c r="O78" s="16"/>
      <c r="P78" s="15"/>
      <c r="Q78" s="15"/>
      <c r="R78" s="15"/>
      <c r="S78" s="3"/>
      <c r="T78" s="3"/>
      <c r="V78" s="870"/>
    </row>
    <row r="79" spans="1:23" s="21" customFormat="1" ht="25" customHeight="1" x14ac:dyDescent="0.35">
      <c r="A79" s="281"/>
      <c r="B79" s="640"/>
      <c r="C79" s="640"/>
      <c r="D79" s="640"/>
      <c r="E79" s="640"/>
      <c r="F79" s="638"/>
      <c r="G79" s="16"/>
      <c r="H79" s="12"/>
      <c r="I79" s="16"/>
      <c r="J79" s="16"/>
      <c r="K79" s="16"/>
      <c r="L79" s="16"/>
      <c r="M79" s="16"/>
      <c r="N79" s="16"/>
      <c r="O79" s="16"/>
      <c r="P79" s="15"/>
      <c r="Q79" s="15"/>
      <c r="R79" s="15"/>
      <c r="S79" s="3"/>
      <c r="T79" s="3"/>
    </row>
    <row r="80" spans="1:23" s="21" customFormat="1" ht="25" customHeight="1" x14ac:dyDescent="0.35">
      <c r="A80" s="281"/>
      <c r="B80" s="640"/>
      <c r="C80" s="640"/>
      <c r="D80" s="640"/>
      <c r="E80" s="640"/>
      <c r="F80" s="638"/>
      <c r="G80" s="16"/>
      <c r="H80" s="12"/>
      <c r="I80" s="16"/>
      <c r="J80" s="16"/>
      <c r="K80" s="16"/>
      <c r="L80" s="16"/>
      <c r="M80" s="16"/>
      <c r="N80" s="16"/>
      <c r="O80" s="16"/>
      <c r="P80" s="15"/>
      <c r="Q80" s="15"/>
      <c r="R80" s="15"/>
      <c r="S80" s="3"/>
      <c r="T80" s="3"/>
    </row>
    <row r="81" spans="1:22" s="21" customFormat="1" ht="25" customHeight="1" x14ac:dyDescent="0.35">
      <c r="A81" s="281"/>
      <c r="B81" s="640"/>
      <c r="C81" s="640"/>
      <c r="D81" s="640"/>
      <c r="E81" s="640"/>
      <c r="F81" s="638"/>
      <c r="G81" s="16"/>
      <c r="H81" s="12"/>
      <c r="I81" s="16"/>
      <c r="J81" s="16"/>
      <c r="K81" s="16"/>
      <c r="L81" s="16"/>
      <c r="M81" s="16"/>
      <c r="N81" s="16"/>
      <c r="O81" s="16"/>
      <c r="P81" s="15"/>
      <c r="Q81" s="15"/>
      <c r="R81" s="15"/>
      <c r="S81" s="3"/>
      <c r="T81" s="3"/>
    </row>
    <row r="82" spans="1:22" s="21" customFormat="1" ht="25" customHeight="1" x14ac:dyDescent="0.35">
      <c r="A82" s="281"/>
      <c r="B82" s="640"/>
      <c r="C82" s="640"/>
      <c r="D82" s="640"/>
      <c r="E82" s="640"/>
      <c r="F82" s="638"/>
      <c r="G82" s="16"/>
      <c r="H82" s="12"/>
      <c r="I82" s="16"/>
      <c r="J82" s="16"/>
      <c r="K82" s="16"/>
      <c r="L82" s="16"/>
      <c r="M82" s="16"/>
      <c r="N82" s="16"/>
      <c r="O82" s="16"/>
      <c r="P82" s="15"/>
      <c r="Q82" s="15"/>
      <c r="R82" s="15"/>
      <c r="S82" s="3"/>
      <c r="T82" s="3"/>
    </row>
    <row r="83" spans="1:22" s="21" customFormat="1" ht="25" customHeight="1" x14ac:dyDescent="0.35">
      <c r="A83" s="282"/>
      <c r="B83" s="715"/>
      <c r="C83" s="715"/>
      <c r="D83" s="715"/>
      <c r="E83" s="715"/>
      <c r="F83" s="716"/>
      <c r="G83" s="16"/>
      <c r="H83" s="12"/>
      <c r="I83" s="16"/>
      <c r="J83" s="16"/>
      <c r="K83" s="16"/>
      <c r="L83" s="16"/>
      <c r="M83" s="16"/>
      <c r="N83" s="16"/>
      <c r="O83" s="16"/>
      <c r="P83" s="15"/>
      <c r="Q83" s="15"/>
      <c r="R83" s="15"/>
      <c r="S83" s="3"/>
      <c r="T83" s="3"/>
    </row>
    <row r="84" spans="1:22" s="9" customFormat="1" ht="25" customHeight="1" x14ac:dyDescent="0.35">
      <c r="A84" s="864"/>
      <c r="B84" s="713"/>
      <c r="C84" s="713"/>
      <c r="D84" s="640"/>
      <c r="E84" s="640"/>
      <c r="F84" s="871"/>
      <c r="G84" s="861"/>
      <c r="H84" s="714"/>
      <c r="I84" s="16"/>
      <c r="J84" s="16"/>
      <c r="K84" s="16"/>
      <c r="L84" s="16"/>
      <c r="M84" s="16"/>
      <c r="N84" s="16"/>
      <c r="O84" s="16"/>
      <c r="P84" s="15"/>
      <c r="Q84" s="15"/>
      <c r="R84" s="15"/>
      <c r="S84" s="3"/>
      <c r="T84" s="3"/>
      <c r="V84" s="870"/>
    </row>
    <row r="85" spans="1:22" s="9" customFormat="1" ht="25" customHeight="1" x14ac:dyDescent="0.35">
      <c r="A85" s="281"/>
      <c r="B85" s="640"/>
      <c r="C85" s="640"/>
      <c r="D85" s="640"/>
      <c r="E85" s="640"/>
      <c r="F85" s="12"/>
      <c r="G85" s="16"/>
      <c r="H85" s="18"/>
      <c r="I85" s="16"/>
      <c r="J85" s="16"/>
      <c r="K85" s="16"/>
      <c r="L85" s="16"/>
      <c r="M85" s="16"/>
      <c r="N85" s="16"/>
      <c r="O85" s="16"/>
      <c r="P85" s="15"/>
      <c r="Q85" s="15"/>
      <c r="R85" s="15"/>
      <c r="S85" s="3"/>
      <c r="T85" s="3"/>
    </row>
    <row r="86" spans="1:22" s="9" customFormat="1" ht="25" customHeight="1" x14ac:dyDescent="0.35">
      <c r="A86" s="281"/>
      <c r="B86" s="640"/>
      <c r="C86" s="640"/>
      <c r="D86" s="640"/>
      <c r="E86" s="640"/>
      <c r="F86" s="12"/>
      <c r="G86" s="16"/>
      <c r="H86" s="18"/>
      <c r="I86" s="16"/>
      <c r="J86" s="16"/>
      <c r="K86" s="16"/>
      <c r="L86" s="16"/>
      <c r="M86" s="16"/>
      <c r="N86" s="16"/>
      <c r="O86" s="16"/>
      <c r="P86" s="15"/>
      <c r="Q86" s="15"/>
      <c r="R86" s="15"/>
      <c r="S86" s="3"/>
      <c r="T86" s="3"/>
    </row>
    <row r="87" spans="1:22" s="9" customFormat="1" ht="25" customHeight="1" x14ac:dyDescent="0.35">
      <c r="A87" s="281"/>
      <c r="B87" s="640"/>
      <c r="C87" s="640"/>
      <c r="D87" s="640"/>
      <c r="E87" s="640"/>
      <c r="F87" s="12"/>
      <c r="G87" s="16"/>
      <c r="H87" s="14"/>
      <c r="I87" s="16"/>
      <c r="J87" s="16"/>
      <c r="K87" s="16"/>
      <c r="L87" s="16"/>
      <c r="M87" s="16"/>
      <c r="N87" s="16"/>
      <c r="O87" s="16"/>
      <c r="P87" s="15"/>
      <c r="Q87" s="15"/>
      <c r="R87" s="15"/>
      <c r="S87" s="3"/>
      <c r="T87" s="3"/>
    </row>
    <row r="88" spans="1:22" s="9" customFormat="1" ht="25" customHeight="1" x14ac:dyDescent="0.35">
      <c r="A88" s="281"/>
      <c r="B88" s="640"/>
      <c r="C88" s="640"/>
      <c r="D88" s="640"/>
      <c r="E88" s="640"/>
      <c r="F88" s="12"/>
      <c r="G88" s="16"/>
      <c r="H88" s="14"/>
      <c r="I88" s="16"/>
      <c r="J88" s="16"/>
      <c r="K88" s="16"/>
      <c r="L88" s="16"/>
      <c r="M88" s="16"/>
      <c r="N88" s="16"/>
      <c r="O88" s="16"/>
      <c r="P88" s="15"/>
      <c r="Q88" s="15"/>
      <c r="R88" s="15"/>
      <c r="S88" s="3"/>
      <c r="T88" s="3"/>
    </row>
    <row r="89" spans="1:22" s="9" customFormat="1" ht="13" x14ac:dyDescent="0.35">
      <c r="A89" s="281"/>
      <c r="B89" s="640"/>
      <c r="C89" s="640"/>
      <c r="D89" s="640"/>
      <c r="E89" s="640"/>
      <c r="F89" s="871"/>
      <c r="G89" s="861"/>
      <c r="H89" s="863"/>
      <c r="I89" s="16"/>
      <c r="J89" s="16"/>
      <c r="K89" s="16"/>
      <c r="L89" s="16"/>
      <c r="M89" s="16"/>
      <c r="N89" s="16"/>
      <c r="O89" s="16"/>
      <c r="P89" s="15"/>
      <c r="Q89" s="15"/>
      <c r="R89" s="15"/>
      <c r="S89" s="3"/>
      <c r="T89" s="3"/>
    </row>
    <row r="90" spans="1:22" s="9" customFormat="1" ht="13" x14ac:dyDescent="0.35">
      <c r="A90" s="281"/>
      <c r="B90" s="640"/>
      <c r="C90" s="640"/>
      <c r="D90" s="640"/>
      <c r="E90" s="640"/>
      <c r="F90" s="12"/>
      <c r="G90" s="16"/>
      <c r="H90" s="12"/>
      <c r="I90" s="16"/>
      <c r="J90" s="16"/>
      <c r="K90" s="16"/>
      <c r="L90" s="16"/>
      <c r="M90" s="16"/>
      <c r="N90" s="16"/>
      <c r="O90" s="16"/>
      <c r="P90" s="15"/>
      <c r="Q90" s="15"/>
      <c r="R90" s="15"/>
      <c r="S90" s="3"/>
      <c r="T90" s="3"/>
    </row>
    <row r="91" spans="1:22" s="9" customFormat="1" ht="13" x14ac:dyDescent="0.35">
      <c r="A91" s="281"/>
      <c r="B91" s="640"/>
      <c r="C91" s="640"/>
      <c r="D91" s="640"/>
      <c r="E91" s="640"/>
      <c r="F91" s="12"/>
      <c r="G91" s="16"/>
      <c r="H91" s="18"/>
      <c r="I91" s="16"/>
      <c r="J91" s="16"/>
      <c r="K91" s="16"/>
      <c r="L91" s="16"/>
      <c r="M91" s="16"/>
      <c r="N91" s="16"/>
      <c r="O91" s="16"/>
      <c r="P91" s="15"/>
      <c r="Q91" s="15"/>
      <c r="R91" s="15"/>
      <c r="S91" s="3"/>
      <c r="T91" s="3"/>
    </row>
    <row r="92" spans="1:22" s="9" customFormat="1" ht="13" x14ac:dyDescent="0.35">
      <c r="B92" s="864"/>
      <c r="C92" s="864"/>
      <c r="D92" s="864"/>
      <c r="E92" s="864"/>
      <c r="F92" s="885"/>
      <c r="G92" s="866"/>
      <c r="H92" s="865"/>
      <c r="I92" s="866"/>
      <c r="J92" s="866"/>
      <c r="K92" s="866"/>
      <c r="L92" s="866"/>
      <c r="M92" s="866"/>
      <c r="N92" s="866"/>
      <c r="O92" s="866"/>
      <c r="P92" s="867"/>
      <c r="Q92" s="867"/>
      <c r="R92" s="867"/>
      <c r="S92" s="636"/>
      <c r="T92" s="636"/>
      <c r="U92" s="868"/>
      <c r="V92" s="868"/>
    </row>
    <row r="93" spans="1:22" s="9" customFormat="1" ht="13" x14ac:dyDescent="0.35">
      <c r="A93" s="281"/>
      <c r="B93" s="640"/>
      <c r="C93" s="640"/>
      <c r="D93" s="640"/>
      <c r="E93" s="640"/>
      <c r="F93" s="12"/>
      <c r="G93" s="16"/>
      <c r="H93" s="12"/>
      <c r="I93" s="16"/>
      <c r="J93" s="16"/>
      <c r="K93" s="16"/>
      <c r="L93" s="16"/>
      <c r="M93" s="16"/>
      <c r="N93" s="16"/>
      <c r="O93" s="16"/>
      <c r="P93" s="15"/>
      <c r="Q93" s="15"/>
      <c r="R93" s="15"/>
      <c r="S93" s="3"/>
      <c r="T93" s="3"/>
    </row>
    <row r="94" spans="1:22" s="9" customFormat="1" ht="13" x14ac:dyDescent="0.35">
      <c r="A94" s="281"/>
      <c r="B94" s="640"/>
      <c r="C94" s="640"/>
      <c r="D94" s="640"/>
      <c r="E94" s="640"/>
      <c r="F94" s="12"/>
      <c r="G94" s="16"/>
      <c r="H94" s="18"/>
      <c r="I94" s="16"/>
      <c r="J94" s="16"/>
      <c r="K94" s="16"/>
      <c r="L94" s="16"/>
      <c r="M94" s="16"/>
      <c r="N94" s="16"/>
      <c r="O94" s="16"/>
      <c r="P94" s="15"/>
      <c r="Q94" s="15"/>
      <c r="R94" s="15"/>
      <c r="S94" s="3"/>
      <c r="T94" s="3"/>
    </row>
    <row r="95" spans="1:22" s="9" customFormat="1" ht="13" x14ac:dyDescent="0.35">
      <c r="A95" s="281"/>
      <c r="B95" s="640"/>
      <c r="C95" s="640"/>
      <c r="D95" s="640"/>
      <c r="E95" s="640"/>
      <c r="F95" s="12"/>
      <c r="G95" s="16"/>
      <c r="H95" s="18"/>
      <c r="I95" s="16"/>
      <c r="J95" s="16"/>
      <c r="K95" s="16"/>
      <c r="L95" s="16"/>
      <c r="M95" s="16"/>
      <c r="N95" s="16"/>
      <c r="O95" s="16"/>
      <c r="P95" s="15"/>
      <c r="Q95" s="15"/>
      <c r="R95" s="15"/>
      <c r="S95" s="3"/>
      <c r="T95" s="3"/>
    </row>
    <row r="96" spans="1:22" s="9" customFormat="1" ht="13" x14ac:dyDescent="0.35">
      <c r="A96" s="281"/>
      <c r="B96" s="640"/>
      <c r="C96" s="640"/>
      <c r="D96" s="640"/>
      <c r="E96" s="640"/>
      <c r="F96" s="12"/>
      <c r="G96" s="16"/>
      <c r="H96" s="18"/>
      <c r="I96" s="16"/>
      <c r="J96" s="16"/>
      <c r="K96" s="16"/>
      <c r="L96" s="16"/>
      <c r="M96" s="16"/>
      <c r="N96" s="16"/>
      <c r="O96" s="16"/>
      <c r="P96" s="15"/>
      <c r="Q96" s="15"/>
      <c r="R96" s="15"/>
      <c r="S96" s="3"/>
      <c r="T96" s="3"/>
    </row>
    <row r="97" spans="1:22" s="9" customFormat="1" ht="13" x14ac:dyDescent="0.35">
      <c r="A97" s="281"/>
      <c r="B97" s="640"/>
      <c r="C97" s="640"/>
      <c r="D97" s="640"/>
      <c r="E97" s="640"/>
      <c r="F97" s="12"/>
      <c r="G97" s="16"/>
      <c r="H97" s="12"/>
      <c r="I97" s="16"/>
      <c r="J97" s="16"/>
      <c r="K97" s="16"/>
      <c r="L97" s="16"/>
      <c r="M97" s="16"/>
      <c r="N97" s="16"/>
      <c r="O97" s="16"/>
      <c r="P97" s="15"/>
      <c r="Q97" s="15"/>
      <c r="R97" s="15"/>
      <c r="S97" s="3"/>
      <c r="T97" s="3"/>
    </row>
    <row r="98" spans="1:22" s="9" customFormat="1" ht="13" x14ac:dyDescent="0.35">
      <c r="A98" s="282"/>
      <c r="B98" s="715"/>
      <c r="C98" s="715"/>
      <c r="D98" s="715"/>
      <c r="E98" s="715"/>
      <c r="F98" s="716"/>
      <c r="G98" s="16"/>
      <c r="H98" s="18"/>
      <c r="I98" s="16"/>
      <c r="J98" s="16"/>
      <c r="K98" s="16"/>
      <c r="L98" s="16"/>
      <c r="M98" s="16"/>
      <c r="N98" s="16"/>
      <c r="O98" s="16"/>
      <c r="P98" s="15"/>
      <c r="Q98" s="15"/>
      <c r="R98" s="15"/>
      <c r="S98" s="3"/>
      <c r="T98" s="3"/>
    </row>
    <row r="99" spans="1:22" s="9" customFormat="1" ht="13" x14ac:dyDescent="0.35">
      <c r="A99" s="281"/>
      <c r="B99" s="640"/>
      <c r="C99" s="640"/>
      <c r="D99" s="640"/>
      <c r="E99" s="640"/>
      <c r="F99" s="638"/>
      <c r="G99" s="16"/>
      <c r="H99" s="12"/>
      <c r="I99" s="16"/>
      <c r="J99" s="16"/>
      <c r="K99" s="16"/>
      <c r="L99" s="16"/>
      <c r="M99" s="16"/>
      <c r="N99" s="16"/>
      <c r="O99" s="16"/>
      <c r="P99" s="15"/>
      <c r="Q99" s="15"/>
      <c r="R99" s="15"/>
      <c r="S99" s="3"/>
      <c r="T99" s="3"/>
    </row>
    <row r="100" spans="1:22" s="9" customFormat="1" ht="13" x14ac:dyDescent="0.35">
      <c r="A100" s="281"/>
      <c r="B100" s="640"/>
      <c r="C100" s="640"/>
      <c r="D100" s="640"/>
      <c r="E100" s="640"/>
      <c r="F100" s="638"/>
      <c r="G100" s="16"/>
      <c r="H100" s="12"/>
      <c r="I100" s="16"/>
      <c r="J100" s="16"/>
      <c r="K100" s="16"/>
      <c r="L100" s="16"/>
      <c r="M100" s="16"/>
      <c r="N100" s="16"/>
      <c r="O100" s="16"/>
      <c r="P100" s="15"/>
      <c r="Q100" s="15"/>
      <c r="R100" s="15"/>
      <c r="S100" s="3"/>
      <c r="T100" s="3"/>
    </row>
    <row r="101" spans="1:22" s="9" customFormat="1" ht="13" x14ac:dyDescent="0.35">
      <c r="A101" s="281"/>
      <c r="B101" s="640"/>
      <c r="C101" s="869"/>
      <c r="D101" s="640"/>
      <c r="E101" s="640"/>
      <c r="F101" s="638"/>
      <c r="G101" s="16"/>
      <c r="H101" s="12"/>
      <c r="I101" s="16"/>
      <c r="J101" s="16"/>
      <c r="K101" s="16"/>
      <c r="L101" s="16"/>
      <c r="M101" s="16"/>
      <c r="N101" s="16"/>
      <c r="O101" s="16"/>
      <c r="P101" s="15"/>
      <c r="Q101" s="15"/>
      <c r="R101" s="15"/>
      <c r="S101" s="3"/>
      <c r="T101" s="3"/>
      <c r="V101" s="870"/>
    </row>
    <row r="102" spans="1:22" s="9" customFormat="1" ht="13" x14ac:dyDescent="0.35">
      <c r="A102" s="281"/>
      <c r="B102" s="640"/>
      <c r="C102" s="640"/>
      <c r="D102" s="640"/>
      <c r="E102" s="640"/>
      <c r="F102" s="638"/>
      <c r="G102" s="16"/>
      <c r="H102" s="12"/>
      <c r="I102" s="16"/>
      <c r="J102" s="16"/>
      <c r="K102" s="16"/>
      <c r="L102" s="16"/>
      <c r="M102" s="16"/>
      <c r="N102" s="16"/>
      <c r="O102" s="16"/>
      <c r="P102" s="15"/>
      <c r="Q102" s="15"/>
      <c r="R102" s="15"/>
      <c r="S102" s="3"/>
      <c r="T102" s="3"/>
    </row>
    <row r="103" spans="1:22" s="9" customFormat="1" ht="13" x14ac:dyDescent="0.35">
      <c r="A103" s="282"/>
      <c r="B103" s="715"/>
      <c r="C103" s="715"/>
      <c r="D103" s="715"/>
      <c r="E103" s="715"/>
      <c r="F103" s="40"/>
      <c r="G103" s="16"/>
      <c r="H103" s="12"/>
      <c r="I103" s="16"/>
      <c r="J103" s="16"/>
      <c r="K103" s="16"/>
      <c r="L103" s="16"/>
      <c r="M103" s="16"/>
      <c r="N103" s="16"/>
      <c r="O103" s="16"/>
      <c r="P103" s="15"/>
      <c r="Q103" s="15"/>
      <c r="R103" s="15"/>
      <c r="S103" s="3"/>
      <c r="T103" s="3"/>
    </row>
    <row r="104" spans="1:22" s="9" customFormat="1" ht="13" x14ac:dyDescent="0.35">
      <c r="A104" s="281"/>
      <c r="B104" s="640"/>
      <c r="C104" s="640"/>
      <c r="D104" s="640"/>
      <c r="E104" s="640"/>
      <c r="F104" s="638"/>
      <c r="G104" s="16"/>
      <c r="H104" s="12"/>
      <c r="I104" s="16"/>
      <c r="J104" s="16"/>
      <c r="K104" s="16"/>
      <c r="L104" s="16"/>
      <c r="M104" s="16"/>
      <c r="N104" s="16"/>
      <c r="O104" s="16"/>
      <c r="P104" s="15"/>
      <c r="Q104" s="15"/>
      <c r="R104" s="15"/>
      <c r="S104" s="3"/>
      <c r="T104" s="3"/>
    </row>
    <row r="105" spans="1:22" s="9" customFormat="1" ht="13" x14ac:dyDescent="0.35">
      <c r="A105" s="281"/>
      <c r="B105" s="640"/>
      <c r="C105" s="640"/>
      <c r="D105" s="640"/>
      <c r="E105" s="640"/>
      <c r="F105" s="638"/>
      <c r="G105" s="16"/>
      <c r="H105" s="12"/>
      <c r="I105" s="16"/>
      <c r="J105" s="16"/>
      <c r="K105" s="16"/>
      <c r="L105" s="16"/>
      <c r="M105" s="16"/>
      <c r="N105" s="16"/>
      <c r="O105" s="16"/>
      <c r="P105" s="15"/>
      <c r="Q105" s="15"/>
      <c r="R105" s="15"/>
      <c r="S105" s="3"/>
      <c r="T105" s="3"/>
    </row>
    <row r="106" spans="1:22" s="9" customFormat="1" x14ac:dyDescent="0.35">
      <c r="A106" s="717"/>
      <c r="B106" s="717"/>
      <c r="C106" s="717"/>
      <c r="D106" s="717"/>
      <c r="E106" s="717"/>
      <c r="F106" s="718"/>
      <c r="G106" s="10"/>
      <c r="H106" s="12"/>
      <c r="I106" s="10"/>
      <c r="J106" s="10"/>
      <c r="K106" s="10"/>
      <c r="L106" s="10"/>
      <c r="M106" s="10"/>
      <c r="N106" s="10"/>
      <c r="O106" s="10"/>
      <c r="P106" s="4"/>
      <c r="Q106" s="4"/>
      <c r="R106" s="4"/>
      <c r="S106" s="3"/>
      <c r="T106" s="3"/>
    </row>
    <row r="107" spans="1:22" s="9" customFormat="1" x14ac:dyDescent="0.35">
      <c r="A107" s="281"/>
      <c r="B107" s="640"/>
      <c r="C107" s="640"/>
      <c r="D107" s="640"/>
      <c r="E107" s="640"/>
      <c r="F107" s="638"/>
      <c r="G107" s="10"/>
      <c r="H107" s="14"/>
      <c r="I107" s="10"/>
      <c r="J107" s="10"/>
      <c r="K107" s="10"/>
      <c r="L107" s="10"/>
      <c r="M107" s="10"/>
      <c r="N107" s="10"/>
      <c r="O107" s="10"/>
      <c r="P107" s="4"/>
      <c r="Q107" s="4"/>
      <c r="R107" s="4"/>
      <c r="S107" s="3"/>
      <c r="T107" s="3"/>
    </row>
    <row r="108" spans="1:22" s="9" customFormat="1" x14ac:dyDescent="0.35">
      <c r="A108" s="281"/>
      <c r="B108" s="640"/>
      <c r="C108" s="640"/>
      <c r="D108" s="640"/>
      <c r="E108" s="640"/>
      <c r="F108" s="638"/>
      <c r="G108" s="10"/>
      <c r="H108" s="12"/>
      <c r="I108" s="10"/>
      <c r="J108" s="10"/>
      <c r="K108" s="10"/>
      <c r="L108" s="10"/>
      <c r="M108" s="10"/>
      <c r="N108" s="10"/>
      <c r="O108" s="10"/>
      <c r="P108" s="4"/>
      <c r="Q108" s="4"/>
      <c r="R108" s="4"/>
      <c r="S108" s="3"/>
      <c r="T108" s="3"/>
    </row>
    <row r="109" spans="1:22" s="9" customFormat="1" x14ac:dyDescent="0.35">
      <c r="A109" s="281"/>
      <c r="B109" s="640"/>
      <c r="C109" s="640"/>
      <c r="D109" s="640"/>
      <c r="E109" s="640"/>
      <c r="F109" s="638"/>
      <c r="G109" s="10"/>
      <c r="H109" s="11"/>
      <c r="I109" s="10"/>
      <c r="J109" s="10"/>
      <c r="K109" s="10"/>
      <c r="L109" s="10"/>
      <c r="M109" s="10"/>
      <c r="N109" s="10"/>
      <c r="O109" s="10"/>
      <c r="P109" s="4"/>
      <c r="Q109" s="4"/>
      <c r="R109" s="4"/>
      <c r="S109" s="3"/>
      <c r="T109" s="3"/>
    </row>
    <row r="110" spans="1:22" x14ac:dyDescent="0.35">
      <c r="A110" s="281"/>
      <c r="B110" s="640"/>
      <c r="C110" s="640"/>
      <c r="D110" s="640"/>
      <c r="E110" s="640"/>
      <c r="F110" s="638"/>
    </row>
    <row r="111" spans="1:22" x14ac:dyDescent="0.35">
      <c r="A111" s="281"/>
      <c r="B111" s="640"/>
      <c r="C111" s="640"/>
      <c r="D111" s="640"/>
      <c r="E111" s="640"/>
      <c r="F111" s="638"/>
    </row>
    <row r="112" spans="1:22" x14ac:dyDescent="0.35">
      <c r="A112" s="281"/>
      <c r="B112" s="719"/>
      <c r="C112" s="640"/>
      <c r="D112" s="640"/>
      <c r="E112" s="640"/>
      <c r="F112" s="716"/>
    </row>
    <row r="113" spans="1:6" x14ac:dyDescent="0.35">
      <c r="A113" s="281"/>
      <c r="B113" s="640"/>
      <c r="C113" s="640"/>
      <c r="D113" s="640"/>
      <c r="E113" s="640"/>
      <c r="F113" s="638"/>
    </row>
  </sheetData>
  <autoFilter ref="A6:Y99">
    <filterColumn colId="3" showButton="0"/>
    <filterColumn colId="4" showButton="0"/>
    <filterColumn colId="6" showButton="0"/>
    <filterColumn colId="7" showButton="0"/>
  </autoFilter>
  <mergeCells count="4">
    <mergeCell ref="A6:A7"/>
    <mergeCell ref="C6:C7"/>
    <mergeCell ref="D6:F6"/>
    <mergeCell ref="G6:I6"/>
  </mergeCells>
  <printOptions horizontalCentered="1"/>
  <pageMargins left="0.2" right="0.2" top="0.22" bottom="0.3" header="0.33" footer="0.22"/>
  <pageSetup paperSize="8" scale="99" firstPageNumber="27" fitToHeight="3" orientation="landscape" useFirstPageNumber="1" r:id="rId1"/>
  <headerFooter>
    <oddFooter>&amp;RPage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X32"/>
  <sheetViews>
    <sheetView zoomScale="85" zoomScaleNormal="85" workbookViewId="0">
      <pane xSplit="7" ySplit="11" topLeftCell="T12" activePane="bottomRight" state="frozen"/>
      <selection pane="topRight"/>
      <selection pane="bottomLeft"/>
      <selection pane="bottomRight"/>
    </sheetView>
  </sheetViews>
  <sheetFormatPr defaultColWidth="9.1796875" defaultRowHeight="14" x14ac:dyDescent="0.3"/>
  <cols>
    <col min="1" max="1" width="5" style="808" customWidth="1"/>
    <col min="2" max="2" width="5" style="809" customWidth="1"/>
    <col min="3" max="3" width="43.81640625" style="806" customWidth="1"/>
    <col min="4" max="4" width="11.7265625" style="807" customWidth="1"/>
    <col min="5" max="5" width="9.1796875" style="807"/>
    <col min="6" max="6" width="16.81640625" style="807" customWidth="1"/>
    <col min="7" max="7" width="11.81640625" style="807" customWidth="1"/>
    <col min="8" max="19" width="14.81640625" style="807" hidden="1" customWidth="1"/>
    <col min="20" max="24" width="19.54296875" style="807" customWidth="1"/>
    <col min="25" max="16384" width="9.1796875" style="806"/>
  </cols>
  <sheetData>
    <row r="5" spans="1:24" ht="18" x14ac:dyDescent="0.4">
      <c r="A5" s="856"/>
      <c r="B5" s="856"/>
      <c r="C5" s="857"/>
      <c r="D5" s="858"/>
      <c r="E5" s="858"/>
      <c r="F5" s="858"/>
      <c r="G5" s="858"/>
      <c r="H5" s="858"/>
      <c r="I5" s="858"/>
      <c r="J5" s="858"/>
      <c r="K5" s="858"/>
      <c r="L5" s="858"/>
      <c r="M5" s="858"/>
      <c r="N5" s="858"/>
      <c r="O5" s="858"/>
      <c r="P5" s="858"/>
      <c r="Q5" s="858"/>
      <c r="R5" s="858"/>
      <c r="S5" s="858"/>
      <c r="T5" s="858"/>
      <c r="U5" s="858"/>
      <c r="V5" s="858"/>
      <c r="W5" s="858"/>
      <c r="X5" s="858"/>
    </row>
    <row r="6" spans="1:24" ht="18" x14ac:dyDescent="0.4">
      <c r="A6" s="856"/>
      <c r="B6" s="856"/>
      <c r="C6" s="857"/>
      <c r="D6" s="858"/>
      <c r="E6" s="858"/>
      <c r="F6" s="858"/>
      <c r="G6" s="858"/>
      <c r="H6" s="858"/>
      <c r="I6" s="858"/>
      <c r="J6" s="858"/>
      <c r="K6" s="858"/>
      <c r="L6" s="858"/>
      <c r="M6" s="858"/>
      <c r="N6" s="858"/>
      <c r="O6" s="858"/>
      <c r="P6" s="858"/>
      <c r="Q6" s="858"/>
      <c r="R6" s="858"/>
      <c r="S6" s="858"/>
      <c r="T6" s="858"/>
      <c r="U6" s="858"/>
      <c r="V6" s="858"/>
      <c r="W6" s="858"/>
      <c r="X6" s="858"/>
    </row>
    <row r="7" spans="1:24" ht="5.15" customHeight="1" x14ac:dyDescent="0.4">
      <c r="A7" s="856"/>
      <c r="B7" s="856"/>
      <c r="C7" s="857"/>
      <c r="D7" s="858"/>
      <c r="E7" s="858"/>
      <c r="F7" s="858"/>
      <c r="G7" s="858"/>
      <c r="H7" s="858"/>
      <c r="I7" s="858"/>
      <c r="J7" s="858"/>
      <c r="K7" s="858"/>
      <c r="L7" s="858"/>
      <c r="M7" s="858"/>
      <c r="N7" s="858"/>
      <c r="O7" s="858"/>
      <c r="P7" s="858"/>
      <c r="Q7" s="858"/>
      <c r="R7" s="858"/>
      <c r="S7" s="858"/>
      <c r="T7" s="858"/>
      <c r="U7" s="858"/>
      <c r="V7" s="858"/>
      <c r="W7" s="858"/>
      <c r="X7" s="858"/>
    </row>
    <row r="8" spans="1:24" ht="15" customHeight="1" x14ac:dyDescent="0.4">
      <c r="A8" s="856"/>
      <c r="B8" s="856"/>
      <c r="C8" s="857"/>
      <c r="D8" s="858"/>
      <c r="E8" s="858"/>
      <c r="F8" s="858"/>
      <c r="G8" s="858"/>
      <c r="H8" s="858"/>
      <c r="I8" s="858"/>
      <c r="J8" s="858"/>
      <c r="K8" s="858"/>
      <c r="L8" s="858"/>
      <c r="M8" s="858"/>
      <c r="N8" s="858"/>
      <c r="O8" s="858"/>
      <c r="P8" s="858"/>
      <c r="Q8" s="858"/>
      <c r="R8" s="858"/>
      <c r="S8" s="858"/>
      <c r="T8" s="858"/>
      <c r="U8" s="858"/>
      <c r="V8" s="858"/>
      <c r="W8" s="858"/>
      <c r="X8" s="858"/>
    </row>
    <row r="9" spans="1:24" x14ac:dyDescent="0.3">
      <c r="A9" s="859"/>
      <c r="B9" s="859"/>
      <c r="C9" s="857"/>
      <c r="D9" s="858"/>
      <c r="E9" s="858"/>
      <c r="F9" s="858"/>
      <c r="G9" s="858"/>
      <c r="H9" s="858"/>
      <c r="I9" s="858"/>
      <c r="J9" s="858"/>
      <c r="K9" s="858"/>
      <c r="L9" s="858"/>
      <c r="M9" s="858"/>
      <c r="N9" s="858"/>
      <c r="O9" s="858"/>
      <c r="P9" s="858"/>
      <c r="Q9" s="858"/>
      <c r="R9" s="858"/>
      <c r="S9" s="858"/>
      <c r="T9" s="858"/>
      <c r="U9" s="858"/>
      <c r="V9" s="858"/>
      <c r="W9" s="858"/>
      <c r="X9" s="858"/>
    </row>
    <row r="10" spans="1:24" ht="5.15" customHeight="1" x14ac:dyDescent="0.3"/>
    <row r="11" spans="1:24" s="815" customFormat="1" ht="28" x14ac:dyDescent="0.35">
      <c r="A11" s="810" t="s">
        <v>459</v>
      </c>
      <c r="B11" s="811"/>
      <c r="C11" s="811" t="s">
        <v>538</v>
      </c>
      <c r="D11" s="812" t="s">
        <v>539</v>
      </c>
      <c r="E11" s="812" t="s">
        <v>540</v>
      </c>
      <c r="F11" s="812" t="s">
        <v>542</v>
      </c>
      <c r="G11" s="812" t="s">
        <v>543</v>
      </c>
      <c r="H11" s="813">
        <v>43101</v>
      </c>
      <c r="I11" s="813">
        <f>H11+31</f>
        <v>43132</v>
      </c>
      <c r="J11" s="813">
        <f t="shared" ref="J11:S11" si="0">I11+31</f>
        <v>43163</v>
      </c>
      <c r="K11" s="813">
        <f t="shared" si="0"/>
        <v>43194</v>
      </c>
      <c r="L11" s="813">
        <f t="shared" si="0"/>
        <v>43225</v>
      </c>
      <c r="M11" s="814">
        <f t="shared" si="0"/>
        <v>43256</v>
      </c>
      <c r="N11" s="814">
        <f t="shared" si="0"/>
        <v>43287</v>
      </c>
      <c r="O11" s="814">
        <f t="shared" si="0"/>
        <v>43318</v>
      </c>
      <c r="P11" s="814">
        <f t="shared" si="0"/>
        <v>43349</v>
      </c>
      <c r="Q11" s="814">
        <f t="shared" si="0"/>
        <v>43380</v>
      </c>
      <c r="R11" s="814">
        <f t="shared" si="0"/>
        <v>43411</v>
      </c>
      <c r="S11" s="814">
        <f t="shared" si="0"/>
        <v>43442</v>
      </c>
      <c r="T11" s="812" t="s">
        <v>616</v>
      </c>
      <c r="U11" s="812" t="s">
        <v>544</v>
      </c>
      <c r="V11" s="812" t="s">
        <v>545</v>
      </c>
      <c r="W11" s="812" t="s">
        <v>617</v>
      </c>
      <c r="X11" s="812" t="s">
        <v>618</v>
      </c>
    </row>
    <row r="12" spans="1:24" s="825" customFormat="1" ht="40" customHeight="1" x14ac:dyDescent="0.35">
      <c r="A12" s="816" t="s">
        <v>75</v>
      </c>
      <c r="B12" s="817" t="s">
        <v>75</v>
      </c>
      <c r="C12" s="818" t="s">
        <v>551</v>
      </c>
      <c r="D12" s="819"/>
      <c r="E12" s="819"/>
      <c r="F12" s="820"/>
      <c r="G12" s="820"/>
      <c r="H12" s="819"/>
      <c r="I12" s="819"/>
      <c r="J12" s="819"/>
      <c r="K12" s="819"/>
      <c r="L12" s="819"/>
      <c r="M12" s="819"/>
      <c r="N12" s="819"/>
      <c r="O12" s="819"/>
      <c r="P12" s="819"/>
      <c r="Q12" s="819"/>
      <c r="R12" s="819"/>
      <c r="S12" s="819"/>
      <c r="T12" s="821"/>
      <c r="U12" s="822"/>
      <c r="V12" s="823"/>
      <c r="W12" s="824"/>
      <c r="X12" s="824"/>
    </row>
    <row r="13" spans="1:24" s="825" customFormat="1" ht="40" customHeight="1" x14ac:dyDescent="0.35">
      <c r="A13" s="826" t="s">
        <v>75</v>
      </c>
      <c r="B13" s="827">
        <v>1</v>
      </c>
      <c r="C13" s="828" t="s">
        <v>283</v>
      </c>
      <c r="D13" s="829"/>
      <c r="E13" s="829"/>
      <c r="F13" s="830">
        <f>'2018-2022 SF'!D9</f>
        <v>4150800000</v>
      </c>
      <c r="G13" s="830">
        <f>12*5</f>
        <v>60</v>
      </c>
      <c r="H13" s="829">
        <f>F13/$G13</f>
        <v>69180000</v>
      </c>
      <c r="I13" s="829">
        <f>H13</f>
        <v>69180000</v>
      </c>
      <c r="J13" s="829">
        <f t="shared" ref="J13:S13" si="1">I13</f>
        <v>69180000</v>
      </c>
      <c r="K13" s="829">
        <f t="shared" si="1"/>
        <v>69180000</v>
      </c>
      <c r="L13" s="829">
        <f t="shared" si="1"/>
        <v>69180000</v>
      </c>
      <c r="M13" s="829">
        <f t="shared" si="1"/>
        <v>69180000</v>
      </c>
      <c r="N13" s="829">
        <f t="shared" si="1"/>
        <v>69180000</v>
      </c>
      <c r="O13" s="829">
        <f t="shared" si="1"/>
        <v>69180000</v>
      </c>
      <c r="P13" s="829">
        <f t="shared" si="1"/>
        <v>69180000</v>
      </c>
      <c r="Q13" s="829">
        <f t="shared" si="1"/>
        <v>69180000</v>
      </c>
      <c r="R13" s="829">
        <f t="shared" si="1"/>
        <v>69180000</v>
      </c>
      <c r="S13" s="829">
        <f t="shared" si="1"/>
        <v>69180000</v>
      </c>
      <c r="T13" s="831">
        <f>SUM(H13:S13)</f>
        <v>830160000</v>
      </c>
      <c r="U13" s="832">
        <f>MIN(F13-T13,F13/G13*12)</f>
        <v>830160000</v>
      </c>
      <c r="V13" s="833">
        <f>MIN(F13-T13-U13,F13/G13*12)</f>
        <v>830160000</v>
      </c>
      <c r="W13" s="834">
        <f>MIN(F13-T13-U13-V13,F13/G13*12)</f>
        <v>830160000</v>
      </c>
      <c r="X13" s="834">
        <f>F13-T13-U13-V13-W13</f>
        <v>830160000</v>
      </c>
    </row>
    <row r="14" spans="1:24" s="825" customFormat="1" ht="40" customHeight="1" x14ac:dyDescent="0.35">
      <c r="A14" s="835" t="s">
        <v>599</v>
      </c>
      <c r="B14" s="836"/>
      <c r="C14" s="810" t="s">
        <v>551</v>
      </c>
      <c r="D14" s="837"/>
      <c r="E14" s="837"/>
      <c r="F14" s="837">
        <f>SUBTOTAL(9,F12:F13)</f>
        <v>4150800000</v>
      </c>
      <c r="G14" s="837"/>
      <c r="H14" s="837">
        <f t="shared" ref="H14:X14" si="2">SUBTOTAL(9,H12:H13)</f>
        <v>69180000</v>
      </c>
      <c r="I14" s="837">
        <f t="shared" si="2"/>
        <v>69180000</v>
      </c>
      <c r="J14" s="837">
        <f t="shared" si="2"/>
        <v>69180000</v>
      </c>
      <c r="K14" s="837">
        <f t="shared" si="2"/>
        <v>69180000</v>
      </c>
      <c r="L14" s="837">
        <f t="shared" si="2"/>
        <v>69180000</v>
      </c>
      <c r="M14" s="837">
        <f t="shared" si="2"/>
        <v>69180000</v>
      </c>
      <c r="N14" s="837">
        <f t="shared" si="2"/>
        <v>69180000</v>
      </c>
      <c r="O14" s="837">
        <f t="shared" si="2"/>
        <v>69180000</v>
      </c>
      <c r="P14" s="837">
        <f t="shared" si="2"/>
        <v>69180000</v>
      </c>
      <c r="Q14" s="837">
        <f t="shared" si="2"/>
        <v>69180000</v>
      </c>
      <c r="R14" s="837">
        <f t="shared" si="2"/>
        <v>69180000</v>
      </c>
      <c r="S14" s="837">
        <f t="shared" si="2"/>
        <v>69180000</v>
      </c>
      <c r="T14" s="837">
        <f t="shared" si="2"/>
        <v>830160000</v>
      </c>
      <c r="U14" s="837">
        <f t="shared" si="2"/>
        <v>830160000</v>
      </c>
      <c r="V14" s="837">
        <f t="shared" si="2"/>
        <v>830160000</v>
      </c>
      <c r="W14" s="837">
        <f t="shared" si="2"/>
        <v>830160000</v>
      </c>
      <c r="X14" s="837">
        <f t="shared" si="2"/>
        <v>830160000</v>
      </c>
    </row>
    <row r="15" spans="1:24" s="825" customFormat="1" ht="40" customHeight="1" x14ac:dyDescent="0.35">
      <c r="A15" s="838" t="s">
        <v>61</v>
      </c>
      <c r="B15" s="839" t="s">
        <v>61</v>
      </c>
      <c r="C15" s="840" t="s">
        <v>286</v>
      </c>
      <c r="D15" s="841"/>
      <c r="E15" s="841"/>
      <c r="F15" s="842"/>
      <c r="G15" s="842"/>
      <c r="H15" s="841"/>
      <c r="I15" s="841"/>
      <c r="J15" s="841"/>
      <c r="K15" s="841"/>
      <c r="L15" s="841"/>
      <c r="M15" s="841"/>
      <c r="N15" s="841"/>
      <c r="O15" s="841"/>
      <c r="P15" s="841"/>
      <c r="Q15" s="841"/>
      <c r="R15" s="841"/>
      <c r="S15" s="841"/>
      <c r="T15" s="843"/>
      <c r="U15" s="844"/>
      <c r="V15" s="845"/>
      <c r="W15" s="846"/>
      <c r="X15" s="846"/>
    </row>
    <row r="16" spans="1:24" s="825" customFormat="1" ht="40" customHeight="1" x14ac:dyDescent="0.35">
      <c r="A16" s="847" t="s">
        <v>61</v>
      </c>
      <c r="B16" s="848">
        <v>1</v>
      </c>
      <c r="C16" s="849" t="s">
        <v>287</v>
      </c>
      <c r="D16" s="850"/>
      <c r="E16" s="850"/>
      <c r="F16" s="851">
        <v>165000000</v>
      </c>
      <c r="G16" s="851">
        <f t="shared" ref="G16:G19" si="3">12*5</f>
        <v>60</v>
      </c>
      <c r="H16" s="850">
        <f t="shared" ref="H16:H18" si="4">F16/$G16</f>
        <v>2750000</v>
      </c>
      <c r="I16" s="850">
        <f t="shared" ref="I16:S19" si="5">H16</f>
        <v>2750000</v>
      </c>
      <c r="J16" s="850">
        <f t="shared" si="5"/>
        <v>2750000</v>
      </c>
      <c r="K16" s="850">
        <f t="shared" si="5"/>
        <v>2750000</v>
      </c>
      <c r="L16" s="850">
        <f t="shared" si="5"/>
        <v>2750000</v>
      </c>
      <c r="M16" s="850">
        <f t="shared" si="5"/>
        <v>2750000</v>
      </c>
      <c r="N16" s="850">
        <f t="shared" si="5"/>
        <v>2750000</v>
      </c>
      <c r="O16" s="850">
        <f t="shared" si="5"/>
        <v>2750000</v>
      </c>
      <c r="P16" s="850">
        <f t="shared" si="5"/>
        <v>2750000</v>
      </c>
      <c r="Q16" s="850">
        <f t="shared" si="5"/>
        <v>2750000</v>
      </c>
      <c r="R16" s="850">
        <f t="shared" si="5"/>
        <v>2750000</v>
      </c>
      <c r="S16" s="850">
        <f t="shared" si="5"/>
        <v>2750000</v>
      </c>
      <c r="T16" s="852">
        <f t="shared" ref="T16:T19" si="6">SUM(H16:S16)</f>
        <v>33000000</v>
      </c>
      <c r="U16" s="853">
        <f t="shared" ref="U16:U19" si="7">MIN(F16-T16,F16/G16*12)</f>
        <v>33000000</v>
      </c>
      <c r="V16" s="854">
        <f t="shared" ref="V16:V19" si="8">MIN(F16-T16-U16,F16/G16*12)</f>
        <v>33000000</v>
      </c>
      <c r="W16" s="855">
        <f t="shared" ref="W16:W19" si="9">MIN(F16-T16-U16-V16,F16/G16*12)</f>
        <v>33000000</v>
      </c>
      <c r="X16" s="855">
        <f t="shared" ref="X16:X19" si="10">F16-T16-U16-V16-W16</f>
        <v>33000000</v>
      </c>
    </row>
    <row r="17" spans="1:24" s="825" customFormat="1" ht="40" customHeight="1" x14ac:dyDescent="0.35">
      <c r="A17" s="847" t="s">
        <v>61</v>
      </c>
      <c r="B17" s="848">
        <v>2</v>
      </c>
      <c r="C17" s="849" t="s">
        <v>289</v>
      </c>
      <c r="D17" s="850"/>
      <c r="E17" s="850"/>
      <c r="F17" s="851">
        <v>25250000</v>
      </c>
      <c r="G17" s="851">
        <f t="shared" si="3"/>
        <v>60</v>
      </c>
      <c r="H17" s="850">
        <f t="shared" si="4"/>
        <v>420833.33333333331</v>
      </c>
      <c r="I17" s="850">
        <f t="shared" si="5"/>
        <v>420833.33333333331</v>
      </c>
      <c r="J17" s="850">
        <f t="shared" si="5"/>
        <v>420833.33333333331</v>
      </c>
      <c r="K17" s="850">
        <f t="shared" si="5"/>
        <v>420833.33333333331</v>
      </c>
      <c r="L17" s="850">
        <f t="shared" si="5"/>
        <v>420833.33333333331</v>
      </c>
      <c r="M17" s="850">
        <f t="shared" si="5"/>
        <v>420833.33333333331</v>
      </c>
      <c r="N17" s="850">
        <f t="shared" si="5"/>
        <v>420833.33333333331</v>
      </c>
      <c r="O17" s="850">
        <f t="shared" si="5"/>
        <v>420833.33333333331</v>
      </c>
      <c r="P17" s="850">
        <f t="shared" si="5"/>
        <v>420833.33333333331</v>
      </c>
      <c r="Q17" s="850">
        <f t="shared" si="5"/>
        <v>420833.33333333331</v>
      </c>
      <c r="R17" s="850">
        <f t="shared" si="5"/>
        <v>420833.33333333331</v>
      </c>
      <c r="S17" s="850">
        <f t="shared" si="5"/>
        <v>420833.33333333331</v>
      </c>
      <c r="T17" s="852">
        <f t="shared" si="6"/>
        <v>5050000</v>
      </c>
      <c r="U17" s="853">
        <f t="shared" si="7"/>
        <v>5050000</v>
      </c>
      <c r="V17" s="854">
        <f t="shared" si="8"/>
        <v>5050000</v>
      </c>
      <c r="W17" s="855">
        <f t="shared" si="9"/>
        <v>5050000</v>
      </c>
      <c r="X17" s="855">
        <f t="shared" si="10"/>
        <v>5050000</v>
      </c>
    </row>
    <row r="18" spans="1:24" s="825" customFormat="1" ht="40" customHeight="1" x14ac:dyDescent="0.35">
      <c r="A18" s="847" t="s">
        <v>61</v>
      </c>
      <c r="B18" s="848">
        <v>3</v>
      </c>
      <c r="C18" s="849" t="s">
        <v>290</v>
      </c>
      <c r="D18" s="850"/>
      <c r="E18" s="850"/>
      <c r="F18" s="851">
        <v>500000000</v>
      </c>
      <c r="G18" s="851">
        <f t="shared" si="3"/>
        <v>60</v>
      </c>
      <c r="H18" s="850">
        <f t="shared" si="4"/>
        <v>8333333.333333333</v>
      </c>
      <c r="I18" s="850">
        <f t="shared" si="5"/>
        <v>8333333.333333333</v>
      </c>
      <c r="J18" s="850">
        <f t="shared" si="5"/>
        <v>8333333.333333333</v>
      </c>
      <c r="K18" s="850">
        <f t="shared" si="5"/>
        <v>8333333.333333333</v>
      </c>
      <c r="L18" s="850">
        <f t="shared" si="5"/>
        <v>8333333.333333333</v>
      </c>
      <c r="M18" s="850">
        <f t="shared" si="5"/>
        <v>8333333.333333333</v>
      </c>
      <c r="N18" s="850">
        <f t="shared" si="5"/>
        <v>8333333.333333333</v>
      </c>
      <c r="O18" s="850">
        <f t="shared" si="5"/>
        <v>8333333.333333333</v>
      </c>
      <c r="P18" s="850">
        <f t="shared" si="5"/>
        <v>8333333.333333333</v>
      </c>
      <c r="Q18" s="850">
        <f t="shared" si="5"/>
        <v>8333333.333333333</v>
      </c>
      <c r="R18" s="850">
        <f t="shared" si="5"/>
        <v>8333333.333333333</v>
      </c>
      <c r="S18" s="850">
        <f t="shared" si="5"/>
        <v>8333333.333333333</v>
      </c>
      <c r="T18" s="852">
        <f t="shared" si="6"/>
        <v>99999999.999999985</v>
      </c>
      <c r="U18" s="853">
        <f t="shared" si="7"/>
        <v>100000000</v>
      </c>
      <c r="V18" s="854">
        <f t="shared" si="8"/>
        <v>100000000</v>
      </c>
      <c r="W18" s="855">
        <f t="shared" si="9"/>
        <v>100000000</v>
      </c>
      <c r="X18" s="855">
        <f t="shared" si="10"/>
        <v>100000000</v>
      </c>
    </row>
    <row r="19" spans="1:24" s="825" customFormat="1" ht="40" customHeight="1" x14ac:dyDescent="0.35">
      <c r="A19" s="826" t="s">
        <v>61</v>
      </c>
      <c r="B19" s="827">
        <v>4</v>
      </c>
      <c r="C19" s="828" t="s">
        <v>295</v>
      </c>
      <c r="D19" s="829"/>
      <c r="E19" s="829"/>
      <c r="F19" s="830">
        <v>350000000</v>
      </c>
      <c r="G19" s="830">
        <f t="shared" si="3"/>
        <v>60</v>
      </c>
      <c r="H19" s="829">
        <f>F19/$G19</f>
        <v>5833333.333333333</v>
      </c>
      <c r="I19" s="829">
        <f t="shared" si="5"/>
        <v>5833333.333333333</v>
      </c>
      <c r="J19" s="829">
        <f t="shared" si="5"/>
        <v>5833333.333333333</v>
      </c>
      <c r="K19" s="829">
        <f t="shared" si="5"/>
        <v>5833333.333333333</v>
      </c>
      <c r="L19" s="829">
        <f t="shared" si="5"/>
        <v>5833333.333333333</v>
      </c>
      <c r="M19" s="829">
        <f t="shared" si="5"/>
        <v>5833333.333333333</v>
      </c>
      <c r="N19" s="829">
        <f t="shared" si="5"/>
        <v>5833333.333333333</v>
      </c>
      <c r="O19" s="829">
        <f t="shared" si="5"/>
        <v>5833333.333333333</v>
      </c>
      <c r="P19" s="829">
        <f t="shared" si="5"/>
        <v>5833333.333333333</v>
      </c>
      <c r="Q19" s="829">
        <f t="shared" si="5"/>
        <v>5833333.333333333</v>
      </c>
      <c r="R19" s="829">
        <f t="shared" si="5"/>
        <v>5833333.333333333</v>
      </c>
      <c r="S19" s="829">
        <f t="shared" si="5"/>
        <v>5833333.333333333</v>
      </c>
      <c r="T19" s="831">
        <f t="shared" si="6"/>
        <v>70000000.000000015</v>
      </c>
      <c r="U19" s="832">
        <f t="shared" si="7"/>
        <v>70000000</v>
      </c>
      <c r="V19" s="833">
        <f t="shared" si="8"/>
        <v>70000000</v>
      </c>
      <c r="W19" s="834">
        <f t="shared" si="9"/>
        <v>70000000</v>
      </c>
      <c r="X19" s="834">
        <f t="shared" si="10"/>
        <v>70000000</v>
      </c>
    </row>
    <row r="20" spans="1:24" s="825" customFormat="1" ht="40" customHeight="1" x14ac:dyDescent="0.35">
      <c r="A20" s="835" t="s">
        <v>602</v>
      </c>
      <c r="B20" s="836"/>
      <c r="C20" s="810" t="s">
        <v>286</v>
      </c>
      <c r="D20" s="837"/>
      <c r="E20" s="837"/>
      <c r="F20" s="837">
        <f>SUBTOTAL(9,F15:F19)</f>
        <v>1040250000</v>
      </c>
      <c r="G20" s="837"/>
      <c r="H20" s="837">
        <f t="shared" ref="H20:X20" si="11">SUBTOTAL(9,H15:H19)</f>
        <v>17337500</v>
      </c>
      <c r="I20" s="837">
        <f t="shared" si="11"/>
        <v>17337500</v>
      </c>
      <c r="J20" s="837">
        <f t="shared" si="11"/>
        <v>17337500</v>
      </c>
      <c r="K20" s="837">
        <f t="shared" si="11"/>
        <v>17337500</v>
      </c>
      <c r="L20" s="837">
        <f t="shared" si="11"/>
        <v>17337500</v>
      </c>
      <c r="M20" s="837">
        <f t="shared" si="11"/>
        <v>17337500</v>
      </c>
      <c r="N20" s="837">
        <f t="shared" si="11"/>
        <v>17337500</v>
      </c>
      <c r="O20" s="837">
        <f t="shared" si="11"/>
        <v>17337500</v>
      </c>
      <c r="P20" s="837">
        <f t="shared" si="11"/>
        <v>17337500</v>
      </c>
      <c r="Q20" s="837">
        <f t="shared" si="11"/>
        <v>17337500</v>
      </c>
      <c r="R20" s="837">
        <f t="shared" si="11"/>
        <v>17337500</v>
      </c>
      <c r="S20" s="837">
        <f t="shared" si="11"/>
        <v>17337500</v>
      </c>
      <c r="T20" s="837">
        <f t="shared" si="11"/>
        <v>208050000</v>
      </c>
      <c r="U20" s="837">
        <f t="shared" si="11"/>
        <v>208050000</v>
      </c>
      <c r="V20" s="837">
        <f t="shared" si="11"/>
        <v>208050000</v>
      </c>
      <c r="W20" s="837">
        <f t="shared" si="11"/>
        <v>208050000</v>
      </c>
      <c r="X20" s="837">
        <f t="shared" si="11"/>
        <v>208050000</v>
      </c>
    </row>
    <row r="21" spans="1:24" s="825" customFormat="1" ht="40" customHeight="1" x14ac:dyDescent="0.35">
      <c r="A21" s="838" t="s">
        <v>55</v>
      </c>
      <c r="B21" s="839" t="s">
        <v>55</v>
      </c>
      <c r="C21" s="840" t="s">
        <v>316</v>
      </c>
      <c r="D21" s="841"/>
      <c r="E21" s="841"/>
      <c r="F21" s="842"/>
      <c r="G21" s="842"/>
      <c r="H21" s="841"/>
      <c r="I21" s="841"/>
      <c r="J21" s="841"/>
      <c r="K21" s="841"/>
      <c r="L21" s="841"/>
      <c r="M21" s="841"/>
      <c r="N21" s="841"/>
      <c r="O21" s="841"/>
      <c r="P21" s="841"/>
      <c r="Q21" s="841"/>
      <c r="R21" s="841"/>
      <c r="S21" s="841"/>
      <c r="T21" s="843"/>
      <c r="U21" s="844"/>
      <c r="V21" s="845"/>
      <c r="W21" s="846"/>
      <c r="X21" s="846"/>
    </row>
    <row r="22" spans="1:24" s="825" customFormat="1" ht="40" customHeight="1" x14ac:dyDescent="0.35">
      <c r="A22" s="826" t="s">
        <v>55</v>
      </c>
      <c r="B22" s="827">
        <v>1</v>
      </c>
      <c r="C22" s="828" t="s">
        <v>318</v>
      </c>
      <c r="D22" s="829"/>
      <c r="E22" s="829"/>
      <c r="F22" s="830">
        <v>168000000</v>
      </c>
      <c r="G22" s="830">
        <f>12*5</f>
        <v>60</v>
      </c>
      <c r="H22" s="829">
        <f>F22/$G22</f>
        <v>2800000</v>
      </c>
      <c r="I22" s="829">
        <f t="shared" ref="I22:J22" si="12">H22</f>
        <v>2800000</v>
      </c>
      <c r="J22" s="829">
        <f t="shared" si="12"/>
        <v>2800000</v>
      </c>
      <c r="K22" s="829">
        <f t="shared" ref="K22" si="13">J22</f>
        <v>2800000</v>
      </c>
      <c r="L22" s="829">
        <f t="shared" ref="L22" si="14">K22</f>
        <v>2800000</v>
      </c>
      <c r="M22" s="829">
        <f t="shared" ref="M22" si="15">L22</f>
        <v>2800000</v>
      </c>
      <c r="N22" s="829">
        <f t="shared" ref="N22" si="16">M22</f>
        <v>2800000</v>
      </c>
      <c r="O22" s="829">
        <f t="shared" ref="O22" si="17">N22</f>
        <v>2800000</v>
      </c>
      <c r="P22" s="829">
        <f t="shared" ref="P22" si="18">O22</f>
        <v>2800000</v>
      </c>
      <c r="Q22" s="829">
        <f t="shared" ref="Q22" si="19">P22</f>
        <v>2800000</v>
      </c>
      <c r="R22" s="829">
        <f t="shared" ref="R22" si="20">Q22</f>
        <v>2800000</v>
      </c>
      <c r="S22" s="829">
        <f t="shared" ref="S22" si="21">R22</f>
        <v>2800000</v>
      </c>
      <c r="T22" s="831">
        <f t="shared" ref="T22" si="22">SUM(H22:S22)</f>
        <v>33600000</v>
      </c>
      <c r="U22" s="832">
        <f t="shared" ref="U22" si="23">MIN(F22-T22,F22/G22*12)</f>
        <v>33600000</v>
      </c>
      <c r="V22" s="833">
        <f>MIN(F22-T22-U22,F22/G22*12)</f>
        <v>33600000</v>
      </c>
      <c r="W22" s="834">
        <f>MIN(F22-T22-U22-V22,F22/G22*12)</f>
        <v>33600000</v>
      </c>
      <c r="X22" s="834">
        <f>F22-T22-U22-V22-W22</f>
        <v>33600000</v>
      </c>
    </row>
    <row r="23" spans="1:24" s="825" customFormat="1" ht="40" customHeight="1" x14ac:dyDescent="0.35">
      <c r="A23" s="835" t="s">
        <v>605</v>
      </c>
      <c r="B23" s="836"/>
      <c r="C23" s="810" t="s">
        <v>316</v>
      </c>
      <c r="D23" s="837"/>
      <c r="E23" s="837"/>
      <c r="F23" s="837">
        <f>SUBTOTAL(9,F21:F22)</f>
        <v>168000000</v>
      </c>
      <c r="G23" s="837"/>
      <c r="H23" s="837">
        <f t="shared" ref="H23:X23" si="24">SUBTOTAL(9,H21:H22)</f>
        <v>2800000</v>
      </c>
      <c r="I23" s="837">
        <f t="shared" si="24"/>
        <v>2800000</v>
      </c>
      <c r="J23" s="837">
        <f t="shared" si="24"/>
        <v>2800000</v>
      </c>
      <c r="K23" s="837">
        <f t="shared" si="24"/>
        <v>2800000</v>
      </c>
      <c r="L23" s="837">
        <f t="shared" si="24"/>
        <v>2800000</v>
      </c>
      <c r="M23" s="837">
        <f t="shared" si="24"/>
        <v>2800000</v>
      </c>
      <c r="N23" s="837">
        <f t="shared" si="24"/>
        <v>2800000</v>
      </c>
      <c r="O23" s="837">
        <f t="shared" si="24"/>
        <v>2800000</v>
      </c>
      <c r="P23" s="837">
        <f t="shared" si="24"/>
        <v>2800000</v>
      </c>
      <c r="Q23" s="837">
        <f t="shared" si="24"/>
        <v>2800000</v>
      </c>
      <c r="R23" s="837">
        <f t="shared" si="24"/>
        <v>2800000</v>
      </c>
      <c r="S23" s="837">
        <f t="shared" si="24"/>
        <v>2800000</v>
      </c>
      <c r="T23" s="837">
        <f t="shared" si="24"/>
        <v>33600000</v>
      </c>
      <c r="U23" s="837">
        <f t="shared" si="24"/>
        <v>33600000</v>
      </c>
      <c r="V23" s="837">
        <f t="shared" si="24"/>
        <v>33600000</v>
      </c>
      <c r="W23" s="837">
        <f t="shared" si="24"/>
        <v>33600000</v>
      </c>
      <c r="X23" s="837">
        <f t="shared" si="24"/>
        <v>33600000</v>
      </c>
    </row>
    <row r="24" spans="1:24" s="825" customFormat="1" ht="40" customHeight="1" x14ac:dyDescent="0.35">
      <c r="A24" s="838" t="s">
        <v>20</v>
      </c>
      <c r="B24" s="839" t="s">
        <v>20</v>
      </c>
      <c r="C24" s="840" t="s">
        <v>587</v>
      </c>
      <c r="D24" s="841"/>
      <c r="E24" s="841"/>
      <c r="F24" s="842"/>
      <c r="G24" s="842"/>
      <c r="H24" s="841"/>
      <c r="I24" s="841"/>
      <c r="J24" s="841"/>
      <c r="K24" s="841"/>
      <c r="L24" s="841"/>
      <c r="M24" s="841"/>
      <c r="N24" s="841"/>
      <c r="O24" s="841"/>
      <c r="P24" s="841"/>
      <c r="Q24" s="841"/>
      <c r="R24" s="841"/>
      <c r="S24" s="841"/>
      <c r="T24" s="843"/>
      <c r="U24" s="844"/>
      <c r="V24" s="845"/>
      <c r="W24" s="846"/>
      <c r="X24" s="846"/>
    </row>
    <row r="25" spans="1:24" s="825" customFormat="1" ht="40" customHeight="1" x14ac:dyDescent="0.35">
      <c r="A25" s="847" t="s">
        <v>20</v>
      </c>
      <c r="B25" s="848">
        <v>1</v>
      </c>
      <c r="C25" s="849" t="s">
        <v>348</v>
      </c>
      <c r="D25" s="850"/>
      <c r="E25" s="850"/>
      <c r="F25" s="851">
        <v>1560000000</v>
      </c>
      <c r="G25" s="851">
        <f t="shared" ref="G25:G30" si="25">12*5</f>
        <v>60</v>
      </c>
      <c r="H25" s="850">
        <f t="shared" ref="H25:H30" si="26">F25/$G25</f>
        <v>26000000</v>
      </c>
      <c r="I25" s="850">
        <f t="shared" ref="I25:I30" si="27">H25</f>
        <v>26000000</v>
      </c>
      <c r="J25" s="850">
        <f t="shared" ref="J25:S25" si="28">I25</f>
        <v>26000000</v>
      </c>
      <c r="K25" s="850">
        <f t="shared" si="28"/>
        <v>26000000</v>
      </c>
      <c r="L25" s="850">
        <f t="shared" si="28"/>
        <v>26000000</v>
      </c>
      <c r="M25" s="850">
        <f t="shared" si="28"/>
        <v>26000000</v>
      </c>
      <c r="N25" s="850">
        <f t="shared" si="28"/>
        <v>26000000</v>
      </c>
      <c r="O25" s="850">
        <f t="shared" si="28"/>
        <v>26000000</v>
      </c>
      <c r="P25" s="850">
        <f t="shared" si="28"/>
        <v>26000000</v>
      </c>
      <c r="Q25" s="850">
        <f t="shared" si="28"/>
        <v>26000000</v>
      </c>
      <c r="R25" s="850">
        <f t="shared" si="28"/>
        <v>26000000</v>
      </c>
      <c r="S25" s="850">
        <f t="shared" si="28"/>
        <v>26000000</v>
      </c>
      <c r="T25" s="852">
        <f t="shared" ref="T25:T30" si="29">SUM(H25:S25)</f>
        <v>312000000</v>
      </c>
      <c r="U25" s="853">
        <f t="shared" ref="U25:U30" si="30">MIN(F25-T25,F25/G25*12)</f>
        <v>312000000</v>
      </c>
      <c r="V25" s="854">
        <f t="shared" ref="V25:V30" si="31">MIN(F25-T25-U25,F25/G25*12)</f>
        <v>312000000</v>
      </c>
      <c r="W25" s="855">
        <f t="shared" ref="W25:W30" si="32">MIN(F25-T25-U25-V25,F25/G25*12)</f>
        <v>312000000</v>
      </c>
      <c r="X25" s="855">
        <f t="shared" ref="X25:X30" si="33">F25-T25-U25-V25-W25</f>
        <v>312000000</v>
      </c>
    </row>
    <row r="26" spans="1:24" s="825" customFormat="1" ht="40" customHeight="1" x14ac:dyDescent="0.35">
      <c r="A26" s="847" t="s">
        <v>20</v>
      </c>
      <c r="B26" s="848">
        <v>2</v>
      </c>
      <c r="C26" s="849" t="s">
        <v>352</v>
      </c>
      <c r="D26" s="850"/>
      <c r="E26" s="850"/>
      <c r="F26" s="851">
        <v>2400000000</v>
      </c>
      <c r="G26" s="851">
        <f t="shared" si="25"/>
        <v>60</v>
      </c>
      <c r="H26" s="850">
        <f t="shared" si="26"/>
        <v>40000000</v>
      </c>
      <c r="I26" s="850">
        <f t="shared" si="27"/>
        <v>40000000</v>
      </c>
      <c r="J26" s="850">
        <f t="shared" ref="J26:S26" si="34">I26</f>
        <v>40000000</v>
      </c>
      <c r="K26" s="850">
        <f t="shared" si="34"/>
        <v>40000000</v>
      </c>
      <c r="L26" s="850">
        <f t="shared" si="34"/>
        <v>40000000</v>
      </c>
      <c r="M26" s="850">
        <f t="shared" si="34"/>
        <v>40000000</v>
      </c>
      <c r="N26" s="850">
        <f t="shared" si="34"/>
        <v>40000000</v>
      </c>
      <c r="O26" s="850">
        <f t="shared" si="34"/>
        <v>40000000</v>
      </c>
      <c r="P26" s="850">
        <f t="shared" si="34"/>
        <v>40000000</v>
      </c>
      <c r="Q26" s="850">
        <f t="shared" si="34"/>
        <v>40000000</v>
      </c>
      <c r="R26" s="850">
        <f t="shared" si="34"/>
        <v>40000000</v>
      </c>
      <c r="S26" s="850">
        <f t="shared" si="34"/>
        <v>40000000</v>
      </c>
      <c r="T26" s="852">
        <f t="shared" si="29"/>
        <v>480000000</v>
      </c>
      <c r="U26" s="853">
        <f t="shared" si="30"/>
        <v>480000000</v>
      </c>
      <c r="V26" s="854">
        <f t="shared" si="31"/>
        <v>480000000</v>
      </c>
      <c r="W26" s="855">
        <f t="shared" si="32"/>
        <v>480000000</v>
      </c>
      <c r="X26" s="855">
        <f t="shared" si="33"/>
        <v>480000000</v>
      </c>
    </row>
    <row r="27" spans="1:24" s="825" customFormat="1" ht="40" customHeight="1" x14ac:dyDescent="0.35">
      <c r="A27" s="847" t="s">
        <v>20</v>
      </c>
      <c r="B27" s="848">
        <v>3</v>
      </c>
      <c r="C27" s="849" t="s">
        <v>511</v>
      </c>
      <c r="D27" s="850"/>
      <c r="E27" s="850"/>
      <c r="F27" s="851"/>
      <c r="G27" s="851">
        <f t="shared" si="25"/>
        <v>60</v>
      </c>
      <c r="H27" s="850">
        <f t="shared" si="26"/>
        <v>0</v>
      </c>
      <c r="I27" s="850">
        <f t="shared" si="27"/>
        <v>0</v>
      </c>
      <c r="J27" s="850">
        <f t="shared" ref="J27:S27" si="35">I27</f>
        <v>0</v>
      </c>
      <c r="K27" s="850">
        <f t="shared" si="35"/>
        <v>0</v>
      </c>
      <c r="L27" s="850">
        <f t="shared" si="35"/>
        <v>0</v>
      </c>
      <c r="M27" s="850">
        <f t="shared" si="35"/>
        <v>0</v>
      </c>
      <c r="N27" s="850">
        <f t="shared" si="35"/>
        <v>0</v>
      </c>
      <c r="O27" s="850">
        <f t="shared" si="35"/>
        <v>0</v>
      </c>
      <c r="P27" s="850">
        <f t="shared" si="35"/>
        <v>0</v>
      </c>
      <c r="Q27" s="850">
        <f t="shared" si="35"/>
        <v>0</v>
      </c>
      <c r="R27" s="850">
        <f t="shared" si="35"/>
        <v>0</v>
      </c>
      <c r="S27" s="850">
        <f t="shared" si="35"/>
        <v>0</v>
      </c>
      <c r="T27" s="852">
        <f t="shared" si="29"/>
        <v>0</v>
      </c>
      <c r="U27" s="853">
        <f t="shared" si="30"/>
        <v>0</v>
      </c>
      <c r="V27" s="854">
        <f t="shared" si="31"/>
        <v>0</v>
      </c>
      <c r="W27" s="855">
        <f t="shared" si="32"/>
        <v>0</v>
      </c>
      <c r="X27" s="855">
        <f t="shared" si="33"/>
        <v>0</v>
      </c>
    </row>
    <row r="28" spans="1:24" s="825" customFormat="1" ht="40" customHeight="1" x14ac:dyDescent="0.35">
      <c r="A28" s="847" t="s">
        <v>20</v>
      </c>
      <c r="B28" s="848">
        <v>4</v>
      </c>
      <c r="C28" s="849" t="s">
        <v>353</v>
      </c>
      <c r="D28" s="850"/>
      <c r="E28" s="850"/>
      <c r="F28" s="851">
        <v>300000000</v>
      </c>
      <c r="G28" s="851">
        <f t="shared" si="25"/>
        <v>60</v>
      </c>
      <c r="H28" s="850">
        <f t="shared" si="26"/>
        <v>5000000</v>
      </c>
      <c r="I28" s="850">
        <f t="shared" si="27"/>
        <v>5000000</v>
      </c>
      <c r="J28" s="850">
        <f t="shared" ref="J28:S28" si="36">I28</f>
        <v>5000000</v>
      </c>
      <c r="K28" s="850">
        <f t="shared" si="36"/>
        <v>5000000</v>
      </c>
      <c r="L28" s="850">
        <f t="shared" si="36"/>
        <v>5000000</v>
      </c>
      <c r="M28" s="850">
        <f t="shared" si="36"/>
        <v>5000000</v>
      </c>
      <c r="N28" s="850">
        <f t="shared" si="36"/>
        <v>5000000</v>
      </c>
      <c r="O28" s="850">
        <f t="shared" si="36"/>
        <v>5000000</v>
      </c>
      <c r="P28" s="850">
        <f t="shared" si="36"/>
        <v>5000000</v>
      </c>
      <c r="Q28" s="850">
        <f t="shared" si="36"/>
        <v>5000000</v>
      </c>
      <c r="R28" s="850">
        <f t="shared" si="36"/>
        <v>5000000</v>
      </c>
      <c r="S28" s="850">
        <f t="shared" si="36"/>
        <v>5000000</v>
      </c>
      <c r="T28" s="852">
        <f t="shared" si="29"/>
        <v>60000000</v>
      </c>
      <c r="U28" s="853">
        <f t="shared" si="30"/>
        <v>60000000</v>
      </c>
      <c r="V28" s="854">
        <f t="shared" si="31"/>
        <v>60000000</v>
      </c>
      <c r="W28" s="855">
        <f t="shared" si="32"/>
        <v>60000000</v>
      </c>
      <c r="X28" s="855">
        <f t="shared" si="33"/>
        <v>60000000</v>
      </c>
    </row>
    <row r="29" spans="1:24" s="825" customFormat="1" ht="40" customHeight="1" x14ac:dyDescent="0.35">
      <c r="A29" s="847" t="s">
        <v>20</v>
      </c>
      <c r="B29" s="848">
        <v>5</v>
      </c>
      <c r="C29" s="849" t="s">
        <v>354</v>
      </c>
      <c r="D29" s="850"/>
      <c r="E29" s="850"/>
      <c r="F29" s="851">
        <v>550000000</v>
      </c>
      <c r="G29" s="851">
        <f t="shared" si="25"/>
        <v>60</v>
      </c>
      <c r="H29" s="850">
        <f t="shared" si="26"/>
        <v>9166666.666666666</v>
      </c>
      <c r="I29" s="850">
        <f t="shared" si="27"/>
        <v>9166666.666666666</v>
      </c>
      <c r="J29" s="850">
        <f t="shared" ref="J29:S29" si="37">I29</f>
        <v>9166666.666666666</v>
      </c>
      <c r="K29" s="850">
        <f t="shared" si="37"/>
        <v>9166666.666666666</v>
      </c>
      <c r="L29" s="850">
        <f t="shared" si="37"/>
        <v>9166666.666666666</v>
      </c>
      <c r="M29" s="850">
        <f t="shared" si="37"/>
        <v>9166666.666666666</v>
      </c>
      <c r="N29" s="850">
        <f t="shared" si="37"/>
        <v>9166666.666666666</v>
      </c>
      <c r="O29" s="850">
        <f t="shared" si="37"/>
        <v>9166666.666666666</v>
      </c>
      <c r="P29" s="850">
        <f t="shared" si="37"/>
        <v>9166666.666666666</v>
      </c>
      <c r="Q29" s="850">
        <f t="shared" si="37"/>
        <v>9166666.666666666</v>
      </c>
      <c r="R29" s="850">
        <f t="shared" si="37"/>
        <v>9166666.666666666</v>
      </c>
      <c r="S29" s="850">
        <f t="shared" si="37"/>
        <v>9166666.666666666</v>
      </c>
      <c r="T29" s="852">
        <f t="shared" si="29"/>
        <v>110000000.00000001</v>
      </c>
      <c r="U29" s="853">
        <f t="shared" si="30"/>
        <v>110000000</v>
      </c>
      <c r="V29" s="854">
        <f t="shared" si="31"/>
        <v>110000000</v>
      </c>
      <c r="W29" s="855">
        <f t="shared" si="32"/>
        <v>110000000</v>
      </c>
      <c r="X29" s="855">
        <f t="shared" si="33"/>
        <v>110000000</v>
      </c>
    </row>
    <row r="30" spans="1:24" s="825" customFormat="1" ht="40" customHeight="1" x14ac:dyDescent="0.35">
      <c r="A30" s="826" t="s">
        <v>20</v>
      </c>
      <c r="B30" s="827">
        <v>6</v>
      </c>
      <c r="C30" s="828" t="s">
        <v>356</v>
      </c>
      <c r="D30" s="829"/>
      <c r="E30" s="829"/>
      <c r="F30" s="830">
        <v>280000000</v>
      </c>
      <c r="G30" s="830">
        <f t="shared" si="25"/>
        <v>60</v>
      </c>
      <c r="H30" s="829">
        <f t="shared" si="26"/>
        <v>4666666.666666667</v>
      </c>
      <c r="I30" s="829">
        <f t="shared" si="27"/>
        <v>4666666.666666667</v>
      </c>
      <c r="J30" s="829">
        <f t="shared" ref="J30:S30" si="38">I30</f>
        <v>4666666.666666667</v>
      </c>
      <c r="K30" s="829">
        <f t="shared" si="38"/>
        <v>4666666.666666667</v>
      </c>
      <c r="L30" s="829">
        <f t="shared" si="38"/>
        <v>4666666.666666667</v>
      </c>
      <c r="M30" s="829">
        <f t="shared" si="38"/>
        <v>4666666.666666667</v>
      </c>
      <c r="N30" s="829">
        <f t="shared" si="38"/>
        <v>4666666.666666667</v>
      </c>
      <c r="O30" s="829">
        <f t="shared" si="38"/>
        <v>4666666.666666667</v>
      </c>
      <c r="P30" s="829">
        <f t="shared" si="38"/>
        <v>4666666.666666667</v>
      </c>
      <c r="Q30" s="829">
        <f t="shared" si="38"/>
        <v>4666666.666666667</v>
      </c>
      <c r="R30" s="829">
        <f t="shared" si="38"/>
        <v>4666666.666666667</v>
      </c>
      <c r="S30" s="829">
        <f t="shared" si="38"/>
        <v>4666666.666666667</v>
      </c>
      <c r="T30" s="831">
        <f t="shared" si="29"/>
        <v>55999999.999999993</v>
      </c>
      <c r="U30" s="832">
        <f t="shared" si="30"/>
        <v>56000000</v>
      </c>
      <c r="V30" s="833">
        <f t="shared" si="31"/>
        <v>56000000</v>
      </c>
      <c r="W30" s="834">
        <f t="shared" si="32"/>
        <v>56000000</v>
      </c>
      <c r="X30" s="834">
        <f t="shared" si="33"/>
        <v>56000000</v>
      </c>
    </row>
    <row r="31" spans="1:24" s="825" customFormat="1" ht="40" customHeight="1" x14ac:dyDescent="0.35">
      <c r="A31" s="835" t="s">
        <v>613</v>
      </c>
      <c r="B31" s="836"/>
      <c r="C31" s="810" t="s">
        <v>587</v>
      </c>
      <c r="D31" s="837"/>
      <c r="E31" s="837"/>
      <c r="F31" s="837">
        <f>SUBTOTAL(9,F24:F30)</f>
        <v>5090000000</v>
      </c>
      <c r="G31" s="837"/>
      <c r="H31" s="837">
        <f t="shared" ref="H31:X31" si="39">SUBTOTAL(9,H24:H30)</f>
        <v>84833333.333333343</v>
      </c>
      <c r="I31" s="837">
        <f t="shared" si="39"/>
        <v>84833333.333333343</v>
      </c>
      <c r="J31" s="837">
        <f t="shared" si="39"/>
        <v>84833333.333333343</v>
      </c>
      <c r="K31" s="837">
        <f t="shared" si="39"/>
        <v>84833333.333333343</v>
      </c>
      <c r="L31" s="837">
        <f t="shared" si="39"/>
        <v>84833333.333333343</v>
      </c>
      <c r="M31" s="837">
        <f t="shared" si="39"/>
        <v>84833333.333333343</v>
      </c>
      <c r="N31" s="837">
        <f t="shared" si="39"/>
        <v>84833333.333333343</v>
      </c>
      <c r="O31" s="837">
        <f t="shared" si="39"/>
        <v>84833333.333333343</v>
      </c>
      <c r="P31" s="837">
        <f t="shared" si="39"/>
        <v>84833333.333333343</v>
      </c>
      <c r="Q31" s="837">
        <f t="shared" si="39"/>
        <v>84833333.333333343</v>
      </c>
      <c r="R31" s="837">
        <f t="shared" si="39"/>
        <v>84833333.333333343</v>
      </c>
      <c r="S31" s="837">
        <f t="shared" si="39"/>
        <v>84833333.333333343</v>
      </c>
      <c r="T31" s="837">
        <f t="shared" si="39"/>
        <v>1018000000</v>
      </c>
      <c r="U31" s="837">
        <f t="shared" si="39"/>
        <v>1018000000</v>
      </c>
      <c r="V31" s="837">
        <f t="shared" si="39"/>
        <v>1018000000</v>
      </c>
      <c r="W31" s="837">
        <f t="shared" si="39"/>
        <v>1018000000</v>
      </c>
      <c r="X31" s="837">
        <f t="shared" si="39"/>
        <v>1018000000</v>
      </c>
    </row>
    <row r="32" spans="1:24" s="825" customFormat="1" ht="40" customHeight="1" x14ac:dyDescent="0.35">
      <c r="A32" s="835" t="s">
        <v>598</v>
      </c>
      <c r="B32" s="836"/>
      <c r="C32" s="810"/>
      <c r="D32" s="837"/>
      <c r="E32" s="837"/>
      <c r="F32" s="837">
        <f>SUBTOTAL(9,F12:F31)</f>
        <v>10449050000</v>
      </c>
      <c r="G32" s="837"/>
      <c r="H32" s="837">
        <f t="shared" ref="H32:X32" si="40">SUBTOTAL(9,H12:H31)</f>
        <v>174150833.33333331</v>
      </c>
      <c r="I32" s="837">
        <f t="shared" si="40"/>
        <v>174150833.33333331</v>
      </c>
      <c r="J32" s="837">
        <f t="shared" si="40"/>
        <v>174150833.33333331</v>
      </c>
      <c r="K32" s="837">
        <f t="shared" si="40"/>
        <v>174150833.33333331</v>
      </c>
      <c r="L32" s="837">
        <f t="shared" si="40"/>
        <v>174150833.33333331</v>
      </c>
      <c r="M32" s="837">
        <f t="shared" si="40"/>
        <v>174150833.33333331</v>
      </c>
      <c r="N32" s="837">
        <f t="shared" si="40"/>
        <v>174150833.33333331</v>
      </c>
      <c r="O32" s="837">
        <f t="shared" si="40"/>
        <v>174150833.33333331</v>
      </c>
      <c r="P32" s="837">
        <f t="shared" si="40"/>
        <v>174150833.33333331</v>
      </c>
      <c r="Q32" s="837">
        <f t="shared" si="40"/>
        <v>174150833.33333331</v>
      </c>
      <c r="R32" s="837">
        <f t="shared" si="40"/>
        <v>174150833.33333331</v>
      </c>
      <c r="S32" s="837">
        <f t="shared" si="40"/>
        <v>174150833.33333331</v>
      </c>
      <c r="T32" s="837">
        <f t="shared" si="40"/>
        <v>2089810000</v>
      </c>
      <c r="U32" s="837">
        <f t="shared" si="40"/>
        <v>2089810000</v>
      </c>
      <c r="V32" s="837">
        <f t="shared" si="40"/>
        <v>2089810000</v>
      </c>
      <c r="W32" s="837">
        <f t="shared" si="40"/>
        <v>2089810000</v>
      </c>
      <c r="X32" s="837">
        <f t="shared" si="40"/>
        <v>2089810000</v>
      </c>
    </row>
  </sheetData>
  <pageMargins left="0.3" right="0.3" top="0.5" bottom="0.2" header="0.5" footer="0.2"/>
  <pageSetup paperSize="8" scale="105" firstPageNumber="28" orientation="landscape" useFirstPageNumber="1" r:id="rId1"/>
  <headerFooter>
    <oddFooter>&amp;RPage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U46"/>
  <sheetViews>
    <sheetView view="pageBreakPreview" topLeftCell="A28" zoomScale="85" zoomScaleNormal="100" zoomScaleSheetLayoutView="85" workbookViewId="0">
      <selection activeCell="M43" sqref="M43"/>
    </sheetView>
  </sheetViews>
  <sheetFormatPr defaultRowHeight="14.5" x14ac:dyDescent="0.35"/>
  <sheetData>
    <row r="15" spans="10:12" x14ac:dyDescent="0.35">
      <c r="J15" s="1358" t="s">
        <v>163</v>
      </c>
      <c r="K15" s="1358"/>
      <c r="L15" s="1358"/>
    </row>
    <row r="16" spans="10:12" x14ac:dyDescent="0.35">
      <c r="J16" s="1358"/>
      <c r="K16" s="1358"/>
      <c r="L16" s="1358"/>
    </row>
    <row r="17" spans="1:21" x14ac:dyDescent="0.35">
      <c r="J17" s="1358"/>
      <c r="K17" s="1358"/>
      <c r="L17" s="1358"/>
    </row>
    <row r="18" spans="1:21" x14ac:dyDescent="0.35">
      <c r="J18" s="1358"/>
      <c r="K18" s="1358"/>
      <c r="L18" s="1358"/>
    </row>
    <row r="19" spans="1:21" x14ac:dyDescent="0.35">
      <c r="J19" s="1358"/>
      <c r="K19" s="1358"/>
      <c r="L19" s="1358"/>
    </row>
    <row r="20" spans="1:21" x14ac:dyDescent="0.35">
      <c r="J20" s="1358"/>
      <c r="K20" s="1358"/>
      <c r="L20" s="1358"/>
    </row>
    <row r="23" spans="1:21" ht="38.5" x14ac:dyDescent="0.85">
      <c r="A23" s="1288" t="s">
        <v>1066</v>
      </c>
      <c r="B23" s="1289"/>
      <c r="C23" s="1289"/>
      <c r="D23" s="1289"/>
      <c r="E23" s="1289"/>
      <c r="F23" s="1289"/>
      <c r="G23" s="1289"/>
      <c r="H23" s="1289"/>
      <c r="I23" s="1289"/>
      <c r="J23" s="1289"/>
      <c r="K23" s="1289"/>
      <c r="L23" s="1289"/>
      <c r="M23" s="1289"/>
      <c r="N23" s="1289"/>
      <c r="O23" s="1289"/>
      <c r="P23" s="1289"/>
      <c r="Q23" s="1289"/>
      <c r="R23" s="1289"/>
      <c r="S23" s="1289"/>
      <c r="T23" s="1289"/>
      <c r="U23" s="1289"/>
    </row>
    <row r="24" spans="1:21" ht="38.5" x14ac:dyDescent="0.85">
      <c r="A24" s="1288" t="s">
        <v>1068</v>
      </c>
      <c r="B24" s="1289"/>
      <c r="C24" s="1289"/>
      <c r="D24" s="1289"/>
      <c r="E24" s="1289"/>
      <c r="F24" s="1289"/>
      <c r="G24" s="1289"/>
      <c r="H24" s="1289"/>
      <c r="I24" s="1289"/>
      <c r="J24" s="1289"/>
      <c r="K24" s="1289"/>
      <c r="L24" s="1289"/>
      <c r="M24" s="1289"/>
      <c r="N24" s="1289"/>
      <c r="O24" s="1289"/>
      <c r="P24" s="1289"/>
      <c r="Q24" s="1289"/>
      <c r="R24" s="1289"/>
      <c r="S24" s="1289"/>
      <c r="T24" s="1289"/>
      <c r="U24" s="1289"/>
    </row>
    <row r="25" spans="1:21" x14ac:dyDescent="0.35">
      <c r="A25" s="294"/>
      <c r="B25" s="294"/>
      <c r="C25" s="294"/>
      <c r="D25" s="294"/>
      <c r="E25" s="294"/>
      <c r="F25" s="294"/>
      <c r="G25" s="294"/>
      <c r="H25" s="294"/>
      <c r="I25" s="294"/>
      <c r="J25" s="294"/>
      <c r="K25" s="294"/>
      <c r="L25" s="294"/>
      <c r="M25" s="294"/>
      <c r="N25" s="294"/>
      <c r="O25" s="294"/>
      <c r="P25" s="294"/>
      <c r="Q25" s="294"/>
      <c r="R25" s="294"/>
      <c r="S25" s="294"/>
      <c r="T25" s="294"/>
      <c r="U25" s="294"/>
    </row>
    <row r="26" spans="1:21" ht="15.5" x14ac:dyDescent="0.35">
      <c r="A26" s="1290"/>
      <c r="B26" s="294"/>
      <c r="C26" s="294"/>
      <c r="D26" s="294"/>
      <c r="E26" s="294"/>
      <c r="F26" s="294"/>
      <c r="G26" s="294"/>
      <c r="H26" s="294"/>
      <c r="I26" s="294"/>
      <c r="J26" s="294"/>
      <c r="K26" s="294"/>
      <c r="L26" s="294"/>
      <c r="M26" s="294"/>
      <c r="N26" s="294"/>
      <c r="O26" s="294"/>
      <c r="P26" s="294"/>
      <c r="Q26" s="294"/>
      <c r="R26" s="294"/>
      <c r="S26" s="294"/>
      <c r="T26" s="294"/>
      <c r="U26" s="294"/>
    </row>
    <row r="46" spans="1:21" ht="19.5" x14ac:dyDescent="0.45">
      <c r="A46" s="1294" t="s">
        <v>1091</v>
      </c>
      <c r="B46" s="1295"/>
      <c r="C46" s="1295"/>
      <c r="D46" s="1295"/>
      <c r="E46" s="1295"/>
      <c r="F46" s="1295"/>
      <c r="G46" s="1295"/>
      <c r="H46" s="1295"/>
      <c r="I46" s="1295"/>
      <c r="J46" s="1294"/>
      <c r="K46" s="1295"/>
      <c r="L46" s="1295"/>
      <c r="M46" s="1295"/>
      <c r="N46" s="1295"/>
      <c r="O46" s="1295"/>
      <c r="P46" s="1295"/>
      <c r="Q46" s="1295"/>
      <c r="R46" s="1295"/>
      <c r="S46" s="1295"/>
      <c r="T46" s="1295"/>
      <c r="U46" s="1295"/>
    </row>
  </sheetData>
  <mergeCells count="1">
    <mergeCell ref="J15:L20"/>
  </mergeCells>
  <pageMargins left="0.7" right="0.7" top="0.75" bottom="0.75" header="0.3" footer="0.3"/>
  <pageSetup paperSize="8"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8"/>
  <sheetViews>
    <sheetView workbookViewId="0"/>
  </sheetViews>
  <sheetFormatPr defaultRowHeight="14.5" x14ac:dyDescent="0.35"/>
  <cols>
    <col min="2" max="2" width="33.26953125" customWidth="1"/>
    <col min="3" max="3" width="34.26953125" customWidth="1"/>
    <col min="4" max="4" width="25" customWidth="1"/>
    <col min="5" max="5" width="27.54296875" customWidth="1"/>
    <col min="6" max="6" width="42.453125" hidden="1" customWidth="1"/>
    <col min="7" max="7" width="27.81640625" hidden="1" customWidth="1"/>
  </cols>
  <sheetData>
    <row r="1" spans="1:7" x14ac:dyDescent="0.35">
      <c r="A1" s="292"/>
      <c r="B1" s="292"/>
      <c r="C1" s="292"/>
      <c r="D1" s="292"/>
      <c r="E1" s="292"/>
      <c r="F1" s="292"/>
    </row>
    <row r="2" spans="1:7" ht="42" customHeight="1" x14ac:dyDescent="0.4">
      <c r="A2" s="295" t="s">
        <v>445</v>
      </c>
      <c r="B2" s="293"/>
      <c r="C2" s="293"/>
      <c r="D2" s="293"/>
      <c r="E2" s="293"/>
      <c r="F2" s="293"/>
      <c r="G2" s="294"/>
    </row>
    <row r="3" spans="1:7" ht="29" x14ac:dyDescent="0.35">
      <c r="A3" s="323" t="s">
        <v>446</v>
      </c>
      <c r="B3" s="323" t="s">
        <v>427</v>
      </c>
      <c r="C3" s="324" t="s">
        <v>428</v>
      </c>
      <c r="D3" s="323" t="s">
        <v>429</v>
      </c>
      <c r="E3" s="325" t="s">
        <v>447</v>
      </c>
      <c r="F3" s="301" t="s">
        <v>430</v>
      </c>
      <c r="G3" s="301" t="s">
        <v>431</v>
      </c>
    </row>
    <row r="4" spans="1:7" x14ac:dyDescent="0.35">
      <c r="A4" s="284" t="s">
        <v>249</v>
      </c>
      <c r="B4" s="305" t="s">
        <v>432</v>
      </c>
      <c r="C4" s="285" t="s">
        <v>433</v>
      </c>
      <c r="D4" s="296"/>
      <c r="E4" s="303">
        <v>2000000</v>
      </c>
      <c r="F4" s="297" t="s">
        <v>434</v>
      </c>
      <c r="G4" s="297" t="s">
        <v>435</v>
      </c>
    </row>
    <row r="5" spans="1:7" ht="29" x14ac:dyDescent="0.35">
      <c r="A5" s="287" t="s">
        <v>251</v>
      </c>
      <c r="B5" s="302" t="s">
        <v>436</v>
      </c>
      <c r="C5" s="289" t="s">
        <v>437</v>
      </c>
      <c r="D5" s="290"/>
      <c r="E5" s="304">
        <v>2000000</v>
      </c>
      <c r="F5" s="286"/>
      <c r="G5" s="286" t="s">
        <v>435</v>
      </c>
    </row>
    <row r="6" spans="1:7" ht="43.5" x14ac:dyDescent="0.35">
      <c r="A6" s="287" t="s">
        <v>328</v>
      </c>
      <c r="B6" s="302" t="s">
        <v>438</v>
      </c>
      <c r="C6" s="289" t="s">
        <v>437</v>
      </c>
      <c r="D6" s="289"/>
      <c r="E6" s="304">
        <v>2000000</v>
      </c>
      <c r="F6" s="291">
        <v>43013</v>
      </c>
      <c r="G6" s="286" t="s">
        <v>435</v>
      </c>
    </row>
    <row r="7" spans="1:7" ht="29" x14ac:dyDescent="0.35">
      <c r="A7" s="287" t="s">
        <v>439</v>
      </c>
      <c r="B7" s="302" t="s">
        <v>440</v>
      </c>
      <c r="C7" s="289" t="s">
        <v>441</v>
      </c>
      <c r="D7" s="289"/>
      <c r="E7" s="304">
        <v>2000000</v>
      </c>
      <c r="F7" s="291">
        <v>43040</v>
      </c>
      <c r="G7" s="286" t="s">
        <v>435</v>
      </c>
    </row>
    <row r="8" spans="1:7" ht="24.75" customHeight="1" x14ac:dyDescent="0.35">
      <c r="A8" s="326"/>
      <c r="B8" s="327" t="s">
        <v>450</v>
      </c>
      <c r="C8" s="328"/>
      <c r="D8" s="328"/>
      <c r="E8" s="329">
        <f>SUM(E4:E7)</f>
        <v>8000000</v>
      </c>
      <c r="F8" s="313"/>
      <c r="G8" s="314"/>
    </row>
  </sheetData>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7"/>
  <sheetViews>
    <sheetView workbookViewId="0"/>
  </sheetViews>
  <sheetFormatPr defaultRowHeight="14.5" x14ac:dyDescent="0.35"/>
  <cols>
    <col min="2" max="2" width="37" customWidth="1"/>
    <col min="3" max="3" width="25.7265625" customWidth="1"/>
    <col min="4" max="4" width="27.54296875" customWidth="1"/>
    <col min="5" max="5" width="30.54296875" customWidth="1"/>
    <col min="6" max="6" width="27.81640625" hidden="1" customWidth="1"/>
  </cols>
  <sheetData>
    <row r="1" spans="1:6" x14ac:dyDescent="0.35">
      <c r="A1" s="292"/>
      <c r="B1" s="292"/>
      <c r="C1" s="292"/>
      <c r="D1" s="292"/>
      <c r="E1" s="292"/>
    </row>
    <row r="2" spans="1:6" ht="42" customHeight="1" x14ac:dyDescent="0.4">
      <c r="A2" s="295" t="s">
        <v>452</v>
      </c>
      <c r="B2" s="293"/>
      <c r="C2" s="293"/>
      <c r="D2" s="293"/>
      <c r="E2" s="293"/>
      <c r="F2" s="294"/>
    </row>
    <row r="3" spans="1:6" ht="29" x14ac:dyDescent="0.35">
      <c r="A3" s="298" t="s">
        <v>446</v>
      </c>
      <c r="B3" s="298" t="s">
        <v>453</v>
      </c>
      <c r="C3" s="299" t="s">
        <v>428</v>
      </c>
      <c r="D3" s="298" t="s">
        <v>429</v>
      </c>
      <c r="E3" s="300" t="s">
        <v>447</v>
      </c>
      <c r="F3" s="301" t="s">
        <v>431</v>
      </c>
    </row>
    <row r="4" spans="1:6" ht="29" x14ac:dyDescent="0.35">
      <c r="A4" s="287">
        <v>1</v>
      </c>
      <c r="B4" s="302" t="s">
        <v>454</v>
      </c>
      <c r="C4" s="288" t="s">
        <v>645</v>
      </c>
      <c r="D4" s="289" t="s">
        <v>444</v>
      </c>
      <c r="E4" s="304">
        <f>1200000*2</f>
        <v>2400000</v>
      </c>
      <c r="F4" s="286"/>
    </row>
    <row r="5" spans="1:6" ht="29" x14ac:dyDescent="0.35">
      <c r="A5" s="287">
        <v>2</v>
      </c>
      <c r="B5" s="302" t="s">
        <v>442</v>
      </c>
      <c r="C5" s="288" t="s">
        <v>455</v>
      </c>
      <c r="D5" s="289" t="s">
        <v>443</v>
      </c>
      <c r="E5" s="304">
        <f>15*250000</f>
        <v>3750000</v>
      </c>
      <c r="F5" s="286"/>
    </row>
    <row r="6" spans="1:6" ht="29" x14ac:dyDescent="0.35">
      <c r="A6" s="306">
        <v>3</v>
      </c>
      <c r="B6" s="307" t="s">
        <v>448</v>
      </c>
      <c r="C6" s="322" t="s">
        <v>456</v>
      </c>
      <c r="D6" s="308" t="s">
        <v>444</v>
      </c>
      <c r="E6" s="309">
        <f>15*1200000</f>
        <v>18000000</v>
      </c>
      <c r="F6" s="310"/>
    </row>
    <row r="7" spans="1:6" ht="24.75" customHeight="1" x14ac:dyDescent="0.35">
      <c r="A7" s="311"/>
      <c r="B7" s="315" t="s">
        <v>450</v>
      </c>
      <c r="C7" s="312"/>
      <c r="D7" s="312"/>
      <c r="E7" s="316">
        <f>SUM(E4:E6)</f>
        <v>24150000</v>
      </c>
      <c r="F7" s="314"/>
    </row>
  </sheetData>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3:G19"/>
  <sheetViews>
    <sheetView zoomScale="85" zoomScaleNormal="85" workbookViewId="0">
      <selection activeCell="F8" sqref="F8"/>
    </sheetView>
  </sheetViews>
  <sheetFormatPr defaultColWidth="9.1796875" defaultRowHeight="12.5" x14ac:dyDescent="0.25"/>
  <cols>
    <col min="1" max="1" width="22" style="120" customWidth="1"/>
    <col min="2" max="7" width="18.81640625" style="120" customWidth="1"/>
    <col min="8" max="16384" width="9.1796875" style="121"/>
  </cols>
  <sheetData>
    <row r="3" spans="1:7" ht="15.5" x14ac:dyDescent="0.25">
      <c r="A3" s="119"/>
    </row>
    <row r="4" spans="1:7" ht="15.5" x14ac:dyDescent="0.25">
      <c r="A4" s="119"/>
    </row>
    <row r="6" spans="1:7" ht="25" customHeight="1" x14ac:dyDescent="0.3">
      <c r="A6" s="135" t="s">
        <v>226</v>
      </c>
      <c r="B6" s="122" t="s">
        <v>216</v>
      </c>
      <c r="C6" s="122" t="s">
        <v>218</v>
      </c>
      <c r="D6" s="122" t="s">
        <v>219</v>
      </c>
      <c r="E6" s="122" t="s">
        <v>220</v>
      </c>
      <c r="F6" s="122" t="s">
        <v>221</v>
      </c>
      <c r="G6" s="122" t="s">
        <v>217</v>
      </c>
    </row>
    <row r="7" spans="1:7" ht="25" customHeight="1" x14ac:dyDescent="0.3">
      <c r="A7" s="131" t="s">
        <v>227</v>
      </c>
      <c r="B7" s="124">
        <v>135</v>
      </c>
      <c r="C7" s="124">
        <v>138</v>
      </c>
      <c r="D7" s="124">
        <v>168</v>
      </c>
      <c r="E7" s="124">
        <v>141</v>
      </c>
      <c r="F7" s="124">
        <v>168</v>
      </c>
      <c r="G7" s="125">
        <f>SUM(B7:F7)</f>
        <v>750</v>
      </c>
    </row>
    <row r="8" spans="1:7" ht="25" customHeight="1" x14ac:dyDescent="0.3">
      <c r="A8" s="131" t="s">
        <v>228</v>
      </c>
      <c r="B8" s="126">
        <v>16718.3</v>
      </c>
      <c r="C8" s="126">
        <v>16940.099999999999</v>
      </c>
      <c r="D8" s="126">
        <v>22350.199999999953</v>
      </c>
      <c r="E8" s="126">
        <v>17409.299999999996</v>
      </c>
      <c r="F8" s="126">
        <v>22350.199999999953</v>
      </c>
      <c r="G8" s="125">
        <f>SUM(B8:F8)</f>
        <v>95768.099999999889</v>
      </c>
    </row>
    <row r="9" spans="1:7" ht="25" customHeight="1" x14ac:dyDescent="0.3">
      <c r="A9" s="131" t="s">
        <v>229</v>
      </c>
      <c r="B9" s="127">
        <v>19000</v>
      </c>
      <c r="C9" s="127">
        <v>19000</v>
      </c>
      <c r="D9" s="127">
        <v>19000</v>
      </c>
      <c r="E9" s="127">
        <v>19000</v>
      </c>
      <c r="F9" s="127">
        <v>19500</v>
      </c>
      <c r="G9" s="123"/>
    </row>
    <row r="10" spans="1:7" ht="25" customHeight="1" x14ac:dyDescent="0.6">
      <c r="A10" s="139" t="s">
        <v>231</v>
      </c>
      <c r="B10" s="129">
        <f>B8*B9</f>
        <v>317647700</v>
      </c>
      <c r="C10" s="129">
        <f>C8*C9</f>
        <v>321861900</v>
      </c>
      <c r="D10" s="129">
        <f>D8*D9</f>
        <v>424653799.99999911</v>
      </c>
      <c r="E10" s="129">
        <f>E8*E9</f>
        <v>330776699.99999994</v>
      </c>
      <c r="F10" s="129">
        <f>F8*F9</f>
        <v>435828899.99999911</v>
      </c>
      <c r="G10" s="129">
        <f>SUM(B10:F10)</f>
        <v>1830768999.9999981</v>
      </c>
    </row>
    <row r="12" spans="1:7" hidden="1" x14ac:dyDescent="0.25"/>
    <row r="13" spans="1:7" ht="26" hidden="1" x14ac:dyDescent="0.3">
      <c r="A13" s="132" t="s">
        <v>230</v>
      </c>
      <c r="B13" s="134"/>
      <c r="C13" s="122" t="s">
        <v>222</v>
      </c>
      <c r="D13" s="122" t="s">
        <v>223</v>
      </c>
      <c r="E13" s="122" t="s">
        <v>224</v>
      </c>
      <c r="F13" s="122" t="s">
        <v>225</v>
      </c>
      <c r="G13" s="122" t="s">
        <v>217</v>
      </c>
    </row>
    <row r="14" spans="1:7" ht="26" hidden="1" x14ac:dyDescent="0.3">
      <c r="A14" s="133" t="s">
        <v>228</v>
      </c>
      <c r="B14" s="136"/>
      <c r="C14" s="124">
        <v>6732.6139999999996</v>
      </c>
      <c r="D14" s="124">
        <v>8992.83</v>
      </c>
      <c r="E14" s="124">
        <v>14446.739</v>
      </c>
      <c r="F14" s="124">
        <v>8173</v>
      </c>
      <c r="G14" s="125">
        <f>SUM(C14:F14)</f>
        <v>38345.182999999997</v>
      </c>
    </row>
    <row r="15" spans="1:7" ht="26" hidden="1" x14ac:dyDescent="0.3">
      <c r="A15" s="137" t="s">
        <v>232</v>
      </c>
      <c r="B15" s="138"/>
      <c r="C15" s="283">
        <v>5546000</v>
      </c>
      <c r="D15" s="283">
        <v>6382000</v>
      </c>
      <c r="E15" s="283">
        <v>34038000</v>
      </c>
      <c r="F15" s="283">
        <v>5808000</v>
      </c>
      <c r="G15" s="128"/>
    </row>
    <row r="16" spans="1:7" ht="25" hidden="1" customHeight="1" x14ac:dyDescent="0.6">
      <c r="A16" s="140" t="s">
        <v>231</v>
      </c>
      <c r="B16" s="141"/>
      <c r="C16" s="129">
        <f>C15</f>
        <v>5546000</v>
      </c>
      <c r="D16" s="129">
        <f>D15</f>
        <v>6382000</v>
      </c>
      <c r="E16" s="129">
        <f>E15</f>
        <v>34038000</v>
      </c>
      <c r="F16" s="129">
        <f>F15</f>
        <v>5808000</v>
      </c>
      <c r="G16" s="129">
        <f>SUM(C16:F16)</f>
        <v>51774000</v>
      </c>
    </row>
    <row r="17" spans="3:7" hidden="1" x14ac:dyDescent="0.25">
      <c r="C17" s="130"/>
      <c r="D17" s="130"/>
      <c r="E17" s="130"/>
      <c r="F17" s="130"/>
      <c r="G17" s="130"/>
    </row>
    <row r="18" spans="3:7" hidden="1" x14ac:dyDescent="0.25">
      <c r="C18" s="130"/>
      <c r="D18" s="130"/>
      <c r="E18" s="130"/>
      <c r="F18" s="130"/>
      <c r="G18" s="130"/>
    </row>
    <row r="19" spans="3:7" x14ac:dyDescent="0.25">
      <c r="C19" s="130"/>
      <c r="D19" s="130"/>
      <c r="E19" s="130"/>
      <c r="F19" s="130"/>
      <c r="G19" s="130"/>
    </row>
  </sheetData>
  <pageMargins left="0.7" right="0.7" top="0.75" bottom="0.75" header="0.3" footer="0.3"/>
  <pageSetup paperSize="9" scale="9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V116"/>
  <sheetViews>
    <sheetView zoomScaleNormal="100" zoomScaleSheetLayoutView="55" workbookViewId="0">
      <selection activeCell="D23" sqref="D23"/>
    </sheetView>
  </sheetViews>
  <sheetFormatPr defaultColWidth="9.1796875" defaultRowHeight="14.25" customHeight="1" x14ac:dyDescent="0.35"/>
  <cols>
    <col min="1" max="1" width="7.54296875" style="924" customWidth="1"/>
    <col min="2" max="2" width="53.1796875" style="925" customWidth="1"/>
    <col min="3" max="5" width="18.7265625" style="925" customWidth="1"/>
    <col min="6" max="7" width="18.7265625" style="925" hidden="1" customWidth="1"/>
    <col min="8" max="8" width="10.7265625" style="901" customWidth="1"/>
    <col min="9" max="18" width="10.7265625" style="630" customWidth="1"/>
    <col min="19" max="16384" width="9.1796875" style="630"/>
  </cols>
  <sheetData>
    <row r="2" spans="1:18" ht="27" customHeight="1" x14ac:dyDescent="0.35">
      <c r="A2" s="956" t="s">
        <v>1019</v>
      </c>
      <c r="B2" s="908"/>
      <c r="C2" s="908"/>
      <c r="D2" s="908"/>
      <c r="E2" s="908"/>
      <c r="F2" s="908"/>
      <c r="G2" s="908"/>
      <c r="H2" s="909"/>
      <c r="I2" s="955"/>
      <c r="J2" s="955"/>
      <c r="K2" s="955"/>
      <c r="L2" s="955"/>
      <c r="M2" s="955"/>
      <c r="N2" s="955"/>
      <c r="O2" s="955"/>
      <c r="P2" s="955"/>
      <c r="Q2" s="955"/>
      <c r="R2" s="955"/>
    </row>
    <row r="3" spans="1:18" ht="14.25" customHeight="1" x14ac:dyDescent="0.35">
      <c r="A3" s="907"/>
      <c r="B3" s="908"/>
      <c r="C3" s="908"/>
      <c r="D3" s="908"/>
      <c r="E3" s="908"/>
      <c r="F3" s="908"/>
      <c r="G3" s="908"/>
      <c r="H3" s="909"/>
    </row>
    <row r="4" spans="1:18" ht="5.15" customHeight="1" x14ac:dyDescent="0.35">
      <c r="A4" s="910"/>
      <c r="B4" s="908"/>
      <c r="C4" s="908"/>
      <c r="D4" s="908"/>
      <c r="E4" s="908"/>
      <c r="F4" s="908"/>
      <c r="G4" s="908"/>
      <c r="H4" s="909"/>
    </row>
    <row r="5" spans="1:18" s="914" customFormat="1" ht="15" customHeight="1" x14ac:dyDescent="0.35">
      <c r="A5" s="911"/>
      <c r="B5" s="912"/>
      <c r="C5" s="912"/>
      <c r="D5" s="912"/>
      <c r="E5" s="912"/>
      <c r="F5" s="912"/>
      <c r="G5" s="912"/>
      <c r="H5" s="913"/>
    </row>
    <row r="6" spans="1:18" s="914" customFormat="1" ht="18" customHeight="1" x14ac:dyDescent="0.35">
      <c r="A6" s="915"/>
      <c r="B6" s="912"/>
      <c r="C6" s="912"/>
      <c r="D6" s="912"/>
      <c r="E6" s="912"/>
      <c r="F6" s="950">
        <f>'Detail Revenue'!$G$8</f>
        <v>95768.099999999889</v>
      </c>
      <c r="G6" s="951" t="s">
        <v>426</v>
      </c>
    </row>
    <row r="7" spans="1:18" s="914" customFormat="1" ht="5.15" customHeight="1" x14ac:dyDescent="0.35">
      <c r="A7" s="910"/>
      <c r="B7" s="912"/>
      <c r="C7" s="912"/>
      <c r="D7" s="912"/>
      <c r="E7" s="912"/>
      <c r="F7" s="912"/>
      <c r="G7" s="912"/>
      <c r="H7" s="913"/>
    </row>
    <row r="8" spans="1:18" ht="25" customHeight="1" x14ac:dyDescent="0.35">
      <c r="A8" s="916"/>
      <c r="B8" s="917"/>
      <c r="C8" s="899" t="s">
        <v>973</v>
      </c>
      <c r="D8" s="900"/>
      <c r="E8" s="900"/>
      <c r="F8" s="899" t="s">
        <v>975</v>
      </c>
      <c r="G8" s="900"/>
    </row>
    <row r="9" spans="1:18" s="918" customFormat="1" ht="25" customHeight="1" x14ac:dyDescent="0.35">
      <c r="A9" s="929"/>
      <c r="B9" s="930" t="s">
        <v>974</v>
      </c>
      <c r="C9" s="931" t="s">
        <v>1056</v>
      </c>
      <c r="D9" s="931" t="s">
        <v>976</v>
      </c>
      <c r="E9" s="1320" t="s">
        <v>1074</v>
      </c>
      <c r="F9" s="931" t="s">
        <v>1056</v>
      </c>
      <c r="G9" s="931" t="s">
        <v>976</v>
      </c>
      <c r="J9" s="630"/>
    </row>
    <row r="10" spans="1:18" s="918" customFormat="1" ht="25" customHeight="1" x14ac:dyDescent="0.35">
      <c r="A10" s="929" t="s">
        <v>985</v>
      </c>
      <c r="B10" s="932" t="s">
        <v>977</v>
      </c>
      <c r="C10" s="898"/>
      <c r="D10" s="898"/>
      <c r="E10" s="898"/>
      <c r="F10" s="933"/>
      <c r="G10" s="933"/>
      <c r="J10" s="630"/>
    </row>
    <row r="11" spans="1:18" ht="25" customHeight="1" x14ac:dyDescent="0.35">
      <c r="A11" s="629">
        <v>1</v>
      </c>
      <c r="B11" s="934" t="s">
        <v>981</v>
      </c>
      <c r="C11" s="898">
        <f>'General-Budget 2018 - MF'!F9</f>
        <v>21969228000.303032</v>
      </c>
      <c r="D11" s="898">
        <f>'General-Budget 2018 - MF'!G9</f>
        <v>21969227999.999977</v>
      </c>
      <c r="E11" s="898">
        <f>D11-C11</f>
        <v>-0.3030548095703125</v>
      </c>
      <c r="F11" s="933">
        <f>'In Cash - Out Cash - MF'!F9</f>
        <v>25587397354</v>
      </c>
      <c r="G11" s="933">
        <f>'In Cash - Out Cash - MF'!G9</f>
        <v>24166150799.999985</v>
      </c>
    </row>
    <row r="12" spans="1:18" ht="25" customHeight="1" x14ac:dyDescent="0.35">
      <c r="A12" s="629">
        <f>A11+1</f>
        <v>2</v>
      </c>
      <c r="B12" s="934" t="s">
        <v>978</v>
      </c>
      <c r="C12" s="898">
        <f>'General-Budget 2018 - MF'!F10+'General-Budget 2018 - MF'!F11</f>
        <v>830400000</v>
      </c>
      <c r="D12" s="898">
        <f>'General-Budget 2018 - MF'!G10+'General-Budget 2018 - MF'!G11</f>
        <v>830400000</v>
      </c>
      <c r="E12" s="898">
        <f t="shared" ref="E12:E15" si="0">D12-C12</f>
        <v>0</v>
      </c>
      <c r="F12" s="933">
        <f>'In Cash - Out Cash - MF'!F10+'In Cash - Out Cash - MF'!F11</f>
        <v>0</v>
      </c>
      <c r="G12" s="933">
        <f>'In Cash - Out Cash - MF'!G10+'In Cash - Out Cash - MF'!G11</f>
        <v>1826880000</v>
      </c>
    </row>
    <row r="13" spans="1:18" ht="25" customHeight="1" x14ac:dyDescent="0.35">
      <c r="A13" s="629">
        <f t="shared" ref="A13:A15" si="1">A12+1</f>
        <v>3</v>
      </c>
      <c r="B13" s="934" t="s">
        <v>979</v>
      </c>
      <c r="C13" s="898">
        <f>'General-Budget 2018 - MF'!F18</f>
        <v>0</v>
      </c>
      <c r="D13" s="898">
        <f>'General-Budget 2018 - MF'!G18</f>
        <v>0</v>
      </c>
      <c r="E13" s="898">
        <f t="shared" si="0"/>
        <v>0</v>
      </c>
      <c r="F13" s="933">
        <f>'In Cash - Out Cash - MF'!F18</f>
        <v>0</v>
      </c>
      <c r="G13" s="933">
        <f>'In Cash - Out Cash - MF'!G18</f>
        <v>0</v>
      </c>
    </row>
    <row r="14" spans="1:18" ht="25" customHeight="1" x14ac:dyDescent="0.35">
      <c r="A14" s="629">
        <f t="shared" si="1"/>
        <v>4</v>
      </c>
      <c r="B14" s="934" t="s">
        <v>980</v>
      </c>
      <c r="C14" s="898">
        <f>'General-Budget 2018 - MF'!F23</f>
        <v>10576539.363636363</v>
      </c>
      <c r="D14" s="898">
        <f>'General-Budget 2018 - MF'!G23</f>
        <v>0</v>
      </c>
      <c r="E14" s="898">
        <f t="shared" si="0"/>
        <v>-10576539.363636363</v>
      </c>
      <c r="F14" s="933">
        <f>'In Cash - Out Cash - MF'!F23</f>
        <v>10134194</v>
      </c>
      <c r="G14" s="933">
        <f>'In Cash - Out Cash - MF'!G23</f>
        <v>0</v>
      </c>
    </row>
    <row r="15" spans="1:18" ht="25" customHeight="1" x14ac:dyDescent="0.35">
      <c r="A15" s="629">
        <f t="shared" si="1"/>
        <v>5</v>
      </c>
      <c r="B15" s="934" t="s">
        <v>1018</v>
      </c>
      <c r="C15" s="898">
        <f>'General-Budget 2018 - MF'!F26-SUM('Summary 2018 - MF'!C11:C14)</f>
        <v>3974028016.8181839</v>
      </c>
      <c r="D15" s="898">
        <f>'General-Budget 2018 - MF'!G12+'General-Budget 2018 - MF'!G13+'General-Budget 2018 - MF'!G14+'General-Budget 2018 - MF'!G15+'General-Budget 2018 - MF'!G16+'General-Budget 2018 - MF'!G17+'General-Budget 2018 - MF'!G19+'General-Budget 2018 - MF'!G20+'General-Budget 2018 - MF'!G21+'General-Budget 2018 - MF'!G22+'General-Budget 2018 - MF'!G24</f>
        <v>3554555630.3030252</v>
      </c>
      <c r="E15" s="898">
        <f t="shared" si="0"/>
        <v>-419472386.51515865</v>
      </c>
      <c r="F15" s="933">
        <f>'In Cash - Out Cash - MF'!F26-SUM('Summary 2018 - MF'!F11:F14)</f>
        <v>3600757432.1818199</v>
      </c>
      <c r="G15" s="933">
        <f>'In Cash - Out Cash - MF'!G26-SUM('Summary 2018 - MF'!G11:G14)</f>
        <v>4173838420.1363564</v>
      </c>
    </row>
    <row r="16" spans="1:18" ht="25" customHeight="1" x14ac:dyDescent="0.35">
      <c r="A16" s="906"/>
      <c r="B16" s="904" t="s">
        <v>982</v>
      </c>
      <c r="C16" s="902">
        <f>SUM(C11:C15)</f>
        <v>26784232556.484852</v>
      </c>
      <c r="D16" s="902">
        <f>SUM(D11:D15)</f>
        <v>26354183630.303001</v>
      </c>
      <c r="E16" s="902">
        <f>SUM(E11:E15)</f>
        <v>-430048926.18184984</v>
      </c>
      <c r="F16" s="902">
        <f>SUM(F11:F15)</f>
        <v>29198288980.18182</v>
      </c>
      <c r="G16" s="902">
        <f>SUM(G11:G15)</f>
        <v>30166869220.136341</v>
      </c>
    </row>
    <row r="17" spans="1:8" ht="25" customHeight="1" x14ac:dyDescent="0.35">
      <c r="A17" s="942"/>
      <c r="B17" s="943"/>
      <c r="C17" s="1164"/>
      <c r="D17" s="1164"/>
      <c r="E17" s="1164"/>
      <c r="F17" s="1164"/>
      <c r="G17" s="1164"/>
    </row>
    <row r="18" spans="1:8" ht="25" customHeight="1" x14ac:dyDescent="0.35">
      <c r="A18" s="947"/>
      <c r="B18" s="948"/>
      <c r="C18" s="949"/>
      <c r="D18" s="949"/>
      <c r="E18" s="949"/>
      <c r="F18" s="949"/>
      <c r="G18" s="949"/>
    </row>
    <row r="19" spans="1:8" ht="25" customHeight="1" x14ac:dyDescent="0.35">
      <c r="A19" s="944"/>
      <c r="B19" s="945"/>
      <c r="C19" s="946"/>
      <c r="D19" s="946"/>
      <c r="E19" s="946"/>
      <c r="F19" s="946"/>
      <c r="G19" s="946"/>
    </row>
    <row r="20" spans="1:8" ht="25" customHeight="1" x14ac:dyDescent="0.35">
      <c r="A20" s="906" t="s">
        <v>986</v>
      </c>
      <c r="B20" s="904" t="s">
        <v>983</v>
      </c>
      <c r="C20" s="903"/>
      <c r="D20" s="903"/>
      <c r="E20" s="903"/>
      <c r="F20" s="933"/>
      <c r="G20" s="933"/>
    </row>
    <row r="21" spans="1:8" ht="25" customHeight="1" x14ac:dyDescent="0.35">
      <c r="A21" s="629">
        <v>1</v>
      </c>
      <c r="B21" s="935" t="s">
        <v>901</v>
      </c>
      <c r="C21" s="903">
        <f>'General-Budget 2018 - MF'!F53</f>
        <v>8632814115.0432739</v>
      </c>
      <c r="D21" s="903">
        <f>'General-Budget 2018 - MF'!G53</f>
        <v>8983298001.3333359</v>
      </c>
      <c r="E21" s="903">
        <f t="shared" ref="E21:E24" si="2">D21-C21</f>
        <v>350483886.29006195</v>
      </c>
      <c r="F21" s="933">
        <f>'In Cash - Out Cash - MF'!F53</f>
        <v>9080906552.0909081</v>
      </c>
      <c r="G21" s="933">
        <f>'In Cash - Out Cash - MF'!G53</f>
        <v>9000116927.3333321</v>
      </c>
      <c r="H21" s="630"/>
    </row>
    <row r="22" spans="1:8" ht="25" customHeight="1" x14ac:dyDescent="0.35">
      <c r="A22" s="629">
        <v>2</v>
      </c>
      <c r="B22" s="935" t="s">
        <v>902</v>
      </c>
      <c r="C22" s="903">
        <f>'General-Budget 2018 - MF'!F77</f>
        <v>7333060038.3896103</v>
      </c>
      <c r="D22" s="903">
        <f>'General-Budget 2018 - MF'!G77</f>
        <v>7827185249.9047613</v>
      </c>
      <c r="E22" s="903">
        <f t="shared" si="2"/>
        <v>494125211.51515102</v>
      </c>
      <c r="F22" s="933">
        <f>'In Cash - Out Cash - MF'!F77</f>
        <v>9205884172</v>
      </c>
      <c r="G22" s="933">
        <f>'In Cash - Out Cash - MF'!G77</f>
        <v>8512905671.8166666</v>
      </c>
      <c r="H22" s="630"/>
    </row>
    <row r="23" spans="1:8" ht="25" customHeight="1" x14ac:dyDescent="0.35">
      <c r="A23" s="629">
        <v>3</v>
      </c>
      <c r="B23" s="935" t="s">
        <v>903</v>
      </c>
      <c r="C23" s="903">
        <f>'General-Budget 2018 - MF'!F112</f>
        <v>3515928899.7909088</v>
      </c>
      <c r="D23" s="903">
        <f>'General-Budget 2018 - MF'!G112</f>
        <v>5938119333.333333</v>
      </c>
      <c r="E23" s="903">
        <f t="shared" si="2"/>
        <v>2422190433.5424242</v>
      </c>
      <c r="F23" s="933">
        <f>'In Cash - Out Cash - MF'!F112</f>
        <v>2988401239</v>
      </c>
      <c r="G23" s="933">
        <f>'In Cash - Out Cash - MF'!G112</f>
        <v>7992364600</v>
      </c>
      <c r="H23" s="630"/>
    </row>
    <row r="24" spans="1:8" ht="25" customHeight="1" x14ac:dyDescent="0.35">
      <c r="A24" s="629">
        <v>4</v>
      </c>
      <c r="B24" s="935" t="s">
        <v>904</v>
      </c>
      <c r="C24" s="903">
        <f>'General-Budget 2018 - MF'!F120</f>
        <v>7250579298.747036</v>
      </c>
      <c r="D24" s="903">
        <f>'General-Budget 2018 - MF'!G120</f>
        <v>7474865841.9488964</v>
      </c>
      <c r="E24" s="903">
        <f t="shared" si="2"/>
        <v>224286543.20186043</v>
      </c>
      <c r="F24" s="933">
        <f>'In Cash - Out Cash - MF'!F120</f>
        <v>7677329774</v>
      </c>
      <c r="G24" s="933">
        <f>'In Cash - Out Cash - MF'!G120</f>
        <v>8222352426.1437874</v>
      </c>
      <c r="H24" s="630"/>
    </row>
    <row r="25" spans="1:8" ht="25" customHeight="1" x14ac:dyDescent="0.35">
      <c r="A25" s="906"/>
      <c r="B25" s="936" t="s">
        <v>984</v>
      </c>
      <c r="C25" s="905">
        <f>SUM(C21:C24)</f>
        <v>26732382351.970829</v>
      </c>
      <c r="D25" s="905">
        <f>SUM(D21:D24)</f>
        <v>30223468426.520325</v>
      </c>
      <c r="E25" s="905">
        <f>SUM(E21:E24)</f>
        <v>3491086074.5494976</v>
      </c>
      <c r="F25" s="937">
        <f>SUM(F21:F24)</f>
        <v>28952521737.090908</v>
      </c>
      <c r="G25" s="937">
        <f>SUM(G21:G24)</f>
        <v>33727739625.293785</v>
      </c>
    </row>
    <row r="26" spans="1:8" ht="25" customHeight="1" x14ac:dyDescent="0.35">
      <c r="A26" s="630"/>
      <c r="B26" s="630"/>
      <c r="C26" s="630"/>
      <c r="D26" s="963"/>
      <c r="E26" s="963"/>
      <c r="F26" s="963"/>
      <c r="G26" s="963"/>
    </row>
    <row r="27" spans="1:8" ht="25" customHeight="1" x14ac:dyDescent="0.35"/>
    <row r="28" spans="1:8" ht="25" customHeight="1" x14ac:dyDescent="0.35">
      <c r="D28" s="938"/>
      <c r="E28" s="938"/>
      <c r="F28" s="938"/>
      <c r="G28" s="938"/>
    </row>
    <row r="29" spans="1:8" ht="25" customHeight="1" x14ac:dyDescent="0.35">
      <c r="A29" s="906" t="s">
        <v>987</v>
      </c>
      <c r="B29" s="936" t="s">
        <v>988</v>
      </c>
      <c r="C29" s="902">
        <f>C16-C25</f>
        <v>51850204.514022827</v>
      </c>
      <c r="D29" s="902">
        <f>D16-D25</f>
        <v>-3869284796.2173233</v>
      </c>
      <c r="E29" s="902">
        <f>E16-E25</f>
        <v>-3921135000.7313476</v>
      </c>
      <c r="F29" s="937">
        <f>F16-F25</f>
        <v>245767243.09091187</v>
      </c>
      <c r="G29" s="937">
        <f>G16-G25</f>
        <v>-3560870405.157444</v>
      </c>
      <c r="H29" s="630"/>
    </row>
    <row r="30" spans="1:8" ht="25" customHeight="1" x14ac:dyDescent="0.35">
      <c r="H30" s="630"/>
    </row>
    <row r="31" spans="1:8" ht="25" customHeight="1" x14ac:dyDescent="0.35">
      <c r="A31" s="939" t="s">
        <v>989</v>
      </c>
      <c r="B31" s="904" t="s">
        <v>990</v>
      </c>
      <c r="C31" s="940">
        <v>19000</v>
      </c>
      <c r="D31" s="940">
        <f>($D$25-'General-Budget 2018 - MF'!$G$24-(500*22350.1999999999*12))/$F$6/12</f>
        <v>23712.788918567374</v>
      </c>
      <c r="E31" s="940"/>
      <c r="F31" s="941"/>
      <c r="G31" s="941"/>
    </row>
    <row r="32" spans="1:8" ht="25" customHeight="1" x14ac:dyDescent="0.35">
      <c r="A32" s="939" t="s">
        <v>991</v>
      </c>
      <c r="B32" s="904" t="s">
        <v>992</v>
      </c>
      <c r="C32" s="940">
        <v>19500</v>
      </c>
      <c r="D32" s="940">
        <f>($D$25-'General-Budget 2018 - MF'!$G$24-(500*22350.1999999999*12))/$F$6/12+500</f>
        <v>24212.788918567374</v>
      </c>
      <c r="E32" s="940"/>
      <c r="F32" s="941"/>
      <c r="G32" s="941"/>
    </row>
    <row r="33" spans="1:18" ht="6" customHeight="1" x14ac:dyDescent="0.35"/>
    <row r="34" spans="1:18" ht="25.5" customHeight="1" x14ac:dyDescent="0.35">
      <c r="A34" s="921"/>
      <c r="B34" s="922"/>
      <c r="C34" s="1201"/>
      <c r="D34" s="1201"/>
      <c r="E34" s="1201"/>
      <c r="F34" s="938"/>
      <c r="G34" s="938"/>
    </row>
    <row r="35" spans="1:18" s="918" customFormat="1" ht="20.25" customHeight="1" x14ac:dyDescent="0.35">
      <c r="A35" s="952"/>
      <c r="B35" s="952"/>
      <c r="C35" s="952"/>
      <c r="D35" s="952"/>
      <c r="E35" s="952"/>
      <c r="F35" s="1357"/>
      <c r="G35" s="920"/>
      <c r="H35" s="920"/>
      <c r="I35" s="952"/>
      <c r="J35" s="952"/>
      <c r="K35" s="952"/>
      <c r="L35" s="952"/>
      <c r="M35" s="952"/>
      <c r="N35" s="952"/>
      <c r="O35" s="952"/>
      <c r="P35" s="952"/>
      <c r="Q35" s="952"/>
      <c r="R35" s="952"/>
    </row>
    <row r="36" spans="1:18" ht="14.25" customHeight="1" x14ac:dyDescent="0.35">
      <c r="A36" s="952"/>
      <c r="B36" s="919" t="s">
        <v>1015</v>
      </c>
      <c r="C36" s="920" t="s">
        <v>1015</v>
      </c>
      <c r="D36" s="920"/>
      <c r="E36" s="920"/>
      <c r="F36" s="920"/>
      <c r="G36" s="952"/>
      <c r="H36" s="957" t="s">
        <v>1015</v>
      </c>
      <c r="I36" s="957"/>
      <c r="J36" s="957"/>
      <c r="K36" s="957"/>
      <c r="L36" s="920"/>
      <c r="M36" s="920"/>
      <c r="N36" s="952"/>
      <c r="O36" s="957" t="s">
        <v>1015</v>
      </c>
      <c r="P36" s="957"/>
      <c r="Q36" s="957"/>
      <c r="R36" s="952"/>
    </row>
    <row r="37" spans="1:18" ht="14.25" customHeight="1" x14ac:dyDescent="0.35">
      <c r="A37" s="952"/>
      <c r="B37" s="952"/>
      <c r="C37" s="952"/>
      <c r="D37" s="952"/>
      <c r="E37" s="952"/>
      <c r="F37" s="952"/>
      <c r="G37" s="952"/>
      <c r="H37" s="920"/>
      <c r="I37" s="920"/>
      <c r="J37" s="920"/>
      <c r="K37" s="920"/>
      <c r="L37" s="920"/>
      <c r="M37" s="920"/>
      <c r="N37" s="952"/>
      <c r="O37" s="920"/>
      <c r="P37" s="920"/>
      <c r="Q37" s="920"/>
      <c r="R37" s="952"/>
    </row>
    <row r="38" spans="1:18" ht="14.25" customHeight="1" x14ac:dyDescent="0.35">
      <c r="A38" s="952"/>
      <c r="B38" s="952"/>
      <c r="C38" s="952"/>
      <c r="D38" s="952"/>
      <c r="E38" s="952"/>
      <c r="F38" s="952"/>
      <c r="G38" s="952"/>
      <c r="H38" s="920"/>
      <c r="I38" s="920"/>
      <c r="J38" s="920"/>
      <c r="K38" s="920"/>
      <c r="L38" s="920"/>
      <c r="M38" s="920"/>
      <c r="N38" s="952"/>
      <c r="O38" s="920"/>
      <c r="P38" s="920"/>
      <c r="Q38" s="920"/>
      <c r="R38" s="952"/>
    </row>
    <row r="39" spans="1:18" ht="14.25" customHeight="1" x14ac:dyDescent="0.35">
      <c r="A39" s="952"/>
      <c r="B39" s="952"/>
      <c r="C39" s="952"/>
      <c r="D39" s="952"/>
      <c r="E39" s="952"/>
      <c r="F39" s="952"/>
      <c r="G39" s="952"/>
      <c r="H39" s="920"/>
      <c r="I39" s="920"/>
      <c r="J39" s="920"/>
      <c r="K39" s="920"/>
      <c r="L39" s="920"/>
      <c r="M39" s="920"/>
      <c r="N39" s="952"/>
      <c r="O39" s="920"/>
      <c r="P39" s="920"/>
      <c r="Q39" s="920"/>
      <c r="R39" s="952"/>
    </row>
    <row r="40" spans="1:18" ht="14.25" customHeight="1" x14ac:dyDescent="0.35">
      <c r="A40" s="952"/>
      <c r="B40" s="952"/>
      <c r="C40" s="952"/>
      <c r="D40" s="952"/>
      <c r="E40" s="952"/>
      <c r="F40" s="952"/>
      <c r="G40" s="952"/>
      <c r="H40" s="920"/>
      <c r="I40" s="920"/>
      <c r="J40" s="920"/>
      <c r="K40" s="920"/>
      <c r="L40" s="920"/>
      <c r="M40" s="920"/>
      <c r="N40" s="952"/>
      <c r="O40" s="920"/>
      <c r="P40" s="920"/>
      <c r="Q40" s="920"/>
      <c r="R40" s="952"/>
    </row>
    <row r="41" spans="1:18" ht="14.25" customHeight="1" x14ac:dyDescent="0.35">
      <c r="A41" s="952"/>
      <c r="B41" s="953" t="s">
        <v>994</v>
      </c>
      <c r="C41" s="958" t="s">
        <v>995</v>
      </c>
      <c r="D41" s="957"/>
      <c r="E41" s="957"/>
      <c r="F41" s="957"/>
      <c r="G41" s="952"/>
      <c r="H41" s="958" t="s">
        <v>996</v>
      </c>
      <c r="I41" s="958"/>
      <c r="J41" s="920"/>
      <c r="K41" s="920"/>
      <c r="L41" s="920"/>
      <c r="M41" s="920"/>
      <c r="N41" s="952"/>
      <c r="O41" s="958" t="s">
        <v>997</v>
      </c>
      <c r="P41" s="958"/>
      <c r="Q41" s="920"/>
      <c r="R41" s="952"/>
    </row>
    <row r="42" spans="1:18" ht="14.25" customHeight="1" x14ac:dyDescent="0.35">
      <c r="A42" s="952"/>
      <c r="B42" s="952"/>
      <c r="C42" s="952"/>
      <c r="D42" s="952"/>
      <c r="E42" s="952"/>
      <c r="F42" s="952"/>
      <c r="G42" s="952"/>
      <c r="H42" s="952"/>
      <c r="I42" s="952"/>
      <c r="J42" s="952"/>
      <c r="K42" s="952"/>
      <c r="L42" s="952"/>
      <c r="M42" s="952"/>
      <c r="N42" s="952"/>
      <c r="O42" s="952"/>
      <c r="P42" s="952"/>
      <c r="Q42" s="952"/>
      <c r="R42" s="952"/>
    </row>
    <row r="43" spans="1:18" ht="14.25" customHeight="1" x14ac:dyDescent="0.35">
      <c r="A43" s="952"/>
      <c r="B43" s="919" t="s">
        <v>1015</v>
      </c>
      <c r="C43" s="952"/>
      <c r="D43" s="952"/>
      <c r="E43" s="952"/>
      <c r="F43" s="920" t="s">
        <v>1015</v>
      </c>
      <c r="G43" s="920"/>
      <c r="H43" s="920"/>
      <c r="I43" s="952"/>
      <c r="J43" s="952"/>
      <c r="K43" s="952"/>
      <c r="L43" s="952"/>
      <c r="M43" s="952"/>
      <c r="N43" s="952"/>
      <c r="O43" s="957" t="s">
        <v>1015</v>
      </c>
      <c r="P43" s="920"/>
      <c r="Q43" s="920"/>
      <c r="R43" s="952"/>
    </row>
    <row r="44" spans="1:18" ht="14.25" customHeight="1" x14ac:dyDescent="0.35">
      <c r="A44" s="952"/>
      <c r="B44" s="952"/>
      <c r="C44" s="952"/>
      <c r="D44" s="952"/>
      <c r="E44" s="952"/>
      <c r="F44" s="952"/>
      <c r="G44" s="952"/>
      <c r="H44" s="952"/>
      <c r="I44" s="952"/>
      <c r="J44" s="952"/>
      <c r="K44" s="952"/>
      <c r="L44" s="952"/>
      <c r="M44" s="952"/>
      <c r="N44" s="952"/>
      <c r="O44" s="952"/>
      <c r="P44" s="952"/>
      <c r="Q44" s="952"/>
      <c r="R44" s="952"/>
    </row>
    <row r="45" spans="1:18" s="918" customFormat="1" ht="15.75" customHeight="1" x14ac:dyDescent="0.35">
      <c r="A45" s="952"/>
      <c r="B45" s="952"/>
      <c r="C45" s="952"/>
      <c r="D45" s="952"/>
      <c r="E45" s="952"/>
      <c r="F45" s="920"/>
      <c r="G45" s="920"/>
      <c r="H45" s="920"/>
      <c r="I45" s="952"/>
      <c r="J45" s="952"/>
      <c r="K45" s="952"/>
      <c r="L45" s="952"/>
      <c r="M45" s="952"/>
      <c r="N45" s="952"/>
      <c r="O45" s="952"/>
      <c r="P45" s="952"/>
      <c r="Q45" s="952"/>
      <c r="R45" s="952"/>
    </row>
    <row r="46" spans="1:18" ht="14.25" customHeight="1" x14ac:dyDescent="0.35">
      <c r="A46" s="952"/>
      <c r="B46" s="952"/>
      <c r="C46" s="952"/>
      <c r="D46" s="952"/>
      <c r="E46" s="952"/>
      <c r="F46" s="952"/>
      <c r="G46" s="952"/>
      <c r="H46" s="952"/>
      <c r="I46" s="952"/>
      <c r="J46" s="952"/>
      <c r="K46" s="952"/>
      <c r="L46" s="952"/>
      <c r="M46" s="952"/>
      <c r="N46" s="952"/>
      <c r="O46" s="952"/>
      <c r="P46" s="952"/>
      <c r="Q46" s="952"/>
      <c r="R46" s="952"/>
    </row>
    <row r="47" spans="1:18" ht="14.25" customHeight="1" x14ac:dyDescent="0.35">
      <c r="A47" s="952"/>
      <c r="B47" s="952"/>
      <c r="C47" s="952"/>
      <c r="D47" s="952"/>
      <c r="E47" s="952"/>
      <c r="F47" s="952"/>
      <c r="G47" s="952"/>
      <c r="H47" s="952"/>
      <c r="I47" s="952"/>
      <c r="J47" s="952"/>
      <c r="K47" s="952"/>
      <c r="L47" s="952"/>
      <c r="M47" s="952"/>
      <c r="N47" s="952"/>
      <c r="O47" s="952"/>
      <c r="P47" s="952"/>
      <c r="Q47" s="952"/>
      <c r="R47" s="952"/>
    </row>
    <row r="48" spans="1:18" ht="14.25" customHeight="1" x14ac:dyDescent="0.35">
      <c r="A48" s="952"/>
      <c r="B48" s="921" t="s">
        <v>1001</v>
      </c>
      <c r="C48" s="952"/>
      <c r="D48" s="952"/>
      <c r="E48" s="952"/>
      <c r="F48" s="958" t="s">
        <v>1002</v>
      </c>
      <c r="G48" s="920"/>
      <c r="H48" s="920"/>
      <c r="I48" s="952"/>
      <c r="J48" s="952"/>
      <c r="K48" s="952"/>
      <c r="L48" s="952"/>
      <c r="M48" s="952"/>
      <c r="N48" s="952"/>
      <c r="O48" s="958" t="s">
        <v>1000</v>
      </c>
      <c r="P48" s="959"/>
      <c r="Q48" s="959"/>
      <c r="R48" s="952"/>
    </row>
    <row r="49" spans="1:22" ht="14.25" customHeight="1" x14ac:dyDescent="0.35">
      <c r="A49" s="952"/>
      <c r="B49" s="952"/>
      <c r="C49" s="952"/>
      <c r="D49" s="952"/>
      <c r="E49" s="952"/>
      <c r="F49" s="952"/>
      <c r="G49" s="952"/>
      <c r="H49" s="952"/>
      <c r="I49" s="952"/>
      <c r="J49" s="952"/>
      <c r="K49" s="952"/>
      <c r="L49" s="952"/>
      <c r="M49" s="952"/>
      <c r="N49" s="952"/>
      <c r="O49" s="952"/>
      <c r="P49" s="952"/>
      <c r="Q49" s="952"/>
      <c r="R49" s="952"/>
    </row>
    <row r="50" spans="1:22" s="918" customFormat="1" ht="17.25" customHeight="1" x14ac:dyDescent="0.35">
      <c r="A50" s="952"/>
      <c r="B50" s="952"/>
      <c r="C50" s="952"/>
      <c r="D50" s="952"/>
      <c r="E50" s="952"/>
      <c r="F50" s="1040"/>
      <c r="G50" s="920"/>
      <c r="H50" s="957"/>
      <c r="I50" s="952"/>
      <c r="J50" s="952"/>
      <c r="K50" s="952"/>
      <c r="L50" s="952"/>
      <c r="M50" s="952"/>
      <c r="N50" s="952"/>
      <c r="O50" s="952"/>
      <c r="P50" s="952"/>
      <c r="Q50" s="952"/>
      <c r="R50" s="952"/>
      <c r="V50" s="954"/>
    </row>
    <row r="51" spans="1:22" ht="14.25" customHeight="1" x14ac:dyDescent="0.35">
      <c r="A51" s="952"/>
      <c r="B51" s="919" t="s">
        <v>1016</v>
      </c>
      <c r="C51" s="952"/>
      <c r="D51" s="952"/>
      <c r="E51" s="952"/>
      <c r="F51" s="920" t="s">
        <v>1015</v>
      </c>
      <c r="G51" s="920"/>
      <c r="H51" s="920"/>
      <c r="I51" s="952"/>
      <c r="J51" s="952"/>
      <c r="K51" s="952"/>
      <c r="L51" s="952"/>
      <c r="M51" s="952"/>
      <c r="N51" s="952"/>
      <c r="O51" s="920" t="s">
        <v>1017</v>
      </c>
      <c r="P51" s="920"/>
      <c r="Q51" s="920"/>
      <c r="R51" s="952"/>
    </row>
    <row r="52" spans="1:22" ht="14.25" customHeight="1" x14ac:dyDescent="0.35">
      <c r="A52" s="952"/>
      <c r="B52" s="952"/>
      <c r="C52" s="952"/>
      <c r="D52" s="952"/>
      <c r="E52" s="952"/>
      <c r="F52" s="952"/>
      <c r="G52" s="952"/>
      <c r="H52" s="952"/>
      <c r="I52" s="952"/>
      <c r="J52" s="952"/>
      <c r="K52" s="952"/>
      <c r="L52" s="952"/>
      <c r="M52" s="952"/>
      <c r="N52" s="952"/>
      <c r="O52" s="952"/>
      <c r="P52" s="952"/>
      <c r="Q52" s="952"/>
      <c r="R52" s="952"/>
    </row>
    <row r="53" spans="1:22" ht="14.25" customHeight="1" x14ac:dyDescent="0.35">
      <c r="A53" s="952"/>
      <c r="B53" s="952"/>
      <c r="C53" s="952"/>
      <c r="D53" s="952"/>
      <c r="E53" s="952"/>
      <c r="F53" s="952"/>
      <c r="G53" s="952"/>
      <c r="H53" s="952"/>
      <c r="I53" s="952"/>
      <c r="J53" s="952"/>
      <c r="K53" s="952"/>
      <c r="L53" s="952"/>
      <c r="M53" s="952"/>
      <c r="N53" s="952"/>
      <c r="O53" s="952"/>
      <c r="P53" s="952"/>
      <c r="Q53" s="952"/>
      <c r="R53" s="952"/>
    </row>
    <row r="54" spans="1:22" ht="14.25" customHeight="1" x14ac:dyDescent="0.35">
      <c r="A54" s="952"/>
      <c r="B54" s="952"/>
      <c r="C54" s="952"/>
      <c r="D54" s="952"/>
      <c r="E54" s="952"/>
      <c r="F54" s="952"/>
      <c r="G54" s="952"/>
      <c r="H54" s="952"/>
      <c r="I54" s="952"/>
      <c r="J54" s="952"/>
      <c r="K54" s="952"/>
      <c r="L54" s="952"/>
      <c r="M54" s="952"/>
      <c r="N54" s="952"/>
      <c r="O54" s="952"/>
      <c r="P54" s="952"/>
      <c r="Q54" s="952"/>
      <c r="R54" s="952"/>
    </row>
    <row r="55" spans="1:22" ht="14.25" customHeight="1" x14ac:dyDescent="0.35">
      <c r="A55" s="952"/>
      <c r="B55" s="952"/>
      <c r="C55" s="952"/>
      <c r="D55" s="952"/>
      <c r="E55" s="952"/>
      <c r="F55" s="952"/>
      <c r="G55" s="952"/>
      <c r="H55" s="952"/>
      <c r="I55" s="952"/>
      <c r="J55" s="952"/>
      <c r="K55" s="952"/>
      <c r="L55" s="952"/>
      <c r="M55" s="952"/>
      <c r="N55" s="952"/>
      <c r="O55" s="952"/>
      <c r="P55" s="952"/>
      <c r="Q55" s="952"/>
      <c r="R55" s="952"/>
    </row>
    <row r="56" spans="1:22" ht="25" customHeight="1" x14ac:dyDescent="0.35">
      <c r="A56" s="952"/>
      <c r="B56" s="921" t="s">
        <v>999</v>
      </c>
      <c r="C56" s="952"/>
      <c r="D56" s="959" t="s">
        <v>1040</v>
      </c>
      <c r="E56" s="959"/>
      <c r="F56" s="908"/>
      <c r="G56" s="957"/>
      <c r="H56" s="957"/>
      <c r="I56" s="920"/>
      <c r="J56" s="920"/>
      <c r="K56" s="952"/>
      <c r="L56" s="952"/>
      <c r="M56" s="952"/>
      <c r="N56" s="952"/>
      <c r="O56" s="958" t="s">
        <v>1036</v>
      </c>
      <c r="P56" s="958"/>
      <c r="Q56" s="958"/>
      <c r="R56" s="952"/>
    </row>
    <row r="57" spans="1:22" ht="14.25" customHeight="1" x14ac:dyDescent="0.35">
      <c r="A57" s="921"/>
      <c r="B57" s="922"/>
      <c r="C57" s="922"/>
      <c r="D57" s="922"/>
      <c r="E57" s="922"/>
      <c r="F57" s="922"/>
      <c r="G57" s="922"/>
      <c r="H57" s="926"/>
      <c r="I57" s="918"/>
      <c r="J57" s="918"/>
    </row>
    <row r="60" spans="1:22" ht="14.25" customHeight="1" x14ac:dyDescent="0.35">
      <c r="A60" s="919"/>
      <c r="B60" s="920"/>
      <c r="C60" s="920"/>
      <c r="D60" s="920"/>
      <c r="E60" s="920"/>
      <c r="F60" s="920"/>
      <c r="G60" s="920"/>
      <c r="H60" s="927"/>
    </row>
    <row r="66" spans="2:8" ht="14.25" customHeight="1" x14ac:dyDescent="0.35">
      <c r="B66" s="928"/>
      <c r="H66" s="923"/>
    </row>
    <row r="93" spans="1:18" ht="14.25" customHeight="1" x14ac:dyDescent="0.35">
      <c r="A93" s="1359" t="s">
        <v>993</v>
      </c>
      <c r="B93" s="1359"/>
      <c r="C93" s="1359"/>
      <c r="D93" s="1359"/>
      <c r="E93" s="1359"/>
      <c r="F93" s="1359"/>
      <c r="G93" s="1359"/>
      <c r="H93" s="1359"/>
      <c r="I93" s="1359"/>
      <c r="J93" s="1359"/>
      <c r="K93" s="1359"/>
      <c r="L93" s="1359"/>
      <c r="M93" s="1359"/>
      <c r="N93" s="1359"/>
      <c r="O93" s="1359"/>
      <c r="P93" s="1359"/>
      <c r="Q93" s="1359"/>
      <c r="R93" s="1359"/>
    </row>
    <row r="94" spans="1:18" ht="14.25" customHeight="1" x14ac:dyDescent="0.35">
      <c r="A94" s="1359"/>
      <c r="B94" s="1359"/>
      <c r="C94" s="1359"/>
      <c r="D94" s="1359"/>
      <c r="E94" s="1359"/>
      <c r="F94" s="1359"/>
      <c r="G94" s="1359"/>
      <c r="H94" s="1359"/>
      <c r="I94" s="1359"/>
      <c r="J94" s="1359"/>
      <c r="K94" s="1359"/>
      <c r="L94" s="1359"/>
      <c r="M94" s="1359"/>
      <c r="N94" s="1359"/>
      <c r="O94" s="1359"/>
      <c r="P94" s="1359"/>
      <c r="Q94" s="1359"/>
      <c r="R94" s="1359"/>
    </row>
    <row r="95" spans="1:18" ht="14.25" customHeight="1" x14ac:dyDescent="0.35">
      <c r="A95" s="1359"/>
      <c r="B95" s="1359"/>
      <c r="C95" s="1359"/>
      <c r="D95" s="1359"/>
      <c r="E95" s="1359"/>
      <c r="F95" s="1359"/>
      <c r="G95" s="1359"/>
      <c r="H95" s="1359"/>
      <c r="I95" s="1359"/>
      <c r="J95" s="1359"/>
      <c r="K95" s="1359"/>
      <c r="L95" s="1359"/>
      <c r="M95" s="1359"/>
      <c r="N95" s="1359"/>
      <c r="O95" s="1359"/>
      <c r="P95" s="1359"/>
      <c r="Q95" s="1359"/>
      <c r="R95" s="1359"/>
    </row>
    <row r="96" spans="1:18" ht="14.25" customHeight="1" x14ac:dyDescent="0.35">
      <c r="A96" s="1359"/>
      <c r="B96" s="1359"/>
      <c r="C96" s="1359"/>
      <c r="D96" s="1359"/>
      <c r="E96" s="1359"/>
      <c r="F96" s="1359"/>
      <c r="G96" s="1359"/>
      <c r="H96" s="1359"/>
      <c r="I96" s="1359"/>
      <c r="J96" s="1359"/>
      <c r="K96" s="1359"/>
      <c r="L96" s="1359"/>
      <c r="M96" s="1359"/>
      <c r="N96" s="1359"/>
      <c r="O96" s="1359"/>
      <c r="P96" s="1359"/>
      <c r="Q96" s="1359"/>
      <c r="R96" s="1359"/>
    </row>
    <row r="97" spans="1:18" ht="14.25" customHeight="1" x14ac:dyDescent="0.35">
      <c r="A97" s="1359"/>
      <c r="B97" s="1359"/>
      <c r="C97" s="1359"/>
      <c r="D97" s="1359"/>
      <c r="E97" s="1359"/>
      <c r="F97" s="1359"/>
      <c r="G97" s="1359"/>
      <c r="H97" s="1359"/>
      <c r="I97" s="1359"/>
      <c r="J97" s="1359"/>
      <c r="K97" s="1359"/>
      <c r="L97" s="1359"/>
      <c r="M97" s="1359"/>
      <c r="N97" s="1359"/>
      <c r="O97" s="1359"/>
      <c r="P97" s="1359"/>
      <c r="Q97" s="1359"/>
      <c r="R97" s="1359"/>
    </row>
    <row r="98" spans="1:18" ht="14.25" customHeight="1" x14ac:dyDescent="0.35">
      <c r="A98" s="1359"/>
      <c r="B98" s="1359"/>
      <c r="C98" s="1359"/>
      <c r="D98" s="1359"/>
      <c r="E98" s="1359"/>
      <c r="F98" s="1359"/>
      <c r="G98" s="1359"/>
      <c r="H98" s="1359"/>
      <c r="I98" s="1359"/>
      <c r="J98" s="1359"/>
      <c r="K98" s="1359"/>
      <c r="L98" s="1359"/>
      <c r="M98" s="1359"/>
      <c r="N98" s="1359"/>
      <c r="O98" s="1359"/>
      <c r="P98" s="1359"/>
      <c r="Q98" s="1359"/>
      <c r="R98" s="1359"/>
    </row>
    <row r="99" spans="1:18" ht="14.25" customHeight="1" x14ac:dyDescent="0.35">
      <c r="A99" s="1359"/>
      <c r="B99" s="1359"/>
      <c r="C99" s="1359"/>
      <c r="D99" s="1359"/>
      <c r="E99" s="1359"/>
      <c r="F99" s="1359"/>
      <c r="G99" s="1359"/>
      <c r="H99" s="1359"/>
      <c r="I99" s="1359"/>
      <c r="J99" s="1359"/>
      <c r="K99" s="1359"/>
      <c r="L99" s="1359"/>
      <c r="M99" s="1359"/>
      <c r="N99" s="1359"/>
      <c r="O99" s="1359"/>
      <c r="P99" s="1359"/>
      <c r="Q99" s="1359"/>
      <c r="R99" s="1359"/>
    </row>
    <row r="100" spans="1:18" ht="14.25" customHeight="1" x14ac:dyDescent="0.35">
      <c r="A100" s="1359"/>
      <c r="B100" s="1359"/>
      <c r="C100" s="1359"/>
      <c r="D100" s="1359"/>
      <c r="E100" s="1359"/>
      <c r="F100" s="1359"/>
      <c r="G100" s="1359"/>
      <c r="H100" s="1359"/>
      <c r="I100" s="1359"/>
      <c r="J100" s="1359"/>
      <c r="K100" s="1359"/>
      <c r="L100" s="1359"/>
      <c r="M100" s="1359"/>
      <c r="N100" s="1359"/>
      <c r="O100" s="1359"/>
      <c r="P100" s="1359"/>
      <c r="Q100" s="1359"/>
      <c r="R100" s="1359"/>
    </row>
    <row r="101" spans="1:18" ht="14.25" customHeight="1" x14ac:dyDescent="0.35">
      <c r="A101" s="1359"/>
      <c r="B101" s="1359"/>
      <c r="C101" s="1359"/>
      <c r="D101" s="1359"/>
      <c r="E101" s="1359"/>
      <c r="F101" s="1359"/>
      <c r="G101" s="1359"/>
      <c r="H101" s="1359"/>
      <c r="I101" s="1359"/>
      <c r="J101" s="1359"/>
      <c r="K101" s="1359"/>
      <c r="L101" s="1359"/>
      <c r="M101" s="1359"/>
      <c r="N101" s="1359"/>
      <c r="O101" s="1359"/>
      <c r="P101" s="1359"/>
      <c r="Q101" s="1359"/>
      <c r="R101" s="1359"/>
    </row>
    <row r="102" spans="1:18" ht="14.25" customHeight="1" x14ac:dyDescent="0.35">
      <c r="A102" s="1359"/>
      <c r="B102" s="1359"/>
      <c r="C102" s="1359"/>
      <c r="D102" s="1359"/>
      <c r="E102" s="1359"/>
      <c r="F102" s="1359"/>
      <c r="G102" s="1359"/>
      <c r="H102" s="1359"/>
      <c r="I102" s="1359"/>
      <c r="J102" s="1359"/>
      <c r="K102" s="1359"/>
      <c r="L102" s="1359"/>
      <c r="M102" s="1359"/>
      <c r="N102" s="1359"/>
      <c r="O102" s="1359"/>
      <c r="P102" s="1359"/>
      <c r="Q102" s="1359"/>
      <c r="R102" s="1359"/>
    </row>
    <row r="103" spans="1:18" ht="14.25" customHeight="1" x14ac:dyDescent="0.35">
      <c r="A103" s="1359"/>
      <c r="B103" s="1359"/>
      <c r="C103" s="1359"/>
      <c r="D103" s="1359"/>
      <c r="E103" s="1359"/>
      <c r="F103" s="1359"/>
      <c r="G103" s="1359"/>
      <c r="H103" s="1359"/>
      <c r="I103" s="1359"/>
      <c r="J103" s="1359"/>
      <c r="K103" s="1359"/>
      <c r="L103" s="1359"/>
      <c r="M103" s="1359"/>
      <c r="N103" s="1359"/>
      <c r="O103" s="1359"/>
      <c r="P103" s="1359"/>
      <c r="Q103" s="1359"/>
      <c r="R103" s="1359"/>
    </row>
    <row r="104" spans="1:18" ht="14.25" customHeight="1" x14ac:dyDescent="0.35">
      <c r="A104" s="1359"/>
      <c r="B104" s="1359"/>
      <c r="C104" s="1359"/>
      <c r="D104" s="1359"/>
      <c r="E104" s="1359"/>
      <c r="F104" s="1359"/>
      <c r="G104" s="1359"/>
      <c r="H104" s="1359"/>
      <c r="I104" s="1359"/>
      <c r="J104" s="1359"/>
      <c r="K104" s="1359"/>
      <c r="L104" s="1359"/>
      <c r="M104" s="1359"/>
      <c r="N104" s="1359"/>
      <c r="O104" s="1359"/>
      <c r="P104" s="1359"/>
      <c r="Q104" s="1359"/>
      <c r="R104" s="1359"/>
    </row>
    <row r="105" spans="1:18" ht="14.25" customHeight="1" x14ac:dyDescent="0.35">
      <c r="A105" s="1359"/>
      <c r="B105" s="1359"/>
      <c r="C105" s="1359"/>
      <c r="D105" s="1359"/>
      <c r="E105" s="1359"/>
      <c r="F105" s="1359"/>
      <c r="G105" s="1359"/>
      <c r="H105" s="1359"/>
      <c r="I105" s="1359"/>
      <c r="J105" s="1359"/>
      <c r="K105" s="1359"/>
      <c r="L105" s="1359"/>
      <c r="M105" s="1359"/>
      <c r="N105" s="1359"/>
      <c r="O105" s="1359"/>
      <c r="P105" s="1359"/>
      <c r="Q105" s="1359"/>
      <c r="R105" s="1359"/>
    </row>
    <row r="106" spans="1:18" ht="14.25" customHeight="1" x14ac:dyDescent="0.35">
      <c r="A106" s="1359"/>
      <c r="B106" s="1359"/>
      <c r="C106" s="1359"/>
      <c r="D106" s="1359"/>
      <c r="E106" s="1359"/>
      <c r="F106" s="1359"/>
      <c r="G106" s="1359"/>
      <c r="H106" s="1359"/>
      <c r="I106" s="1359"/>
      <c r="J106" s="1359"/>
      <c r="K106" s="1359"/>
      <c r="L106" s="1359"/>
      <c r="M106" s="1359"/>
      <c r="N106" s="1359"/>
      <c r="O106" s="1359"/>
      <c r="P106" s="1359"/>
      <c r="Q106" s="1359"/>
      <c r="R106" s="1359"/>
    </row>
    <row r="107" spans="1:18" ht="14.25" customHeight="1" x14ac:dyDescent="0.35">
      <c r="A107" s="1359"/>
      <c r="B107" s="1359"/>
      <c r="C107" s="1359"/>
      <c r="D107" s="1359"/>
      <c r="E107" s="1359"/>
      <c r="F107" s="1359"/>
      <c r="G107" s="1359"/>
      <c r="H107" s="1359"/>
      <c r="I107" s="1359"/>
      <c r="J107" s="1359"/>
      <c r="K107" s="1359"/>
      <c r="L107" s="1359"/>
      <c r="M107" s="1359"/>
      <c r="N107" s="1359"/>
      <c r="O107" s="1359"/>
      <c r="P107" s="1359"/>
      <c r="Q107" s="1359"/>
      <c r="R107" s="1359"/>
    </row>
    <row r="108" spans="1:18" ht="14.25" customHeight="1" x14ac:dyDescent="0.35">
      <c r="A108" s="1359"/>
      <c r="B108" s="1359"/>
      <c r="C108" s="1359"/>
      <c r="D108" s="1359"/>
      <c r="E108" s="1359"/>
      <c r="F108" s="1359"/>
      <c r="G108" s="1359"/>
      <c r="H108" s="1359"/>
      <c r="I108" s="1359"/>
      <c r="J108" s="1359"/>
      <c r="K108" s="1359"/>
      <c r="L108" s="1359"/>
      <c r="M108" s="1359"/>
      <c r="N108" s="1359"/>
      <c r="O108" s="1359"/>
      <c r="P108" s="1359"/>
      <c r="Q108" s="1359"/>
      <c r="R108" s="1359"/>
    </row>
    <row r="109" spans="1:18" ht="14.25" customHeight="1" x14ac:dyDescent="0.35">
      <c r="A109" s="1359"/>
      <c r="B109" s="1359"/>
      <c r="C109" s="1359"/>
      <c r="D109" s="1359"/>
      <c r="E109" s="1359"/>
      <c r="F109" s="1359"/>
      <c r="G109" s="1359"/>
      <c r="H109" s="1359"/>
      <c r="I109" s="1359"/>
      <c r="J109" s="1359"/>
      <c r="K109" s="1359"/>
      <c r="L109" s="1359"/>
      <c r="M109" s="1359"/>
      <c r="N109" s="1359"/>
      <c r="O109" s="1359"/>
      <c r="P109" s="1359"/>
      <c r="Q109" s="1359"/>
      <c r="R109" s="1359"/>
    </row>
    <row r="110" spans="1:18" ht="14.25" customHeight="1" x14ac:dyDescent="0.35">
      <c r="A110" s="1359"/>
      <c r="B110" s="1359"/>
      <c r="C110" s="1359"/>
      <c r="D110" s="1359"/>
      <c r="E110" s="1359"/>
      <c r="F110" s="1359"/>
      <c r="G110" s="1359"/>
      <c r="H110" s="1359"/>
      <c r="I110" s="1359"/>
      <c r="J110" s="1359"/>
      <c r="K110" s="1359"/>
      <c r="L110" s="1359"/>
      <c r="M110" s="1359"/>
      <c r="N110" s="1359"/>
      <c r="O110" s="1359"/>
      <c r="P110" s="1359"/>
      <c r="Q110" s="1359"/>
      <c r="R110" s="1359"/>
    </row>
    <row r="111" spans="1:18" ht="14.25" customHeight="1" x14ac:dyDescent="0.35">
      <c r="A111" s="1359"/>
      <c r="B111" s="1359"/>
      <c r="C111" s="1359"/>
      <c r="D111" s="1359"/>
      <c r="E111" s="1359"/>
      <c r="F111" s="1359"/>
      <c r="G111" s="1359"/>
      <c r="H111" s="1359"/>
      <c r="I111" s="1359"/>
      <c r="J111" s="1359"/>
      <c r="K111" s="1359"/>
      <c r="L111" s="1359"/>
      <c r="M111" s="1359"/>
      <c r="N111" s="1359"/>
      <c r="O111" s="1359"/>
      <c r="P111" s="1359"/>
      <c r="Q111" s="1359"/>
      <c r="R111" s="1359"/>
    </row>
    <row r="112" spans="1:18" ht="14.25" customHeight="1" x14ac:dyDescent="0.35">
      <c r="A112" s="1359"/>
      <c r="B112" s="1359"/>
      <c r="C112" s="1359"/>
      <c r="D112" s="1359"/>
      <c r="E112" s="1359"/>
      <c r="F112" s="1359"/>
      <c r="G112" s="1359"/>
      <c r="H112" s="1359"/>
      <c r="I112" s="1359"/>
      <c r="J112" s="1359"/>
      <c r="K112" s="1359"/>
      <c r="L112" s="1359"/>
      <c r="M112" s="1359"/>
      <c r="N112" s="1359"/>
      <c r="O112" s="1359"/>
      <c r="P112" s="1359"/>
      <c r="Q112" s="1359"/>
      <c r="R112" s="1359"/>
    </row>
    <row r="113" spans="1:18" ht="14.25" customHeight="1" x14ac:dyDescent="0.35">
      <c r="A113" s="1359"/>
      <c r="B113" s="1359"/>
      <c r="C113" s="1359"/>
      <c r="D113" s="1359"/>
      <c r="E113" s="1359"/>
      <c r="F113" s="1359"/>
      <c r="G113" s="1359"/>
      <c r="H113" s="1359"/>
      <c r="I113" s="1359"/>
      <c r="J113" s="1359"/>
      <c r="K113" s="1359"/>
      <c r="L113" s="1359"/>
      <c r="M113" s="1359"/>
      <c r="N113" s="1359"/>
      <c r="O113" s="1359"/>
      <c r="P113" s="1359"/>
      <c r="Q113" s="1359"/>
      <c r="R113" s="1359"/>
    </row>
    <row r="114" spans="1:18" ht="14.25" customHeight="1" x14ac:dyDescent="0.35">
      <c r="A114" s="1359"/>
      <c r="B114" s="1359"/>
      <c r="C114" s="1359"/>
      <c r="D114" s="1359"/>
      <c r="E114" s="1359"/>
      <c r="F114" s="1359"/>
      <c r="G114" s="1359"/>
      <c r="H114" s="1359"/>
      <c r="I114" s="1359"/>
      <c r="J114" s="1359"/>
      <c r="K114" s="1359"/>
      <c r="L114" s="1359"/>
      <c r="M114" s="1359"/>
      <c r="N114" s="1359"/>
      <c r="O114" s="1359"/>
      <c r="P114" s="1359"/>
      <c r="Q114" s="1359"/>
      <c r="R114" s="1359"/>
    </row>
    <row r="115" spans="1:18" ht="14.25" customHeight="1" x14ac:dyDescent="0.35">
      <c r="A115" s="1359"/>
      <c r="B115" s="1359"/>
      <c r="C115" s="1359"/>
      <c r="D115" s="1359"/>
      <c r="E115" s="1359"/>
      <c r="F115" s="1359"/>
      <c r="G115" s="1359"/>
      <c r="H115" s="1359"/>
      <c r="I115" s="1359"/>
      <c r="J115" s="1359"/>
      <c r="K115" s="1359"/>
      <c r="L115" s="1359"/>
      <c r="M115" s="1359"/>
      <c r="N115" s="1359"/>
      <c r="O115" s="1359"/>
      <c r="P115" s="1359"/>
      <c r="Q115" s="1359"/>
      <c r="R115" s="1359"/>
    </row>
    <row r="116" spans="1:18" ht="14.25" customHeight="1" x14ac:dyDescent="0.35">
      <c r="A116" s="1359"/>
      <c r="B116" s="1359"/>
      <c r="C116" s="1359"/>
      <c r="D116" s="1359"/>
      <c r="E116" s="1359"/>
      <c r="F116" s="1359"/>
      <c r="G116" s="1359"/>
      <c r="H116" s="1359"/>
      <c r="I116" s="1359"/>
      <c r="J116" s="1359"/>
      <c r="K116" s="1359"/>
      <c r="L116" s="1359"/>
      <c r="M116" s="1359"/>
      <c r="N116" s="1359"/>
      <c r="O116" s="1359"/>
      <c r="P116" s="1359"/>
      <c r="Q116" s="1359"/>
      <c r="R116" s="1359"/>
    </row>
  </sheetData>
  <mergeCells count="1">
    <mergeCell ref="A93:R116"/>
  </mergeCells>
  <printOptions horizontalCentered="1" verticalCentered="1"/>
  <pageMargins left="0.4" right="0.4" top="0.2" bottom="0.3" header="0.2" footer="0.2"/>
  <pageSetup paperSize="8" scale="73" orientation="landscape" r:id="rId1"/>
  <headerFooter>
    <oddFooter>&amp;L&amp;F, &amp;A&amp;RPage &amp;P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X178"/>
  <sheetViews>
    <sheetView topLeftCell="A110" zoomScale="60" zoomScaleNormal="60" workbookViewId="0">
      <selection activeCell="C59" sqref="C59"/>
    </sheetView>
  </sheetViews>
  <sheetFormatPr defaultColWidth="9.1796875" defaultRowHeight="13" x14ac:dyDescent="0.35"/>
  <cols>
    <col min="1" max="1" width="5.54296875" style="359" customWidth="1"/>
    <col min="2" max="2" width="13.7265625" style="17" hidden="1" customWidth="1"/>
    <col min="3" max="3" width="49.7265625" style="639" customWidth="1"/>
    <col min="4" max="4" width="19" style="197" customWidth="1"/>
    <col min="5" max="5" width="14.81640625" style="639" hidden="1" customWidth="1"/>
    <col min="6" max="6" width="17.453125" style="197" customWidth="1"/>
    <col min="7" max="7" width="16.26953125" style="105" bestFit="1" customWidth="1"/>
    <col min="8" max="8" width="7.81640625" style="651" customWidth="1"/>
    <col min="9" max="12" width="13.81640625" style="105" customWidth="1"/>
    <col min="13" max="17" width="16.26953125" style="105" customWidth="1"/>
    <col min="18" max="19" width="16.26953125" style="3" customWidth="1"/>
    <col min="20" max="20" width="14" style="21" customWidth="1"/>
    <col min="21" max="21" width="31.54296875" style="969" customWidth="1"/>
    <col min="22" max="22" width="14.26953125" style="21" hidden="1" customWidth="1"/>
    <col min="23" max="23" width="15" style="21" bestFit="1" customWidth="1"/>
    <col min="24" max="24" width="11.26953125" style="21" bestFit="1" customWidth="1"/>
    <col min="25" max="16384" width="9.1796875" style="21"/>
  </cols>
  <sheetData>
    <row r="1" spans="1:22" ht="14.25" customHeight="1" x14ac:dyDescent="0.35">
      <c r="A1" s="631"/>
      <c r="B1" s="632"/>
      <c r="C1" s="633"/>
      <c r="D1" s="634"/>
      <c r="E1" s="633"/>
      <c r="F1" s="634"/>
      <c r="G1" s="647"/>
      <c r="H1" s="635"/>
      <c r="I1" s="647"/>
      <c r="J1" s="647"/>
      <c r="K1" s="647"/>
      <c r="L1" s="647"/>
      <c r="M1" s="647"/>
      <c r="N1" s="647"/>
      <c r="O1" s="647"/>
      <c r="P1" s="647"/>
      <c r="Q1" s="647"/>
      <c r="R1" s="636"/>
      <c r="S1" s="636"/>
    </row>
    <row r="2" spans="1:22" ht="25.5" customHeight="1" x14ac:dyDescent="0.35">
      <c r="A2" s="960" t="s">
        <v>1041</v>
      </c>
      <c r="B2" s="961"/>
      <c r="C2" s="633"/>
      <c r="D2" s="634"/>
      <c r="E2" s="633"/>
      <c r="F2" s="634"/>
      <c r="G2" s="647"/>
      <c r="H2" s="635"/>
      <c r="I2" s="647"/>
      <c r="J2" s="647"/>
      <c r="K2" s="647"/>
      <c r="L2" s="647"/>
      <c r="M2" s="647"/>
      <c r="N2" s="647"/>
      <c r="O2" s="647"/>
      <c r="P2" s="647"/>
      <c r="Q2" s="647"/>
      <c r="R2" s="636"/>
      <c r="S2" s="636"/>
      <c r="T2" s="709"/>
      <c r="U2" s="962"/>
    </row>
    <row r="3" spans="1:22" ht="14.25" customHeight="1" x14ac:dyDescent="0.35">
      <c r="A3" s="631"/>
      <c r="B3" s="632"/>
      <c r="C3" s="633"/>
      <c r="D3" s="634"/>
      <c r="E3" s="633"/>
      <c r="F3" s="634"/>
      <c r="G3" s="647"/>
      <c r="H3" s="635"/>
      <c r="I3" s="647"/>
      <c r="J3" s="647"/>
      <c r="K3" s="647"/>
      <c r="L3" s="647"/>
      <c r="M3" s="647"/>
      <c r="N3" s="647"/>
      <c r="O3" s="647"/>
      <c r="P3" s="647"/>
      <c r="Q3" s="647"/>
      <c r="R3" s="636"/>
      <c r="S3" s="636"/>
    </row>
    <row r="4" spans="1:22" s="646" customFormat="1" ht="4.5" customHeight="1" x14ac:dyDescent="0.35">
      <c r="A4" s="710"/>
      <c r="B4" s="720"/>
      <c r="C4" s="641"/>
      <c r="D4" s="642"/>
      <c r="E4" s="641"/>
      <c r="F4" s="642"/>
      <c r="G4" s="643"/>
      <c r="H4" s="644"/>
      <c r="I4" s="652"/>
      <c r="J4" s="652"/>
      <c r="K4" s="652"/>
      <c r="L4" s="652"/>
      <c r="M4" s="652"/>
      <c r="N4" s="652"/>
      <c r="O4" s="652"/>
      <c r="P4" s="652"/>
      <c r="Q4" s="652"/>
      <c r="R4" s="645"/>
      <c r="S4" s="645"/>
      <c r="T4" s="712"/>
      <c r="U4" s="964"/>
    </row>
    <row r="5" spans="1:22" s="646" customFormat="1" ht="20.149999999999999" customHeight="1" x14ac:dyDescent="0.35">
      <c r="A5" s="710"/>
      <c r="B5" s="711"/>
      <c r="C5" s="641"/>
      <c r="D5" s="642"/>
      <c r="E5" s="641"/>
      <c r="F5" s="642"/>
      <c r="G5" s="643"/>
      <c r="H5" s="644"/>
      <c r="I5" s="652"/>
      <c r="J5" s="652"/>
      <c r="K5" s="652"/>
      <c r="L5" s="652"/>
      <c r="M5" s="652"/>
      <c r="N5" s="652"/>
      <c r="O5" s="652"/>
      <c r="P5" s="652"/>
      <c r="Q5" s="652"/>
      <c r="R5" s="645"/>
      <c r="S5" s="645"/>
      <c r="T5" s="712"/>
      <c r="U5" s="964"/>
    </row>
    <row r="6" spans="1:22" s="109" customFormat="1" ht="31.5" customHeight="1" x14ac:dyDescent="0.35">
      <c r="A6" s="1360" t="s">
        <v>214</v>
      </c>
      <c r="B6" s="979"/>
      <c r="C6" s="1360" t="s">
        <v>213</v>
      </c>
      <c r="D6" s="1362">
        <v>2017</v>
      </c>
      <c r="E6" s="1363"/>
      <c r="F6" s="1364"/>
      <c r="G6" s="1365" t="s">
        <v>900</v>
      </c>
      <c r="H6" s="1366"/>
      <c r="I6" s="965"/>
      <c r="J6" s="966"/>
      <c r="K6" s="966"/>
      <c r="L6" s="966"/>
      <c r="M6" s="966"/>
      <c r="N6" s="966"/>
      <c r="O6" s="967"/>
      <c r="P6" s="966"/>
      <c r="Q6" s="966"/>
      <c r="R6" s="966"/>
      <c r="S6" s="966"/>
      <c r="T6" s="968"/>
      <c r="U6" s="637"/>
    </row>
    <row r="7" spans="1:22" s="109" customFormat="1" ht="48" customHeight="1" x14ac:dyDescent="0.35">
      <c r="A7" s="1361"/>
      <c r="B7" s="980"/>
      <c r="C7" s="1361"/>
      <c r="D7" s="340" t="s">
        <v>527</v>
      </c>
      <c r="E7" s="338" t="s">
        <v>856</v>
      </c>
      <c r="F7" s="339" t="s">
        <v>1057</v>
      </c>
      <c r="G7" s="208" t="s">
        <v>619</v>
      </c>
      <c r="H7" s="208" t="s">
        <v>359</v>
      </c>
      <c r="I7" s="981" t="s">
        <v>211</v>
      </c>
      <c r="J7" s="981" t="s">
        <v>210</v>
      </c>
      <c r="K7" s="981" t="s">
        <v>209</v>
      </c>
      <c r="L7" s="981" t="s">
        <v>208</v>
      </c>
      <c r="M7" s="981" t="s">
        <v>207</v>
      </c>
      <c r="N7" s="981" t="s">
        <v>206</v>
      </c>
      <c r="O7" s="981" t="s">
        <v>205</v>
      </c>
      <c r="P7" s="981" t="s">
        <v>204</v>
      </c>
      <c r="Q7" s="981" t="s">
        <v>203</v>
      </c>
      <c r="R7" s="981" t="s">
        <v>202</v>
      </c>
      <c r="S7" s="981" t="s">
        <v>201</v>
      </c>
      <c r="T7" s="981" t="s">
        <v>200</v>
      </c>
      <c r="U7" s="981" t="s">
        <v>449</v>
      </c>
      <c r="V7" s="5"/>
    </row>
    <row r="8" spans="1:22" s="39" customFormat="1" ht="25" customHeight="1" x14ac:dyDescent="0.35">
      <c r="A8" s="992" t="s">
        <v>199</v>
      </c>
      <c r="B8" s="993"/>
      <c r="C8" s="994" t="s">
        <v>1003</v>
      </c>
      <c r="D8" s="336"/>
      <c r="E8" s="46"/>
      <c r="F8" s="348"/>
      <c r="G8" s="349"/>
      <c r="H8" s="349"/>
      <c r="I8" s="108"/>
      <c r="J8" s="108"/>
      <c r="K8" s="108"/>
      <c r="L8" s="108"/>
      <c r="M8" s="108"/>
      <c r="N8" s="108"/>
      <c r="O8" s="108"/>
      <c r="P8" s="108"/>
      <c r="Q8" s="108"/>
      <c r="R8" s="101"/>
      <c r="S8" s="101"/>
      <c r="T8" s="101"/>
      <c r="U8" s="102"/>
      <c r="V8" s="638"/>
    </row>
    <row r="9" spans="1:22" s="77" customFormat="1" ht="25" customHeight="1" x14ac:dyDescent="0.35">
      <c r="A9" s="352" t="s">
        <v>198</v>
      </c>
      <c r="B9" s="82">
        <v>5111</v>
      </c>
      <c r="C9" s="107" t="s">
        <v>197</v>
      </c>
      <c r="D9" s="341">
        <v>22256532300</v>
      </c>
      <c r="E9" s="188">
        <v>18307690000.303032</v>
      </c>
      <c r="F9" s="347">
        <v>21969228000.303032</v>
      </c>
      <c r="G9" s="209">
        <v>21969227999.999977</v>
      </c>
      <c r="H9" s="210">
        <f t="shared" ref="H9:H24" si="0">IF(F9=0,0,(G9-F9)/F9)</f>
        <v>-1.3794513378719193E-11</v>
      </c>
      <c r="I9" s="83">
        <f>'Detail Revenue'!$G$10</f>
        <v>1830768999.9999981</v>
      </c>
      <c r="J9" s="83">
        <f>'Detail Revenue'!$G$10</f>
        <v>1830768999.9999981</v>
      </c>
      <c r="K9" s="83">
        <f>'Detail Revenue'!$G$10</f>
        <v>1830768999.9999981</v>
      </c>
      <c r="L9" s="83">
        <f>'Detail Revenue'!$G$10</f>
        <v>1830768999.9999981</v>
      </c>
      <c r="M9" s="83">
        <f>'Detail Revenue'!$G$10</f>
        <v>1830768999.9999981</v>
      </c>
      <c r="N9" s="83">
        <f>'Detail Revenue'!$G$10</f>
        <v>1830768999.9999981</v>
      </c>
      <c r="O9" s="83">
        <f>'Detail Revenue'!$G$10</f>
        <v>1830768999.9999981</v>
      </c>
      <c r="P9" s="83">
        <f>'Detail Revenue'!$G$10</f>
        <v>1830768999.9999981</v>
      </c>
      <c r="Q9" s="83">
        <f>'Detail Revenue'!$G$10</f>
        <v>1830768999.9999981</v>
      </c>
      <c r="R9" s="83">
        <f>'Detail Revenue'!$G$10</f>
        <v>1830768999.9999981</v>
      </c>
      <c r="S9" s="73">
        <f>'Detail Revenue'!$G$10</f>
        <v>1830768999.9999981</v>
      </c>
      <c r="T9" s="73">
        <f>'Detail Revenue'!$G$10</f>
        <v>1830768999.9999981</v>
      </c>
      <c r="U9" s="970" t="s">
        <v>523</v>
      </c>
      <c r="V9" s="105"/>
    </row>
    <row r="10" spans="1:22" s="77" customFormat="1" ht="25" customHeight="1" x14ac:dyDescent="0.35">
      <c r="A10" s="352" t="s">
        <v>196</v>
      </c>
      <c r="B10" s="82">
        <v>5111</v>
      </c>
      <c r="C10" s="107" t="s">
        <v>195</v>
      </c>
      <c r="D10" s="341">
        <v>232314373</v>
      </c>
      <c r="E10" s="188">
        <v>177360000</v>
      </c>
      <c r="F10" s="347">
        <v>198000000</v>
      </c>
      <c r="G10" s="209">
        <v>198000000</v>
      </c>
      <c r="H10" s="210">
        <f t="shared" si="0"/>
        <v>0</v>
      </c>
      <c r="I10" s="83">
        <v>16500000</v>
      </c>
      <c r="J10" s="83">
        <f>I10</f>
        <v>16500000</v>
      </c>
      <c r="K10" s="83">
        <f t="shared" ref="K10:T11" si="1">J10</f>
        <v>16500000</v>
      </c>
      <c r="L10" s="83">
        <f t="shared" si="1"/>
        <v>16500000</v>
      </c>
      <c r="M10" s="83">
        <f t="shared" si="1"/>
        <v>16500000</v>
      </c>
      <c r="N10" s="83">
        <f t="shared" si="1"/>
        <v>16500000</v>
      </c>
      <c r="O10" s="83">
        <f t="shared" si="1"/>
        <v>16500000</v>
      </c>
      <c r="P10" s="83">
        <f t="shared" si="1"/>
        <v>16500000</v>
      </c>
      <c r="Q10" s="83">
        <f t="shared" si="1"/>
        <v>16500000</v>
      </c>
      <c r="R10" s="83">
        <f t="shared" si="1"/>
        <v>16500000</v>
      </c>
      <c r="S10" s="83">
        <f t="shared" si="1"/>
        <v>16500000</v>
      </c>
      <c r="T10" s="83">
        <f t="shared" si="1"/>
        <v>16500000</v>
      </c>
      <c r="U10" s="106"/>
      <c r="V10" s="105"/>
    </row>
    <row r="11" spans="1:22" s="77" customFormat="1" ht="25" customHeight="1" x14ac:dyDescent="0.35">
      <c r="A11" s="352" t="s">
        <v>194</v>
      </c>
      <c r="B11" s="82">
        <v>5111</v>
      </c>
      <c r="C11" s="107" t="s">
        <v>193</v>
      </c>
      <c r="D11" s="341">
        <v>758868365</v>
      </c>
      <c r="E11" s="188">
        <v>340380000</v>
      </c>
      <c r="F11" s="347">
        <v>632400000</v>
      </c>
      <c r="G11" s="209">
        <v>632400000</v>
      </c>
      <c r="H11" s="210">
        <f t="shared" si="0"/>
        <v>0</v>
      </c>
      <c r="I11" s="83">
        <v>52700000</v>
      </c>
      <c r="J11" s="83">
        <f>I11</f>
        <v>52700000</v>
      </c>
      <c r="K11" s="83">
        <f t="shared" si="1"/>
        <v>52700000</v>
      </c>
      <c r="L11" s="83">
        <f t="shared" si="1"/>
        <v>52700000</v>
      </c>
      <c r="M11" s="83">
        <f t="shared" si="1"/>
        <v>52700000</v>
      </c>
      <c r="N11" s="83">
        <f t="shared" si="1"/>
        <v>52700000</v>
      </c>
      <c r="O11" s="83">
        <f t="shared" si="1"/>
        <v>52700000</v>
      </c>
      <c r="P11" s="83">
        <f t="shared" si="1"/>
        <v>52700000</v>
      </c>
      <c r="Q11" s="83">
        <f t="shared" si="1"/>
        <v>52700000</v>
      </c>
      <c r="R11" s="83">
        <f t="shared" si="1"/>
        <v>52700000</v>
      </c>
      <c r="S11" s="83">
        <f t="shared" si="1"/>
        <v>52700000</v>
      </c>
      <c r="T11" s="83">
        <f t="shared" si="1"/>
        <v>52700000</v>
      </c>
      <c r="U11" s="106"/>
      <c r="V11" s="105"/>
    </row>
    <row r="12" spans="1:22" s="77" customFormat="1" ht="25" customHeight="1" x14ac:dyDescent="0.35">
      <c r="A12" s="352" t="s">
        <v>192</v>
      </c>
      <c r="B12" s="82">
        <v>5113</v>
      </c>
      <c r="C12" s="107" t="s">
        <v>191</v>
      </c>
      <c r="D12" s="341">
        <v>198000000</v>
      </c>
      <c r="E12" s="188">
        <v>134545456</v>
      </c>
      <c r="F12" s="347">
        <v>180000000</v>
      </c>
      <c r="G12" s="209">
        <v>180000000</v>
      </c>
      <c r="H12" s="210">
        <f t="shared" si="0"/>
        <v>0</v>
      </c>
      <c r="I12" s="83">
        <v>15000000</v>
      </c>
      <c r="J12" s="83">
        <v>15000000</v>
      </c>
      <c r="K12" s="83">
        <v>15000000</v>
      </c>
      <c r="L12" s="83">
        <v>15000000</v>
      </c>
      <c r="M12" s="83">
        <v>15000000</v>
      </c>
      <c r="N12" s="83">
        <v>15000000</v>
      </c>
      <c r="O12" s="83">
        <v>15000000</v>
      </c>
      <c r="P12" s="83">
        <v>15000000</v>
      </c>
      <c r="Q12" s="83">
        <v>15000000</v>
      </c>
      <c r="R12" s="83">
        <v>15000000</v>
      </c>
      <c r="S12" s="83">
        <v>15000000</v>
      </c>
      <c r="T12" s="83">
        <v>15000000</v>
      </c>
      <c r="U12" s="106" t="s">
        <v>524</v>
      </c>
      <c r="V12" s="105"/>
    </row>
    <row r="13" spans="1:22" s="77" customFormat="1" ht="25" customHeight="1" x14ac:dyDescent="0.35">
      <c r="A13" s="352" t="s">
        <v>190</v>
      </c>
      <c r="B13" s="82">
        <v>5117</v>
      </c>
      <c r="C13" s="107" t="s">
        <v>189</v>
      </c>
      <c r="D13" s="341">
        <v>36000000</v>
      </c>
      <c r="E13" s="187">
        <v>0</v>
      </c>
      <c r="F13" s="198">
        <v>0</v>
      </c>
      <c r="G13" s="209">
        <v>0</v>
      </c>
      <c r="H13" s="210">
        <f t="shared" si="0"/>
        <v>0</v>
      </c>
      <c r="I13" s="83"/>
      <c r="J13" s="83"/>
      <c r="K13" s="83"/>
      <c r="L13" s="83"/>
      <c r="M13" s="83"/>
      <c r="N13" s="106"/>
      <c r="O13" s="106"/>
      <c r="P13" s="83"/>
      <c r="Q13" s="106"/>
      <c r="R13" s="83"/>
      <c r="S13" s="83"/>
      <c r="T13" s="83"/>
      <c r="U13" s="106"/>
      <c r="V13" s="105"/>
    </row>
    <row r="14" spans="1:22" s="77" customFormat="1" ht="25" customHeight="1" x14ac:dyDescent="0.35">
      <c r="A14" s="352" t="s">
        <v>188</v>
      </c>
      <c r="B14" s="82" t="s">
        <v>187</v>
      </c>
      <c r="C14" s="107" t="s">
        <v>186</v>
      </c>
      <c r="D14" s="341">
        <v>180000000</v>
      </c>
      <c r="E14" s="188">
        <v>122840877.72727272</v>
      </c>
      <c r="F14" s="347">
        <v>168240877.72727272</v>
      </c>
      <c r="G14" s="209">
        <v>160000000</v>
      </c>
      <c r="H14" s="210">
        <f>IF(F14=0,0,(G14-F14)/F14)</f>
        <v>-4.8982612540999781E-2</v>
      </c>
      <c r="I14" s="106">
        <v>10000000</v>
      </c>
      <c r="J14" s="106">
        <v>20000000</v>
      </c>
      <c r="K14" s="106">
        <v>9000000</v>
      </c>
      <c r="L14" s="106">
        <v>12000000</v>
      </c>
      <c r="M14" s="106">
        <v>20000000</v>
      </c>
      <c r="N14" s="106">
        <f t="shared" ref="N14:R14" si="2">$I$14</f>
        <v>10000000</v>
      </c>
      <c r="O14" s="106">
        <v>9000000</v>
      </c>
      <c r="P14" s="83">
        <f t="shared" si="2"/>
        <v>10000000</v>
      </c>
      <c r="Q14" s="106">
        <f t="shared" si="2"/>
        <v>10000000</v>
      </c>
      <c r="R14" s="73">
        <f t="shared" si="2"/>
        <v>10000000</v>
      </c>
      <c r="S14" s="73">
        <v>20000000</v>
      </c>
      <c r="T14" s="73">
        <v>20000000</v>
      </c>
      <c r="U14" s="106"/>
      <c r="V14" s="105"/>
    </row>
    <row r="15" spans="1:22" s="77" customFormat="1" ht="25" customHeight="1" x14ac:dyDescent="0.35">
      <c r="A15" s="352" t="s">
        <v>185</v>
      </c>
      <c r="B15" s="82">
        <v>5151</v>
      </c>
      <c r="C15" s="107" t="s">
        <v>184</v>
      </c>
      <c r="D15" s="341">
        <v>18000000</v>
      </c>
      <c r="E15" s="188">
        <v>9287913</v>
      </c>
      <c r="F15" s="347">
        <v>10318662</v>
      </c>
      <c r="G15" s="209">
        <v>11000000</v>
      </c>
      <c r="H15" s="210">
        <f t="shared" si="0"/>
        <v>6.6029684856428086E-2</v>
      </c>
      <c r="I15" s="106">
        <f>11000000/12</f>
        <v>916666.66666666663</v>
      </c>
      <c r="J15" s="106">
        <f>$I$15</f>
        <v>916666.66666666663</v>
      </c>
      <c r="K15" s="106">
        <f t="shared" ref="K15:T15" si="3">$I$15</f>
        <v>916666.66666666663</v>
      </c>
      <c r="L15" s="106">
        <f t="shared" si="3"/>
        <v>916666.66666666663</v>
      </c>
      <c r="M15" s="106">
        <f t="shared" si="3"/>
        <v>916666.66666666663</v>
      </c>
      <c r="N15" s="106">
        <f t="shared" si="3"/>
        <v>916666.66666666663</v>
      </c>
      <c r="O15" s="106">
        <f t="shared" si="3"/>
        <v>916666.66666666663</v>
      </c>
      <c r="P15" s="83">
        <f t="shared" si="3"/>
        <v>916666.66666666663</v>
      </c>
      <c r="Q15" s="106">
        <f t="shared" si="3"/>
        <v>916666.66666666663</v>
      </c>
      <c r="R15" s="73">
        <f t="shared" si="3"/>
        <v>916666.66666666663</v>
      </c>
      <c r="S15" s="73">
        <f t="shared" si="3"/>
        <v>916666.66666666663</v>
      </c>
      <c r="T15" s="73">
        <f t="shared" si="3"/>
        <v>916666.66666666663</v>
      </c>
      <c r="U15" s="106"/>
      <c r="V15" s="105"/>
    </row>
    <row r="16" spans="1:22" s="77" customFormat="1" ht="25" customHeight="1" x14ac:dyDescent="0.35">
      <c r="A16" s="352" t="s">
        <v>183</v>
      </c>
      <c r="B16" s="82">
        <v>5115</v>
      </c>
      <c r="C16" s="107" t="s">
        <v>182</v>
      </c>
      <c r="D16" s="341">
        <v>130909092</v>
      </c>
      <c r="E16" s="188">
        <v>95363603.090909079</v>
      </c>
      <c r="F16" s="347">
        <v>117463603.09090908</v>
      </c>
      <c r="G16" s="209">
        <v>113333288.96969694</v>
      </c>
      <c r="H16" s="210">
        <f t="shared" si="0"/>
        <v>-3.5162501511345173E-2</v>
      </c>
      <c r="I16" s="106">
        <v>9444440.7474747449</v>
      </c>
      <c r="J16" s="106">
        <v>9444440.7474747449</v>
      </c>
      <c r="K16" s="106">
        <v>9444440.7474747449</v>
      </c>
      <c r="L16" s="106">
        <v>9444440.7474747449</v>
      </c>
      <c r="M16" s="106">
        <v>9444440.7474747449</v>
      </c>
      <c r="N16" s="106">
        <v>9444440.7474747449</v>
      </c>
      <c r="O16" s="106">
        <v>9444440.7474747449</v>
      </c>
      <c r="P16" s="83">
        <v>9444440.7474747449</v>
      </c>
      <c r="Q16" s="106">
        <v>9444440.7474747449</v>
      </c>
      <c r="R16" s="73">
        <v>9444440.7474747449</v>
      </c>
      <c r="S16" s="73">
        <v>9444440.7474747449</v>
      </c>
      <c r="T16" s="73">
        <v>9444440.7474747449</v>
      </c>
      <c r="U16" s="106" t="s">
        <v>525</v>
      </c>
      <c r="V16" s="105"/>
    </row>
    <row r="17" spans="1:22" s="77" customFormat="1" ht="25" customHeight="1" x14ac:dyDescent="0.35">
      <c r="A17" s="352" t="s">
        <v>181</v>
      </c>
      <c r="B17" s="82">
        <v>5116</v>
      </c>
      <c r="C17" s="107" t="s">
        <v>180</v>
      </c>
      <c r="D17" s="341">
        <v>182160000</v>
      </c>
      <c r="E17" s="188">
        <v>8980707</v>
      </c>
      <c r="F17" s="347">
        <v>278702707</v>
      </c>
      <c r="G17" s="209">
        <v>64999999.999999993</v>
      </c>
      <c r="H17" s="210">
        <f t="shared" si="0"/>
        <v>-0.76677657458131543</v>
      </c>
      <c r="I17" s="106">
        <f>65000000/12</f>
        <v>5416666.666666667</v>
      </c>
      <c r="J17" s="106">
        <f>I17</f>
        <v>5416666.666666667</v>
      </c>
      <c r="K17" s="106">
        <f t="shared" ref="K17:T20" si="4">J17</f>
        <v>5416666.666666667</v>
      </c>
      <c r="L17" s="106">
        <f t="shared" si="4"/>
        <v>5416666.666666667</v>
      </c>
      <c r="M17" s="106">
        <f t="shared" si="4"/>
        <v>5416666.666666667</v>
      </c>
      <c r="N17" s="106">
        <f t="shared" si="4"/>
        <v>5416666.666666667</v>
      </c>
      <c r="O17" s="106">
        <f t="shared" si="4"/>
        <v>5416666.666666667</v>
      </c>
      <c r="P17" s="83">
        <f t="shared" si="4"/>
        <v>5416666.666666667</v>
      </c>
      <c r="Q17" s="106">
        <f t="shared" si="4"/>
        <v>5416666.666666667</v>
      </c>
      <c r="R17" s="73">
        <f t="shared" si="4"/>
        <v>5416666.666666667</v>
      </c>
      <c r="S17" s="73">
        <f t="shared" si="4"/>
        <v>5416666.666666667</v>
      </c>
      <c r="T17" s="73">
        <f t="shared" si="4"/>
        <v>5416666.666666667</v>
      </c>
      <c r="U17" s="106"/>
      <c r="V17" s="105"/>
    </row>
    <row r="18" spans="1:22" s="77" customFormat="1" ht="25" customHeight="1" x14ac:dyDescent="0.35">
      <c r="A18" s="352" t="s">
        <v>179</v>
      </c>
      <c r="B18" s="82">
        <v>5118</v>
      </c>
      <c r="C18" s="107" t="s">
        <v>178</v>
      </c>
      <c r="D18" s="341">
        <v>1245000000</v>
      </c>
      <c r="E18" s="188">
        <v>0</v>
      </c>
      <c r="F18" s="347">
        <v>0</v>
      </c>
      <c r="G18" s="209">
        <v>2503636363.636363</v>
      </c>
      <c r="H18" s="210">
        <f t="shared" si="0"/>
        <v>0</v>
      </c>
      <c r="I18" s="106">
        <f>(306*750000)/1.1</f>
        <v>208636363.63636363</v>
      </c>
      <c r="J18" s="106">
        <f>I18</f>
        <v>208636363.63636363</v>
      </c>
      <c r="K18" s="106">
        <f t="shared" si="4"/>
        <v>208636363.63636363</v>
      </c>
      <c r="L18" s="106">
        <f t="shared" si="4"/>
        <v>208636363.63636363</v>
      </c>
      <c r="M18" s="106">
        <f t="shared" si="4"/>
        <v>208636363.63636363</v>
      </c>
      <c r="N18" s="106">
        <f t="shared" si="4"/>
        <v>208636363.63636363</v>
      </c>
      <c r="O18" s="106">
        <f t="shared" si="4"/>
        <v>208636363.63636363</v>
      </c>
      <c r="P18" s="83">
        <f t="shared" si="4"/>
        <v>208636363.63636363</v>
      </c>
      <c r="Q18" s="106">
        <f t="shared" si="4"/>
        <v>208636363.63636363</v>
      </c>
      <c r="R18" s="73">
        <f t="shared" si="4"/>
        <v>208636363.63636363</v>
      </c>
      <c r="S18" s="73">
        <f t="shared" si="4"/>
        <v>208636363.63636363</v>
      </c>
      <c r="T18" s="73">
        <f>S18</f>
        <v>208636363.63636363</v>
      </c>
      <c r="U18" s="106"/>
      <c r="V18" s="105"/>
    </row>
    <row r="19" spans="1:22" s="77" customFormat="1" ht="25" customHeight="1" x14ac:dyDescent="0.35">
      <c r="A19" s="352" t="s">
        <v>177</v>
      </c>
      <c r="B19" s="82" t="s">
        <v>215</v>
      </c>
      <c r="C19" s="107" t="s">
        <v>176</v>
      </c>
      <c r="D19" s="341">
        <v>42000000</v>
      </c>
      <c r="E19" s="188">
        <v>68951152.272727281</v>
      </c>
      <c r="F19" s="347">
        <v>73513201.272727281</v>
      </c>
      <c r="G19" s="209">
        <v>72000000</v>
      </c>
      <c r="H19" s="210">
        <f t="shared" si="0"/>
        <v>-2.0584075329728085E-2</v>
      </c>
      <c r="I19" s="106">
        <v>6000000</v>
      </c>
      <c r="J19" s="106">
        <f>I19</f>
        <v>6000000</v>
      </c>
      <c r="K19" s="106">
        <f t="shared" si="4"/>
        <v>6000000</v>
      </c>
      <c r="L19" s="106">
        <f t="shared" si="4"/>
        <v>6000000</v>
      </c>
      <c r="M19" s="106">
        <f t="shared" si="4"/>
        <v>6000000</v>
      </c>
      <c r="N19" s="106">
        <f t="shared" si="4"/>
        <v>6000000</v>
      </c>
      <c r="O19" s="106">
        <f t="shared" si="4"/>
        <v>6000000</v>
      </c>
      <c r="P19" s="83">
        <f t="shared" si="4"/>
        <v>6000000</v>
      </c>
      <c r="Q19" s="106">
        <f t="shared" si="4"/>
        <v>6000000</v>
      </c>
      <c r="R19" s="73">
        <f t="shared" si="4"/>
        <v>6000000</v>
      </c>
      <c r="S19" s="73">
        <f t="shared" si="4"/>
        <v>6000000</v>
      </c>
      <c r="T19" s="73">
        <f t="shared" si="4"/>
        <v>6000000</v>
      </c>
      <c r="U19" s="106"/>
      <c r="V19" s="105"/>
    </row>
    <row r="20" spans="1:22" s="77" customFormat="1" ht="25" customHeight="1" x14ac:dyDescent="0.35">
      <c r="A20" s="352" t="s">
        <v>175</v>
      </c>
      <c r="B20" s="82">
        <v>5118</v>
      </c>
      <c r="C20" s="107" t="s">
        <v>174</v>
      </c>
      <c r="D20" s="341">
        <v>75600000</v>
      </c>
      <c r="E20" s="188">
        <v>0</v>
      </c>
      <c r="F20" s="347">
        <v>199473921</v>
      </c>
      <c r="G20" s="209">
        <v>60000000</v>
      </c>
      <c r="H20" s="210">
        <f t="shared" si="0"/>
        <v>-0.69920880033235022</v>
      </c>
      <c r="I20" s="106">
        <v>5000000</v>
      </c>
      <c r="J20" s="106">
        <f>I20</f>
        <v>5000000</v>
      </c>
      <c r="K20" s="106">
        <f t="shared" si="4"/>
        <v>5000000</v>
      </c>
      <c r="L20" s="106">
        <f t="shared" si="4"/>
        <v>5000000</v>
      </c>
      <c r="M20" s="106">
        <f t="shared" si="4"/>
        <v>5000000</v>
      </c>
      <c r="N20" s="106">
        <f t="shared" si="4"/>
        <v>5000000</v>
      </c>
      <c r="O20" s="106">
        <f t="shared" si="4"/>
        <v>5000000</v>
      </c>
      <c r="P20" s="83">
        <f t="shared" si="4"/>
        <v>5000000</v>
      </c>
      <c r="Q20" s="106">
        <f t="shared" si="4"/>
        <v>5000000</v>
      </c>
      <c r="R20" s="73">
        <f t="shared" si="4"/>
        <v>5000000</v>
      </c>
      <c r="S20" s="73">
        <f t="shared" si="4"/>
        <v>5000000</v>
      </c>
      <c r="T20" s="73">
        <f t="shared" si="4"/>
        <v>5000000</v>
      </c>
      <c r="U20" s="106"/>
      <c r="V20" s="105"/>
    </row>
    <row r="21" spans="1:22" s="77" customFormat="1" ht="25" customHeight="1" x14ac:dyDescent="0.35">
      <c r="A21" s="352" t="s">
        <v>173</v>
      </c>
      <c r="B21" s="82">
        <v>5118</v>
      </c>
      <c r="C21" s="107" t="s">
        <v>172</v>
      </c>
      <c r="D21" s="341">
        <v>24000000</v>
      </c>
      <c r="E21" s="188">
        <v>0</v>
      </c>
      <c r="F21" s="347">
        <v>24000000</v>
      </c>
      <c r="G21" s="209">
        <v>24000000</v>
      </c>
      <c r="H21" s="210">
        <f t="shared" si="0"/>
        <v>0</v>
      </c>
      <c r="I21" s="106">
        <v>2000000</v>
      </c>
      <c r="J21" s="106">
        <v>2000000</v>
      </c>
      <c r="K21" s="106">
        <v>2000000</v>
      </c>
      <c r="L21" s="106">
        <v>2000000</v>
      </c>
      <c r="M21" s="106">
        <v>2000000</v>
      </c>
      <c r="N21" s="106">
        <v>2000000</v>
      </c>
      <c r="O21" s="106">
        <v>2000000</v>
      </c>
      <c r="P21" s="83">
        <v>2000000</v>
      </c>
      <c r="Q21" s="106">
        <v>2000000</v>
      </c>
      <c r="R21" s="73">
        <v>2000000</v>
      </c>
      <c r="S21" s="73">
        <v>2000000</v>
      </c>
      <c r="T21" s="73">
        <v>2000000</v>
      </c>
      <c r="U21" s="106"/>
      <c r="V21" s="105"/>
    </row>
    <row r="22" spans="1:22" s="77" customFormat="1" ht="25" customHeight="1" x14ac:dyDescent="0.35">
      <c r="A22" s="352" t="s">
        <v>171</v>
      </c>
      <c r="B22" s="82">
        <v>5118</v>
      </c>
      <c r="C22" s="107" t="s">
        <v>170</v>
      </c>
      <c r="D22" s="341">
        <v>105000000</v>
      </c>
      <c r="E22" s="188">
        <v>12573470</v>
      </c>
      <c r="F22" s="347">
        <v>31760287</v>
      </c>
      <c r="G22" s="209">
        <v>30999999.999999996</v>
      </c>
      <c r="H22" s="210">
        <f t="shared" si="0"/>
        <v>-2.393829123773358E-2</v>
      </c>
      <c r="I22" s="106">
        <f>31000000/12</f>
        <v>2583333.3333333335</v>
      </c>
      <c r="J22" s="106">
        <f>I22</f>
        <v>2583333.3333333335</v>
      </c>
      <c r="K22" s="106">
        <f t="shared" ref="K22:T23" si="5">J22</f>
        <v>2583333.3333333335</v>
      </c>
      <c r="L22" s="106">
        <f t="shared" si="5"/>
        <v>2583333.3333333335</v>
      </c>
      <c r="M22" s="106">
        <f t="shared" si="5"/>
        <v>2583333.3333333335</v>
      </c>
      <c r="N22" s="106">
        <f t="shared" si="5"/>
        <v>2583333.3333333335</v>
      </c>
      <c r="O22" s="106">
        <f t="shared" si="5"/>
        <v>2583333.3333333335</v>
      </c>
      <c r="P22" s="83">
        <f t="shared" si="5"/>
        <v>2583333.3333333335</v>
      </c>
      <c r="Q22" s="106">
        <f t="shared" si="5"/>
        <v>2583333.3333333335</v>
      </c>
      <c r="R22" s="73">
        <f t="shared" si="5"/>
        <v>2583333.3333333335</v>
      </c>
      <c r="S22" s="73">
        <f t="shared" si="5"/>
        <v>2583333.3333333335</v>
      </c>
      <c r="T22" s="73">
        <f t="shared" si="5"/>
        <v>2583333.3333333335</v>
      </c>
      <c r="U22" s="106"/>
      <c r="V22" s="105"/>
    </row>
    <row r="23" spans="1:22" s="77" customFormat="1" ht="25" customHeight="1" x14ac:dyDescent="0.35">
      <c r="A23" s="352" t="s">
        <v>169</v>
      </c>
      <c r="B23" s="82">
        <v>5118</v>
      </c>
      <c r="C23" s="107" t="s">
        <v>168</v>
      </c>
      <c r="D23" s="341">
        <v>309166667</v>
      </c>
      <c r="E23" s="188">
        <v>10576539.363636363</v>
      </c>
      <c r="F23" s="347">
        <v>10576539.363636363</v>
      </c>
      <c r="G23" s="209">
        <v>0</v>
      </c>
      <c r="H23" s="210">
        <f t="shared" si="0"/>
        <v>-1</v>
      </c>
      <c r="I23" s="106">
        <v>0</v>
      </c>
      <c r="J23" s="106">
        <v>0</v>
      </c>
      <c r="K23" s="106">
        <v>0</v>
      </c>
      <c r="L23" s="106">
        <f>K23</f>
        <v>0</v>
      </c>
      <c r="M23" s="106">
        <f t="shared" si="5"/>
        <v>0</v>
      </c>
      <c r="N23" s="106">
        <f t="shared" si="5"/>
        <v>0</v>
      </c>
      <c r="O23" s="106">
        <f t="shared" si="5"/>
        <v>0</v>
      </c>
      <c r="P23" s="83">
        <f t="shared" si="5"/>
        <v>0</v>
      </c>
      <c r="Q23" s="106">
        <f t="shared" si="5"/>
        <v>0</v>
      </c>
      <c r="R23" s="73">
        <f t="shared" si="5"/>
        <v>0</v>
      </c>
      <c r="S23" s="73">
        <f t="shared" si="5"/>
        <v>0</v>
      </c>
      <c r="T23" s="73">
        <f t="shared" si="5"/>
        <v>0</v>
      </c>
      <c r="U23" s="106"/>
      <c r="V23" s="105"/>
    </row>
    <row r="24" spans="1:22" s="77" customFormat="1" ht="25" customHeight="1" x14ac:dyDescent="0.35">
      <c r="A24" s="352" t="s">
        <v>167</v>
      </c>
      <c r="B24" s="82">
        <v>5112</v>
      </c>
      <c r="C24" s="107" t="s">
        <v>166</v>
      </c>
      <c r="D24" s="341">
        <v>2711515410</v>
      </c>
      <c r="E24" s="188">
        <v>2363572196</v>
      </c>
      <c r="F24" s="347">
        <v>2849689729</v>
      </c>
      <c r="G24" s="209">
        <v>2838222341.3333282</v>
      </c>
      <c r="H24" s="210">
        <f t="shared" si="0"/>
        <v>-4.0240828852254858E-3</v>
      </c>
      <c r="I24" s="106">
        <v>236518528.444444</v>
      </c>
      <c r="J24" s="106">
        <f>$I$24</f>
        <v>236518528.444444</v>
      </c>
      <c r="K24" s="106">
        <f t="shared" ref="K24:T24" si="6">$I$24</f>
        <v>236518528.444444</v>
      </c>
      <c r="L24" s="106">
        <f t="shared" si="6"/>
        <v>236518528.444444</v>
      </c>
      <c r="M24" s="106">
        <f t="shared" si="6"/>
        <v>236518528.444444</v>
      </c>
      <c r="N24" s="106">
        <f t="shared" si="6"/>
        <v>236518528.444444</v>
      </c>
      <c r="O24" s="106">
        <f t="shared" si="6"/>
        <v>236518528.444444</v>
      </c>
      <c r="P24" s="83">
        <f t="shared" si="6"/>
        <v>236518528.444444</v>
      </c>
      <c r="Q24" s="106">
        <f t="shared" si="6"/>
        <v>236518528.444444</v>
      </c>
      <c r="R24" s="73">
        <f t="shared" si="6"/>
        <v>236518528.444444</v>
      </c>
      <c r="S24" s="73">
        <f t="shared" si="6"/>
        <v>236518528.444444</v>
      </c>
      <c r="T24" s="73">
        <f t="shared" si="6"/>
        <v>236518528.444444</v>
      </c>
      <c r="U24" s="106" t="s">
        <v>526</v>
      </c>
      <c r="V24" s="105"/>
    </row>
    <row r="25" spans="1:22" s="99" customFormat="1" ht="5.15" customHeight="1" x14ac:dyDescent="0.35">
      <c r="A25" s="353"/>
      <c r="B25" s="104"/>
      <c r="C25" s="103"/>
      <c r="D25" s="988"/>
      <c r="E25" s="989"/>
      <c r="F25" s="990"/>
      <c r="G25" s="102"/>
      <c r="H25" s="991"/>
      <c r="I25" s="102"/>
      <c r="J25" s="102"/>
      <c r="K25" s="102"/>
      <c r="L25" s="102"/>
      <c r="M25" s="102"/>
      <c r="N25" s="102"/>
      <c r="O25" s="102"/>
      <c r="P25" s="102"/>
      <c r="Q25" s="102"/>
      <c r="R25" s="101"/>
      <c r="S25" s="101"/>
      <c r="T25" s="101"/>
      <c r="U25" s="102"/>
      <c r="V25" s="100"/>
    </row>
    <row r="26" spans="1:22" ht="25" customHeight="1" x14ac:dyDescent="0.35">
      <c r="A26" s="982"/>
      <c r="B26" s="983"/>
      <c r="C26" s="984" t="s">
        <v>165</v>
      </c>
      <c r="D26" s="940">
        <v>28505066207</v>
      </c>
      <c r="E26" s="52">
        <v>21652121914.757576</v>
      </c>
      <c r="F26" s="985">
        <v>26743367527.757576</v>
      </c>
      <c r="G26" s="52">
        <v>28857819993.939365</v>
      </c>
      <c r="H26" s="986">
        <f>IF(F26=0,0,(G26-F26)/F26)</f>
        <v>7.9064555500991007E-2</v>
      </c>
      <c r="I26" s="52">
        <f>SUM(I9:I25)</f>
        <v>2401484999.4949474</v>
      </c>
      <c r="J26" s="52">
        <f t="shared" ref="J26:O26" si="7">SUM(J9:J25)</f>
        <v>2411484999.4949474</v>
      </c>
      <c r="K26" s="52">
        <f t="shared" si="7"/>
        <v>2400484999.4949474</v>
      </c>
      <c r="L26" s="52">
        <f t="shared" si="7"/>
        <v>2403484999.4949474</v>
      </c>
      <c r="M26" s="52">
        <f t="shared" si="7"/>
        <v>2411484999.4949474</v>
      </c>
      <c r="N26" s="52">
        <f t="shared" si="7"/>
        <v>2401484999.4949474</v>
      </c>
      <c r="O26" s="52">
        <f t="shared" si="7"/>
        <v>2400484999.4949474</v>
      </c>
      <c r="P26" s="987">
        <f>SUM(P9:P25)</f>
        <v>2401484999.4949474</v>
      </c>
      <c r="Q26" s="52">
        <f>SUM(Q9:Q25)</f>
        <v>2401484999.4949474</v>
      </c>
      <c r="R26" s="52">
        <f>SUM(R9:R25)</f>
        <v>2401484999.4949474</v>
      </c>
      <c r="S26" s="52">
        <f>SUM(S9:S25)</f>
        <v>2411484999.4949474</v>
      </c>
      <c r="T26" s="52">
        <f>SUM(T9:T25)</f>
        <v>2411484999.4949474</v>
      </c>
      <c r="U26" s="975"/>
      <c r="V26" s="98"/>
    </row>
    <row r="27" spans="1:22" s="39" customFormat="1" ht="5.15" customHeight="1" x14ac:dyDescent="0.35">
      <c r="A27" s="355"/>
      <c r="B27" s="97"/>
      <c r="C27" s="96"/>
      <c r="D27" s="190"/>
      <c r="E27" s="96"/>
      <c r="F27" s="190"/>
      <c r="G27" s="95"/>
      <c r="H27" s="204"/>
      <c r="I27" s="95"/>
      <c r="J27" s="95"/>
      <c r="K27" s="95"/>
      <c r="L27" s="95"/>
      <c r="M27" s="95"/>
      <c r="N27" s="95"/>
      <c r="O27" s="95"/>
      <c r="P27" s="95"/>
      <c r="Q27" s="95"/>
      <c r="R27" s="648"/>
      <c r="S27" s="648"/>
      <c r="T27" s="648"/>
      <c r="U27" s="971"/>
      <c r="V27" s="638"/>
    </row>
    <row r="28" spans="1:22" s="39" customFormat="1" ht="25" customHeight="1" x14ac:dyDescent="0.35">
      <c r="A28" s="995" t="s">
        <v>164</v>
      </c>
      <c r="B28" s="996"/>
      <c r="C28" s="997" t="s">
        <v>1004</v>
      </c>
      <c r="D28" s="191"/>
      <c r="E28" s="92"/>
      <c r="F28" s="191"/>
      <c r="G28" s="91"/>
      <c r="H28" s="205"/>
      <c r="I28" s="90"/>
      <c r="J28" s="90"/>
      <c r="K28" s="90"/>
      <c r="L28" s="90"/>
      <c r="M28" s="90"/>
      <c r="N28" s="90"/>
      <c r="O28" s="90"/>
      <c r="P28" s="90"/>
      <c r="Q28" s="90"/>
      <c r="R28" s="649"/>
      <c r="S28" s="649"/>
      <c r="T28" s="649"/>
      <c r="U28" s="972"/>
      <c r="V28" s="638"/>
    </row>
    <row r="29" spans="1:22" s="58" customFormat="1" ht="25" customHeight="1" x14ac:dyDescent="0.35">
      <c r="A29" s="982" t="s">
        <v>163</v>
      </c>
      <c r="B29" s="998"/>
      <c r="C29" s="984" t="s">
        <v>1005</v>
      </c>
      <c r="D29" s="343"/>
      <c r="E29" s="186"/>
      <c r="F29" s="199"/>
      <c r="G29" s="213"/>
      <c r="H29" s="214"/>
      <c r="I29" s="32"/>
      <c r="J29" s="32"/>
      <c r="K29" s="32"/>
      <c r="L29" s="32"/>
      <c r="M29" s="32"/>
      <c r="N29" s="32"/>
      <c r="O29" s="32"/>
      <c r="P29" s="32"/>
      <c r="Q29" s="32"/>
      <c r="R29" s="31"/>
      <c r="S29" s="31"/>
      <c r="T29" s="31"/>
      <c r="U29" s="627"/>
      <c r="V29" s="87"/>
    </row>
    <row r="30" spans="1:22" s="84" customFormat="1" ht="25" customHeight="1" x14ac:dyDescent="0.35">
      <c r="A30" s="352" t="s">
        <v>162</v>
      </c>
      <c r="B30" s="86" t="s">
        <v>161</v>
      </c>
      <c r="C30" s="85" t="s">
        <v>160</v>
      </c>
      <c r="D30" s="1275">
        <f>SUM(D31:D35)</f>
        <v>8496395742</v>
      </c>
      <c r="E30" s="188">
        <v>6719951523.7679996</v>
      </c>
      <c r="F30" s="1274">
        <v>8027334241.7679996</v>
      </c>
      <c r="G30" s="215">
        <v>8303000000</v>
      </c>
      <c r="H30" s="216">
        <f t="shared" ref="H30:H53" si="8">IF(F30=0,0,(G30-F30)/F30)</f>
        <v>3.4340884523986842E-2</v>
      </c>
      <c r="I30" s="79">
        <f>SUM(I31:I35)</f>
        <v>693000000</v>
      </c>
      <c r="J30" s="79">
        <f>SUM(J31:J35)</f>
        <v>708000000</v>
      </c>
      <c r="K30" s="79">
        <f t="shared" ref="K30:O30" si="9">SUM(K31:K35)</f>
        <v>687000000</v>
      </c>
      <c r="L30" s="79">
        <f t="shared" si="9"/>
        <v>687000000</v>
      </c>
      <c r="M30" s="79">
        <f t="shared" si="9"/>
        <v>708000000</v>
      </c>
      <c r="N30" s="79">
        <f t="shared" si="9"/>
        <v>687000000</v>
      </c>
      <c r="O30" s="79">
        <f t="shared" si="9"/>
        <v>687000000</v>
      </c>
      <c r="P30" s="79">
        <f>SUM(P31:P35)</f>
        <v>687000000</v>
      </c>
      <c r="Q30" s="79">
        <f>SUM(Q31:Q35)</f>
        <v>698000000</v>
      </c>
      <c r="R30" s="79">
        <f>SUM(R31:R35)</f>
        <v>687000000</v>
      </c>
      <c r="S30" s="79">
        <f>SUM(S31:S35)</f>
        <v>687000000</v>
      </c>
      <c r="T30" s="79">
        <f>SUM(T31:T35)</f>
        <v>687000000</v>
      </c>
      <c r="U30" s="973"/>
      <c r="V30" s="78"/>
    </row>
    <row r="31" spans="1:22" s="84" customFormat="1" ht="25" customHeight="1" x14ac:dyDescent="0.35">
      <c r="A31" s="352" t="s">
        <v>1006</v>
      </c>
      <c r="B31" s="82"/>
      <c r="C31" s="81" t="s">
        <v>159</v>
      </c>
      <c r="D31" s="341">
        <f>1525193132/1.1</f>
        <v>1386539210.9090908</v>
      </c>
      <c r="E31" s="188">
        <v>1129395510.24</v>
      </c>
      <c r="F31" s="200">
        <v>1354769683.52</v>
      </c>
      <c r="G31" s="217">
        <v>1380000000</v>
      </c>
      <c r="H31" s="218">
        <f t="shared" si="8"/>
        <v>1.8623325268429327E-2</v>
      </c>
      <c r="I31" s="80">
        <f>I33*0.08+75000000</f>
        <v>115000000</v>
      </c>
      <c r="J31" s="80">
        <f>$I$31</f>
        <v>115000000</v>
      </c>
      <c r="K31" s="80">
        <f>$I$31</f>
        <v>115000000</v>
      </c>
      <c r="L31" s="80">
        <f t="shared" ref="L31:S31" si="10">$I$31</f>
        <v>115000000</v>
      </c>
      <c r="M31" s="80">
        <f t="shared" si="10"/>
        <v>115000000</v>
      </c>
      <c r="N31" s="80">
        <f t="shared" si="10"/>
        <v>115000000</v>
      </c>
      <c r="O31" s="80">
        <f t="shared" si="10"/>
        <v>115000000</v>
      </c>
      <c r="P31" s="80">
        <f t="shared" si="10"/>
        <v>115000000</v>
      </c>
      <c r="Q31" s="80">
        <f t="shared" si="10"/>
        <v>115000000</v>
      </c>
      <c r="R31" s="80">
        <f t="shared" si="10"/>
        <v>115000000</v>
      </c>
      <c r="S31" s="80">
        <f t="shared" si="10"/>
        <v>115000000</v>
      </c>
      <c r="T31" s="80">
        <f>$I$31</f>
        <v>115000000</v>
      </c>
      <c r="U31" s="106"/>
      <c r="V31" s="78"/>
    </row>
    <row r="32" spans="1:22" s="77" customFormat="1" ht="25" customHeight="1" x14ac:dyDescent="0.35">
      <c r="A32" s="352" t="s">
        <v>1007</v>
      </c>
      <c r="B32" s="82"/>
      <c r="C32" s="81" t="s">
        <v>158</v>
      </c>
      <c r="D32" s="341">
        <v>0</v>
      </c>
      <c r="E32" s="188">
        <v>0</v>
      </c>
      <c r="F32" s="200">
        <v>0</v>
      </c>
      <c r="G32" s="217">
        <v>0</v>
      </c>
      <c r="H32" s="218">
        <f t="shared" si="8"/>
        <v>0</v>
      </c>
      <c r="I32" s="80">
        <v>0</v>
      </c>
      <c r="J32" s="80">
        <v>0</v>
      </c>
      <c r="K32" s="80">
        <v>0</v>
      </c>
      <c r="L32" s="80">
        <v>0</v>
      </c>
      <c r="M32" s="80">
        <v>0</v>
      </c>
      <c r="N32" s="80">
        <v>0</v>
      </c>
      <c r="O32" s="80">
        <v>0</v>
      </c>
      <c r="P32" s="80">
        <v>0</v>
      </c>
      <c r="Q32" s="80">
        <v>0</v>
      </c>
      <c r="R32" s="80">
        <v>0</v>
      </c>
      <c r="S32" s="80">
        <v>0</v>
      </c>
      <c r="T32" s="80">
        <v>0</v>
      </c>
      <c r="U32" s="106"/>
      <c r="V32" s="78"/>
    </row>
    <row r="33" spans="1:22" s="77" customFormat="1" ht="25" customHeight="1" x14ac:dyDescent="0.35">
      <c r="A33" s="352" t="s">
        <v>1008</v>
      </c>
      <c r="B33" s="82"/>
      <c r="C33" s="81" t="s">
        <v>157</v>
      </c>
      <c r="D33" s="341">
        <f>6971202610/1.1-D35</f>
        <v>6162949226.181818</v>
      </c>
      <c r="E33" s="188">
        <v>4742443889.6399994</v>
      </c>
      <c r="F33" s="200">
        <v>5684621060.6400003</v>
      </c>
      <c r="G33" s="211">
        <v>6000000000</v>
      </c>
      <c r="H33" s="218">
        <f t="shared" si="8"/>
        <v>5.5479325006140841E-2</v>
      </c>
      <c r="I33" s="80">
        <v>500000000</v>
      </c>
      <c r="J33" s="80">
        <f>$I$33</f>
        <v>500000000</v>
      </c>
      <c r="K33" s="80">
        <f t="shared" ref="K33:T33" si="11">$I$33</f>
        <v>500000000</v>
      </c>
      <c r="L33" s="80">
        <f t="shared" si="11"/>
        <v>500000000</v>
      </c>
      <c r="M33" s="80">
        <f t="shared" si="11"/>
        <v>500000000</v>
      </c>
      <c r="N33" s="80">
        <f t="shared" si="11"/>
        <v>500000000</v>
      </c>
      <c r="O33" s="80">
        <f t="shared" si="11"/>
        <v>500000000</v>
      </c>
      <c r="P33" s="80">
        <f t="shared" si="11"/>
        <v>500000000</v>
      </c>
      <c r="Q33" s="80">
        <f t="shared" si="11"/>
        <v>500000000</v>
      </c>
      <c r="R33" s="80">
        <f t="shared" si="11"/>
        <v>500000000</v>
      </c>
      <c r="S33" s="80">
        <f t="shared" si="11"/>
        <v>500000000</v>
      </c>
      <c r="T33" s="80">
        <f t="shared" si="11"/>
        <v>500000000</v>
      </c>
      <c r="U33" s="106"/>
      <c r="V33" s="78"/>
    </row>
    <row r="34" spans="1:22" s="77" customFormat="1" ht="25" customHeight="1" x14ac:dyDescent="0.35">
      <c r="A34" s="352" t="s">
        <v>1009</v>
      </c>
      <c r="B34" s="82"/>
      <c r="C34" s="81" t="s">
        <v>156</v>
      </c>
      <c r="D34" s="341">
        <f>(D31+D33+D35)*0.1</f>
        <v>772399612.909091</v>
      </c>
      <c r="E34" s="188">
        <v>610904683.88800001</v>
      </c>
      <c r="F34" s="200">
        <v>729757657.91600001</v>
      </c>
      <c r="G34" s="211">
        <v>756000000</v>
      </c>
      <c r="H34" s="218">
        <f t="shared" si="8"/>
        <v>3.5960351767929867E-2</v>
      </c>
      <c r="I34" s="80">
        <f>(I33+I31+I35)*0.1</f>
        <v>63000000</v>
      </c>
      <c r="J34" s="80">
        <f>$I$34</f>
        <v>63000000</v>
      </c>
      <c r="K34" s="80">
        <f t="shared" ref="K34:T34" si="12">$I$34</f>
        <v>63000000</v>
      </c>
      <c r="L34" s="80">
        <f t="shared" si="12"/>
        <v>63000000</v>
      </c>
      <c r="M34" s="80">
        <f t="shared" si="12"/>
        <v>63000000</v>
      </c>
      <c r="N34" s="80">
        <f t="shared" si="12"/>
        <v>63000000</v>
      </c>
      <c r="O34" s="80">
        <f t="shared" si="12"/>
        <v>63000000</v>
      </c>
      <c r="P34" s="80">
        <f t="shared" si="12"/>
        <v>63000000</v>
      </c>
      <c r="Q34" s="80">
        <f t="shared" si="12"/>
        <v>63000000</v>
      </c>
      <c r="R34" s="80">
        <f t="shared" si="12"/>
        <v>63000000</v>
      </c>
      <c r="S34" s="80">
        <f t="shared" si="12"/>
        <v>63000000</v>
      </c>
      <c r="T34" s="80">
        <f t="shared" si="12"/>
        <v>63000000</v>
      </c>
      <c r="U34" s="106"/>
      <c r="V34" s="78"/>
    </row>
    <row r="35" spans="1:22" s="77" customFormat="1" ht="25" customHeight="1" x14ac:dyDescent="0.35">
      <c r="A35" s="352" t="s">
        <v>1010</v>
      </c>
      <c r="B35" s="82"/>
      <c r="C35" s="81" t="s">
        <v>155</v>
      </c>
      <c r="D35" s="341">
        <v>174507692</v>
      </c>
      <c r="E35" s="188">
        <v>237207440</v>
      </c>
      <c r="F35" s="200">
        <v>258185839</v>
      </c>
      <c r="G35" s="219">
        <v>167000000</v>
      </c>
      <c r="H35" s="218">
        <f t="shared" si="8"/>
        <v>-0.35317908740920528</v>
      </c>
      <c r="I35" s="80">
        <v>15000000</v>
      </c>
      <c r="J35" s="80">
        <v>30000000</v>
      </c>
      <c r="K35" s="80">
        <v>9000000</v>
      </c>
      <c r="L35" s="80">
        <v>9000000</v>
      </c>
      <c r="M35" s="80">
        <v>30000000</v>
      </c>
      <c r="N35" s="80">
        <v>9000000</v>
      </c>
      <c r="O35" s="80">
        <v>9000000</v>
      </c>
      <c r="P35" s="80">
        <v>9000000</v>
      </c>
      <c r="Q35" s="80">
        <v>20000000</v>
      </c>
      <c r="R35" s="80">
        <v>9000000</v>
      </c>
      <c r="S35" s="80">
        <v>9000000</v>
      </c>
      <c r="T35" s="80">
        <v>9000000</v>
      </c>
      <c r="U35" s="106"/>
      <c r="V35" s="78"/>
    </row>
    <row r="36" spans="1:22" ht="25" customHeight="1" x14ac:dyDescent="0.35">
      <c r="A36" s="25" t="s">
        <v>151</v>
      </c>
      <c r="B36" s="72">
        <v>642811</v>
      </c>
      <c r="C36" s="64" t="s">
        <v>150</v>
      </c>
      <c r="D36" s="345">
        <v>9000000</v>
      </c>
      <c r="E36" s="188">
        <v>7268083</v>
      </c>
      <c r="F36" s="202">
        <v>9987784.5000000298</v>
      </c>
      <c r="G36" s="219">
        <v>8528196</v>
      </c>
      <c r="H36" s="218">
        <f t="shared" si="8"/>
        <v>-0.14613736409711536</v>
      </c>
      <c r="I36" s="27">
        <v>710683</v>
      </c>
      <c r="J36" s="27">
        <v>710683</v>
      </c>
      <c r="K36" s="27">
        <v>710683</v>
      </c>
      <c r="L36" s="27">
        <v>710683</v>
      </c>
      <c r="M36" s="27">
        <v>710683</v>
      </c>
      <c r="N36" s="27">
        <v>710683</v>
      </c>
      <c r="O36" s="27">
        <v>710683</v>
      </c>
      <c r="P36" s="27">
        <v>710683</v>
      </c>
      <c r="Q36" s="27">
        <v>710683</v>
      </c>
      <c r="R36" s="27">
        <v>710683</v>
      </c>
      <c r="S36" s="27">
        <v>710683</v>
      </c>
      <c r="T36" s="27">
        <v>710683</v>
      </c>
      <c r="U36" s="974"/>
      <c r="V36" s="3" t="s">
        <v>530</v>
      </c>
    </row>
    <row r="37" spans="1:22" ht="25" customHeight="1" x14ac:dyDescent="0.35">
      <c r="A37" s="25" t="s">
        <v>149</v>
      </c>
      <c r="B37" s="72">
        <v>642107</v>
      </c>
      <c r="C37" s="64" t="s">
        <v>148</v>
      </c>
      <c r="D37" s="345">
        <v>38700000</v>
      </c>
      <c r="E37" s="188">
        <v>9200000</v>
      </c>
      <c r="F37" s="202">
        <v>9200000</v>
      </c>
      <c r="G37" s="219">
        <v>24150000</v>
      </c>
      <c r="H37" s="218">
        <f t="shared" si="8"/>
        <v>1.625</v>
      </c>
      <c r="I37" s="27">
        <f>'Training Staffs'!$E$7/12</f>
        <v>2012500</v>
      </c>
      <c r="J37" s="27">
        <f>I37</f>
        <v>2012500</v>
      </c>
      <c r="K37" s="27">
        <f>J37</f>
        <v>2012500</v>
      </c>
      <c r="L37" s="27">
        <f t="shared" ref="L37:T37" si="13">K37</f>
        <v>2012500</v>
      </c>
      <c r="M37" s="27">
        <f t="shared" si="13"/>
        <v>2012500</v>
      </c>
      <c r="N37" s="27">
        <f t="shared" si="13"/>
        <v>2012500</v>
      </c>
      <c r="O37" s="27">
        <f t="shared" si="13"/>
        <v>2012500</v>
      </c>
      <c r="P37" s="27">
        <f t="shared" si="13"/>
        <v>2012500</v>
      </c>
      <c r="Q37" s="27">
        <f t="shared" si="13"/>
        <v>2012500</v>
      </c>
      <c r="R37" s="27">
        <f t="shared" si="13"/>
        <v>2012500</v>
      </c>
      <c r="S37" s="27">
        <f t="shared" si="13"/>
        <v>2012500</v>
      </c>
      <c r="T37" s="27">
        <f t="shared" si="13"/>
        <v>2012500</v>
      </c>
      <c r="U37" s="973" t="s">
        <v>520</v>
      </c>
      <c r="V37" s="3" t="s">
        <v>533</v>
      </c>
    </row>
    <row r="38" spans="1:22" ht="25" customHeight="1" x14ac:dyDescent="0.35">
      <c r="A38" s="25" t="s">
        <v>153</v>
      </c>
      <c r="B38" s="72"/>
      <c r="C38" s="64" t="s">
        <v>152</v>
      </c>
      <c r="D38" s="345">
        <v>90000000</v>
      </c>
      <c r="E38" s="188">
        <v>0</v>
      </c>
      <c r="F38" s="202">
        <v>90000000</v>
      </c>
      <c r="G38" s="221">
        <v>100000000</v>
      </c>
      <c r="H38" s="222">
        <f t="shared" si="8"/>
        <v>0.1111111111111111</v>
      </c>
      <c r="I38" s="27">
        <v>0</v>
      </c>
      <c r="J38" s="27">
        <v>0</v>
      </c>
      <c r="K38" s="27">
        <v>0</v>
      </c>
      <c r="L38" s="27">
        <v>0</v>
      </c>
      <c r="M38" s="27">
        <v>0</v>
      </c>
      <c r="N38" s="27">
        <v>0</v>
      </c>
      <c r="O38" s="27">
        <v>0</v>
      </c>
      <c r="P38" s="27">
        <v>0</v>
      </c>
      <c r="Q38" s="27">
        <v>0</v>
      </c>
      <c r="R38" s="27">
        <v>0</v>
      </c>
      <c r="S38" s="27">
        <v>0</v>
      </c>
      <c r="T38" s="27">
        <v>100000000</v>
      </c>
      <c r="U38" s="974"/>
      <c r="V38" s="3" t="s">
        <v>530</v>
      </c>
    </row>
    <row r="39" spans="1:22" ht="25" customHeight="1" x14ac:dyDescent="0.35">
      <c r="A39" s="25" t="s">
        <v>139</v>
      </c>
      <c r="B39" s="72">
        <v>642803</v>
      </c>
      <c r="C39" s="64" t="s">
        <v>138</v>
      </c>
      <c r="D39" s="345">
        <v>39600000</v>
      </c>
      <c r="E39" s="188">
        <v>24319114.09090909</v>
      </c>
      <c r="F39" s="202">
        <v>32697231.636363637</v>
      </c>
      <c r="G39" s="225">
        <v>31476701.333333332</v>
      </c>
      <c r="H39" s="222">
        <f t="shared" si="8"/>
        <v>-3.7328245907916981E-2</v>
      </c>
      <c r="I39" s="27">
        <v>2623058.4444444445</v>
      </c>
      <c r="J39" s="27">
        <v>2623058.4444444445</v>
      </c>
      <c r="K39" s="27">
        <v>2623058.4444444445</v>
      </c>
      <c r="L39" s="27">
        <v>2623058.4444444445</v>
      </c>
      <c r="M39" s="27">
        <v>2623058.4444444445</v>
      </c>
      <c r="N39" s="27">
        <v>2623058.4444444445</v>
      </c>
      <c r="O39" s="27">
        <v>2623058.4444444445</v>
      </c>
      <c r="P39" s="27">
        <v>2623058.4444444445</v>
      </c>
      <c r="Q39" s="27">
        <v>2623058.4444444445</v>
      </c>
      <c r="R39" s="27">
        <v>2623058.4444444445</v>
      </c>
      <c r="S39" s="27">
        <v>2623058.4444444445</v>
      </c>
      <c r="T39" s="27">
        <v>2623058.4444444445</v>
      </c>
      <c r="U39" s="974"/>
      <c r="V39" s="3" t="s">
        <v>530</v>
      </c>
    </row>
    <row r="40" spans="1:22" ht="25" customHeight="1" x14ac:dyDescent="0.35">
      <c r="A40" s="25" t="s">
        <v>133</v>
      </c>
      <c r="B40" s="72">
        <v>64221</v>
      </c>
      <c r="C40" s="64" t="s">
        <v>132</v>
      </c>
      <c r="D40" s="345">
        <v>30798000</v>
      </c>
      <c r="E40" s="188">
        <v>24547200</v>
      </c>
      <c r="F40" s="202">
        <v>28903200</v>
      </c>
      <c r="G40" s="225">
        <v>36000000</v>
      </c>
      <c r="H40" s="222">
        <f t="shared" si="8"/>
        <v>0.24553682637216639</v>
      </c>
      <c r="I40" s="27">
        <v>3000000</v>
      </c>
      <c r="J40" s="27">
        <f>I40</f>
        <v>3000000</v>
      </c>
      <c r="K40" s="27">
        <f t="shared" ref="K40:T40" si="14">J40</f>
        <v>3000000</v>
      </c>
      <c r="L40" s="27">
        <f t="shared" si="14"/>
        <v>3000000</v>
      </c>
      <c r="M40" s="27">
        <f t="shared" si="14"/>
        <v>3000000</v>
      </c>
      <c r="N40" s="27">
        <f t="shared" si="14"/>
        <v>3000000</v>
      </c>
      <c r="O40" s="27">
        <f t="shared" si="14"/>
        <v>3000000</v>
      </c>
      <c r="P40" s="27">
        <f t="shared" si="14"/>
        <v>3000000</v>
      </c>
      <c r="Q40" s="27">
        <f t="shared" si="14"/>
        <v>3000000</v>
      </c>
      <c r="R40" s="27">
        <f t="shared" si="14"/>
        <v>3000000</v>
      </c>
      <c r="S40" s="27">
        <f t="shared" si="14"/>
        <v>3000000</v>
      </c>
      <c r="T40" s="27">
        <f t="shared" si="14"/>
        <v>3000000</v>
      </c>
      <c r="U40" s="974"/>
      <c r="V40" s="3" t="s">
        <v>531</v>
      </c>
    </row>
    <row r="41" spans="1:22" ht="25" customHeight="1" x14ac:dyDescent="0.35">
      <c r="A41" s="25" t="s">
        <v>127</v>
      </c>
      <c r="B41" s="72">
        <v>642807</v>
      </c>
      <c r="C41" s="64" t="s">
        <v>126</v>
      </c>
      <c r="D41" s="345">
        <v>38640000</v>
      </c>
      <c r="E41" s="188">
        <v>44094856.36363636</v>
      </c>
      <c r="F41" s="202">
        <v>52168855.909090906</v>
      </c>
      <c r="G41" s="225">
        <v>50995806.666666657</v>
      </c>
      <c r="H41" s="222">
        <f t="shared" si="8"/>
        <v>-2.2485623308826194E-2</v>
      </c>
      <c r="I41" s="27">
        <v>4249650.555555556</v>
      </c>
      <c r="J41" s="27">
        <v>4249650.555555556</v>
      </c>
      <c r="K41" s="27">
        <v>4249650.555555556</v>
      </c>
      <c r="L41" s="27">
        <v>4249650.555555556</v>
      </c>
      <c r="M41" s="27">
        <v>4249650.555555556</v>
      </c>
      <c r="N41" s="27">
        <v>4249650.555555556</v>
      </c>
      <c r="O41" s="27">
        <v>4249650.555555556</v>
      </c>
      <c r="P41" s="27">
        <v>4249650.555555556</v>
      </c>
      <c r="Q41" s="27">
        <v>4249650.555555556</v>
      </c>
      <c r="R41" s="27">
        <v>4249650.555555556</v>
      </c>
      <c r="S41" s="27">
        <v>4249650.555555556</v>
      </c>
      <c r="T41" s="27">
        <v>4249650.555555556</v>
      </c>
      <c r="U41" s="974"/>
      <c r="V41" s="3" t="s">
        <v>530</v>
      </c>
    </row>
    <row r="42" spans="1:22" ht="25" customHeight="1" x14ac:dyDescent="0.35">
      <c r="A42" s="25" t="s">
        <v>125</v>
      </c>
      <c r="B42" s="72"/>
      <c r="C42" s="64" t="s">
        <v>124</v>
      </c>
      <c r="D42" s="345">
        <v>0</v>
      </c>
      <c r="E42" s="188">
        <v>0</v>
      </c>
      <c r="F42" s="202">
        <v>0</v>
      </c>
      <c r="G42" s="225">
        <v>8000000</v>
      </c>
      <c r="H42" s="222">
        <f t="shared" si="8"/>
        <v>0</v>
      </c>
      <c r="I42" s="27">
        <v>0</v>
      </c>
      <c r="J42" s="27">
        <f>I42</f>
        <v>0</v>
      </c>
      <c r="K42" s="27">
        <f>J42</f>
        <v>0</v>
      </c>
      <c r="L42" s="27">
        <f>K42</f>
        <v>0</v>
      </c>
      <c r="M42" s="27">
        <f t="shared" ref="M42:S42" si="15">L42</f>
        <v>0</v>
      </c>
      <c r="N42" s="27">
        <f t="shared" si="15"/>
        <v>0</v>
      </c>
      <c r="O42" s="27">
        <f t="shared" si="15"/>
        <v>0</v>
      </c>
      <c r="P42" s="27">
        <f t="shared" si="15"/>
        <v>0</v>
      </c>
      <c r="Q42" s="27">
        <f t="shared" si="15"/>
        <v>0</v>
      </c>
      <c r="R42" s="27">
        <f t="shared" si="15"/>
        <v>0</v>
      </c>
      <c r="S42" s="27">
        <f t="shared" si="15"/>
        <v>0</v>
      </c>
      <c r="T42" s="27">
        <f>'Social Relationship'!$E$8</f>
        <v>8000000</v>
      </c>
      <c r="U42" s="973"/>
      <c r="V42" s="3"/>
    </row>
    <row r="43" spans="1:22" ht="25" customHeight="1" x14ac:dyDescent="0.35">
      <c r="A43" s="25" t="s">
        <v>137</v>
      </c>
      <c r="B43" s="72">
        <v>642804</v>
      </c>
      <c r="C43" s="64" t="s">
        <v>136</v>
      </c>
      <c r="D43" s="345">
        <v>8400000</v>
      </c>
      <c r="E43" s="188">
        <v>3685000</v>
      </c>
      <c r="F43" s="202">
        <v>5685000</v>
      </c>
      <c r="G43" s="225">
        <v>6000000</v>
      </c>
      <c r="H43" s="222">
        <f t="shared" si="8"/>
        <v>5.5408970976253295E-2</v>
      </c>
      <c r="I43" s="27">
        <v>0</v>
      </c>
      <c r="J43" s="27">
        <v>0</v>
      </c>
      <c r="K43" s="27">
        <v>1500000</v>
      </c>
      <c r="L43" s="27">
        <v>0</v>
      </c>
      <c r="M43" s="27">
        <v>0</v>
      </c>
      <c r="N43" s="27">
        <v>1500000</v>
      </c>
      <c r="O43" s="27">
        <v>0</v>
      </c>
      <c r="P43" s="27">
        <v>0</v>
      </c>
      <c r="Q43" s="27">
        <v>1500000</v>
      </c>
      <c r="R43" s="27">
        <v>0</v>
      </c>
      <c r="S43" s="27">
        <v>0</v>
      </c>
      <c r="T43" s="27">
        <v>1500000</v>
      </c>
      <c r="U43" s="974"/>
      <c r="V43" s="3" t="s">
        <v>530</v>
      </c>
    </row>
    <row r="44" spans="1:22" ht="25" customHeight="1" x14ac:dyDescent="0.35">
      <c r="A44" s="25" t="s">
        <v>121</v>
      </c>
      <c r="B44" s="72">
        <v>642810</v>
      </c>
      <c r="C44" s="64" t="s">
        <v>120</v>
      </c>
      <c r="D44" s="345">
        <v>14400000</v>
      </c>
      <c r="E44" s="188">
        <v>8932590</v>
      </c>
      <c r="F44" s="202">
        <v>10497590</v>
      </c>
      <c r="G44" s="225">
        <v>11910120</v>
      </c>
      <c r="H44" s="222">
        <f t="shared" si="8"/>
        <v>0.13455755082833298</v>
      </c>
      <c r="I44" s="27">
        <v>992510</v>
      </c>
      <c r="J44" s="27">
        <v>992510</v>
      </c>
      <c r="K44" s="27">
        <v>992510</v>
      </c>
      <c r="L44" s="27">
        <v>992510</v>
      </c>
      <c r="M44" s="27">
        <v>992510</v>
      </c>
      <c r="N44" s="27">
        <v>992510</v>
      </c>
      <c r="O44" s="27">
        <v>992510</v>
      </c>
      <c r="P44" s="27">
        <v>992510</v>
      </c>
      <c r="Q44" s="27">
        <v>992510</v>
      </c>
      <c r="R44" s="27">
        <v>992510</v>
      </c>
      <c r="S44" s="27">
        <v>992510</v>
      </c>
      <c r="T44" s="27">
        <v>992510</v>
      </c>
      <c r="U44" s="974" t="s">
        <v>519</v>
      </c>
      <c r="V44" s="3" t="s">
        <v>533</v>
      </c>
    </row>
    <row r="45" spans="1:22" ht="25" customHeight="1" x14ac:dyDescent="0.35">
      <c r="A45" s="25" t="s">
        <v>147</v>
      </c>
      <c r="B45" s="72">
        <v>642105</v>
      </c>
      <c r="C45" s="64" t="s">
        <v>146</v>
      </c>
      <c r="D45" s="345">
        <v>6000000</v>
      </c>
      <c r="E45" s="188">
        <v>3824149</v>
      </c>
      <c r="F45" s="202">
        <v>3824149</v>
      </c>
      <c r="G45" s="219">
        <v>0</v>
      </c>
      <c r="H45" s="218">
        <f t="shared" si="8"/>
        <v>-1</v>
      </c>
      <c r="I45" s="27">
        <v>0</v>
      </c>
      <c r="J45" s="27">
        <f>I45</f>
        <v>0</v>
      </c>
      <c r="K45" s="27">
        <f t="shared" ref="K45:T45" si="16">J45</f>
        <v>0</v>
      </c>
      <c r="L45" s="27">
        <f t="shared" si="16"/>
        <v>0</v>
      </c>
      <c r="M45" s="27">
        <f t="shared" si="16"/>
        <v>0</v>
      </c>
      <c r="N45" s="27">
        <f t="shared" si="16"/>
        <v>0</v>
      </c>
      <c r="O45" s="27">
        <f t="shared" si="16"/>
        <v>0</v>
      </c>
      <c r="P45" s="27">
        <f t="shared" si="16"/>
        <v>0</v>
      </c>
      <c r="Q45" s="27">
        <f t="shared" si="16"/>
        <v>0</v>
      </c>
      <c r="R45" s="27">
        <f t="shared" si="16"/>
        <v>0</v>
      </c>
      <c r="S45" s="27">
        <f t="shared" si="16"/>
        <v>0</v>
      </c>
      <c r="T45" s="27">
        <f t="shared" si="16"/>
        <v>0</v>
      </c>
      <c r="U45" s="974"/>
      <c r="V45" s="3" t="s">
        <v>533</v>
      </c>
    </row>
    <row r="46" spans="1:22" ht="25" customHeight="1" x14ac:dyDescent="0.35">
      <c r="A46" s="25" t="s">
        <v>145</v>
      </c>
      <c r="B46" s="72">
        <v>642108</v>
      </c>
      <c r="C46" s="64" t="s">
        <v>144</v>
      </c>
      <c r="D46" s="345">
        <v>50630000</v>
      </c>
      <c r="E46" s="188">
        <v>43750908</v>
      </c>
      <c r="F46" s="202">
        <v>43750908</v>
      </c>
      <c r="G46" s="219">
        <v>0</v>
      </c>
      <c r="H46" s="218">
        <f t="shared" si="8"/>
        <v>-1</v>
      </c>
      <c r="I46" s="27">
        <v>0</v>
      </c>
      <c r="J46" s="27">
        <v>0</v>
      </c>
      <c r="K46" s="27">
        <v>0</v>
      </c>
      <c r="L46" s="27">
        <v>0</v>
      </c>
      <c r="M46" s="27">
        <v>0</v>
      </c>
      <c r="N46" s="27">
        <v>0</v>
      </c>
      <c r="O46" s="27">
        <v>0</v>
      </c>
      <c r="P46" s="27">
        <v>0</v>
      </c>
      <c r="Q46" s="27">
        <v>0</v>
      </c>
      <c r="R46" s="27">
        <v>0</v>
      </c>
      <c r="S46" s="27">
        <v>0</v>
      </c>
      <c r="T46" s="27">
        <v>0</v>
      </c>
      <c r="U46" s="974"/>
      <c r="V46" s="3" t="s">
        <v>533</v>
      </c>
    </row>
    <row r="47" spans="1:22" ht="25" customHeight="1" x14ac:dyDescent="0.35">
      <c r="A47" s="26" t="s">
        <v>141</v>
      </c>
      <c r="B47" s="72">
        <v>6423</v>
      </c>
      <c r="C47" s="64" t="s">
        <v>140</v>
      </c>
      <c r="D47" s="345">
        <v>13400000</v>
      </c>
      <c r="E47" s="188">
        <v>8726365</v>
      </c>
      <c r="F47" s="202">
        <v>8726365</v>
      </c>
      <c r="G47" s="225">
        <v>11635153.333333336</v>
      </c>
      <c r="H47" s="222">
        <f t="shared" si="8"/>
        <v>0.33333333333333359</v>
      </c>
      <c r="I47" s="27">
        <v>969596.11111111112</v>
      </c>
      <c r="J47" s="27">
        <v>969596.11111111112</v>
      </c>
      <c r="K47" s="27">
        <v>969596.11111111112</v>
      </c>
      <c r="L47" s="27">
        <v>969596.11111111112</v>
      </c>
      <c r="M47" s="27">
        <v>969596.11111111112</v>
      </c>
      <c r="N47" s="27">
        <v>969596.11111111112</v>
      </c>
      <c r="O47" s="27">
        <v>969596.11111111112</v>
      </c>
      <c r="P47" s="27">
        <v>969596.11111111112</v>
      </c>
      <c r="Q47" s="27">
        <v>969596.11111111112</v>
      </c>
      <c r="R47" s="27">
        <v>969596.11111111112</v>
      </c>
      <c r="S47" s="27">
        <v>969596.11111111112</v>
      </c>
      <c r="T47" s="27">
        <v>969596.11111111112</v>
      </c>
      <c r="U47" s="974"/>
      <c r="V47" s="3" t="s">
        <v>530</v>
      </c>
    </row>
    <row r="48" spans="1:22" ht="25" customHeight="1" x14ac:dyDescent="0.35">
      <c r="A48" s="25" t="s">
        <v>135</v>
      </c>
      <c r="B48" s="72">
        <v>64222</v>
      </c>
      <c r="C48" s="64" t="s">
        <v>134</v>
      </c>
      <c r="D48" s="345">
        <v>7200000</v>
      </c>
      <c r="E48" s="188">
        <v>5020000</v>
      </c>
      <c r="F48" s="202">
        <v>5520000</v>
      </c>
      <c r="G48" s="225">
        <v>6693333.3333333349</v>
      </c>
      <c r="H48" s="222">
        <f t="shared" si="8"/>
        <v>0.21256038647343023</v>
      </c>
      <c r="I48" s="27">
        <v>557777.77777777775</v>
      </c>
      <c r="J48" s="27">
        <v>557777.77777777775</v>
      </c>
      <c r="K48" s="27">
        <v>557777.77777777775</v>
      </c>
      <c r="L48" s="27">
        <v>557777.77777777775</v>
      </c>
      <c r="M48" s="27">
        <v>557777.77777777775</v>
      </c>
      <c r="N48" s="27">
        <v>557777.77777777775</v>
      </c>
      <c r="O48" s="27">
        <v>557777.77777777775</v>
      </c>
      <c r="P48" s="27">
        <v>557777.77777777775</v>
      </c>
      <c r="Q48" s="27">
        <v>557777.77777777775</v>
      </c>
      <c r="R48" s="27">
        <v>557777.77777777775</v>
      </c>
      <c r="S48" s="27">
        <v>557777.77777777775</v>
      </c>
      <c r="T48" s="27">
        <v>557777.77777777775</v>
      </c>
      <c r="U48" s="974"/>
      <c r="V48" s="3" t="s">
        <v>531</v>
      </c>
    </row>
    <row r="49" spans="1:24" ht="25" customHeight="1" x14ac:dyDescent="0.35">
      <c r="A49" s="25" t="s">
        <v>131</v>
      </c>
      <c r="B49" s="72">
        <v>642805</v>
      </c>
      <c r="C49" s="64" t="s">
        <v>130</v>
      </c>
      <c r="D49" s="345">
        <v>4200000</v>
      </c>
      <c r="E49" s="188">
        <v>2797009</v>
      </c>
      <c r="F49" s="202">
        <v>2833809</v>
      </c>
      <c r="G49" s="225">
        <v>3729345.333333334</v>
      </c>
      <c r="H49" s="222">
        <f t="shared" si="8"/>
        <v>0.31601859311383862</v>
      </c>
      <c r="I49" s="27">
        <v>310778.77777777775</v>
      </c>
      <c r="J49" s="27">
        <v>310778.77777777775</v>
      </c>
      <c r="K49" s="27">
        <v>310778.77777777775</v>
      </c>
      <c r="L49" s="27">
        <v>310778.77777777775</v>
      </c>
      <c r="M49" s="27">
        <v>310778.77777777775</v>
      </c>
      <c r="N49" s="27">
        <v>310778.77777777775</v>
      </c>
      <c r="O49" s="27">
        <v>310778.77777777775</v>
      </c>
      <c r="P49" s="27">
        <v>310778.77777777775</v>
      </c>
      <c r="Q49" s="27">
        <v>310778.77777777775</v>
      </c>
      <c r="R49" s="27">
        <v>310778.77777777775</v>
      </c>
      <c r="S49" s="27">
        <v>310778.77777777775</v>
      </c>
      <c r="T49" s="27">
        <v>310778.77777777775</v>
      </c>
      <c r="U49" s="974"/>
      <c r="V49" s="3" t="s">
        <v>530</v>
      </c>
    </row>
    <row r="50" spans="1:24" ht="25" customHeight="1" x14ac:dyDescent="0.35">
      <c r="A50" s="25" t="s">
        <v>129</v>
      </c>
      <c r="B50" s="72">
        <v>642806</v>
      </c>
      <c r="C50" s="64" t="s">
        <v>128</v>
      </c>
      <c r="D50" s="345">
        <v>18000000</v>
      </c>
      <c r="E50" s="188">
        <v>15953100</v>
      </c>
      <c r="F50" s="202">
        <v>19055600</v>
      </c>
      <c r="G50" s="225">
        <v>19748800</v>
      </c>
      <c r="H50" s="222">
        <f t="shared" si="8"/>
        <v>3.637775771951552E-2</v>
      </c>
      <c r="I50" s="27">
        <v>1645733.3333333333</v>
      </c>
      <c r="J50" s="27">
        <v>1645733.3333333333</v>
      </c>
      <c r="K50" s="27">
        <v>1645733.3333333333</v>
      </c>
      <c r="L50" s="27">
        <v>1645733.3333333333</v>
      </c>
      <c r="M50" s="27">
        <v>1645733.3333333333</v>
      </c>
      <c r="N50" s="27">
        <v>1645733.3333333333</v>
      </c>
      <c r="O50" s="27">
        <v>1645733.3333333333</v>
      </c>
      <c r="P50" s="27">
        <v>1645733.3333333333</v>
      </c>
      <c r="Q50" s="27">
        <v>1645733.3333333333</v>
      </c>
      <c r="R50" s="27">
        <v>1645733.3333333333</v>
      </c>
      <c r="S50" s="27">
        <v>1645733.3333333333</v>
      </c>
      <c r="T50" s="27">
        <v>1645733.3333333333</v>
      </c>
      <c r="U50" s="974" t="s">
        <v>515</v>
      </c>
      <c r="V50" s="3" t="s">
        <v>530</v>
      </c>
    </row>
    <row r="51" spans="1:24" ht="25" customHeight="1" x14ac:dyDescent="0.35">
      <c r="A51" s="25" t="s">
        <v>143</v>
      </c>
      <c r="B51" s="72">
        <v>642106</v>
      </c>
      <c r="C51" s="64" t="s">
        <v>142</v>
      </c>
      <c r="D51" s="345">
        <v>22770000</v>
      </c>
      <c r="E51" s="188">
        <v>19968546</v>
      </c>
      <c r="F51" s="202">
        <v>19968546</v>
      </c>
      <c r="G51" s="225">
        <v>0</v>
      </c>
      <c r="H51" s="222">
        <f>IF(F51=0,0,(G51-F51)/F51)</f>
        <v>-1</v>
      </c>
      <c r="I51" s="27">
        <v>0</v>
      </c>
      <c r="J51" s="27">
        <v>0</v>
      </c>
      <c r="K51" s="27">
        <v>0</v>
      </c>
      <c r="L51" s="27">
        <v>0</v>
      </c>
      <c r="M51" s="27">
        <v>0</v>
      </c>
      <c r="N51" s="27">
        <v>0</v>
      </c>
      <c r="O51" s="27">
        <v>0</v>
      </c>
      <c r="P51" s="27">
        <v>0</v>
      </c>
      <c r="Q51" s="27">
        <v>0</v>
      </c>
      <c r="R51" s="27">
        <v>0</v>
      </c>
      <c r="S51" s="27">
        <v>0</v>
      </c>
      <c r="T51" s="27">
        <v>0</v>
      </c>
      <c r="U51" s="974"/>
      <c r="V51" s="3" t="s">
        <v>533</v>
      </c>
    </row>
    <row r="52" spans="1:24" ht="25" customHeight="1" x14ac:dyDescent="0.35">
      <c r="A52" s="25" t="s">
        <v>123</v>
      </c>
      <c r="B52" s="72">
        <v>642813</v>
      </c>
      <c r="C52" s="64" t="s">
        <v>122</v>
      </c>
      <c r="D52" s="345">
        <f>308187200</f>
        <v>308187200</v>
      </c>
      <c r="E52" s="188">
        <v>271072909</v>
      </c>
      <c r="F52" s="202">
        <v>271072909</v>
      </c>
      <c r="G52" s="219">
        <v>361430545.33333331</v>
      </c>
      <c r="H52" s="218">
        <f t="shared" si="8"/>
        <v>0.33333333333333326</v>
      </c>
      <c r="I52" s="27">
        <v>26039140.484848477</v>
      </c>
      <c r="J52" s="27">
        <v>26039140.484848477</v>
      </c>
      <c r="K52" s="27">
        <v>75000000</v>
      </c>
      <c r="L52" s="27">
        <v>26039140.484848477</v>
      </c>
      <c r="M52" s="27">
        <v>26039140.484848477</v>
      </c>
      <c r="N52" s="27">
        <v>26039140.484848477</v>
      </c>
      <c r="O52" s="27">
        <v>26039140.484848477</v>
      </c>
      <c r="P52" s="27">
        <v>26039140.484848477</v>
      </c>
      <c r="Q52" s="27">
        <v>26039140.484848477</v>
      </c>
      <c r="R52" s="27">
        <v>26039140.484848477</v>
      </c>
      <c r="S52" s="27">
        <v>26039140.484848477</v>
      </c>
      <c r="T52" s="27">
        <v>26039140.484848477</v>
      </c>
      <c r="U52" s="974" t="s">
        <v>513</v>
      </c>
      <c r="V52" s="3" t="s">
        <v>534</v>
      </c>
    </row>
    <row r="53" spans="1:24" ht="25" customHeight="1" x14ac:dyDescent="0.35">
      <c r="A53" s="52"/>
      <c r="B53" s="51"/>
      <c r="C53" s="50" t="s">
        <v>119</v>
      </c>
      <c r="D53" s="999">
        <f>SUM(D31:D52)</f>
        <v>9196320942</v>
      </c>
      <c r="E53" s="49">
        <v>7213111353.2225447</v>
      </c>
      <c r="F53" s="999">
        <v>8641226189.1214561</v>
      </c>
      <c r="G53" s="49">
        <v>8983298001.3333359</v>
      </c>
      <c r="H53" s="986">
        <f t="shared" si="8"/>
        <v>3.9586026881522678E-2</v>
      </c>
      <c r="I53" s="49">
        <f t="shared" ref="I53:T53" si="17">SUM(I31:I52)</f>
        <v>736111428.48484862</v>
      </c>
      <c r="J53" s="49">
        <f t="shared" si="17"/>
        <v>751111428.48484862</v>
      </c>
      <c r="K53" s="49">
        <f t="shared" si="17"/>
        <v>780572288.00000012</v>
      </c>
      <c r="L53" s="49">
        <f t="shared" si="17"/>
        <v>730111428.48484862</v>
      </c>
      <c r="M53" s="49">
        <f t="shared" si="17"/>
        <v>751111428.48484862</v>
      </c>
      <c r="N53" s="49">
        <f t="shared" si="17"/>
        <v>731611428.48484862</v>
      </c>
      <c r="O53" s="49">
        <f t="shared" si="17"/>
        <v>730111428.48484862</v>
      </c>
      <c r="P53" s="49">
        <f t="shared" si="17"/>
        <v>730111428.48484862</v>
      </c>
      <c r="Q53" s="49">
        <f t="shared" si="17"/>
        <v>742611428.48484862</v>
      </c>
      <c r="R53" s="49">
        <f t="shared" si="17"/>
        <v>730111428.48484862</v>
      </c>
      <c r="S53" s="49">
        <f t="shared" si="17"/>
        <v>730111428.48484862</v>
      </c>
      <c r="T53" s="49">
        <f t="shared" si="17"/>
        <v>839611428.48484862</v>
      </c>
      <c r="U53" s="975"/>
      <c r="V53" s="3"/>
    </row>
    <row r="54" spans="1:24" s="39" customFormat="1" ht="5.15" customHeight="1" x14ac:dyDescent="0.35">
      <c r="A54" s="41"/>
      <c r="B54" s="48"/>
      <c r="C54" s="71"/>
      <c r="D54" s="192"/>
      <c r="E54" s="71"/>
      <c r="F54" s="192">
        <v>0</v>
      </c>
      <c r="G54" s="46"/>
      <c r="H54" s="206"/>
      <c r="I54" s="59"/>
      <c r="J54" s="59"/>
      <c r="K54" s="59"/>
      <c r="L54" s="59"/>
      <c r="M54" s="59"/>
      <c r="N54" s="59"/>
      <c r="O54" s="59"/>
      <c r="P54" s="59"/>
      <c r="Q54" s="59"/>
      <c r="R54" s="59"/>
      <c r="S54" s="59"/>
      <c r="T54" s="59"/>
      <c r="U54" s="628"/>
      <c r="V54" s="40"/>
    </row>
    <row r="55" spans="1:24" s="58" customFormat="1" ht="25" customHeight="1" x14ac:dyDescent="0.35">
      <c r="A55" s="982" t="s">
        <v>118</v>
      </c>
      <c r="B55" s="998"/>
      <c r="C55" s="984" t="s">
        <v>1012</v>
      </c>
      <c r="D55" s="1000"/>
      <c r="E55" s="23"/>
      <c r="F55" s="1000"/>
      <c r="G55" s="31"/>
      <c r="H55" s="1001"/>
      <c r="I55" s="32"/>
      <c r="J55" s="32"/>
      <c r="K55" s="32"/>
      <c r="L55" s="32"/>
      <c r="M55" s="32"/>
      <c r="N55" s="32"/>
      <c r="O55" s="32"/>
      <c r="P55" s="32"/>
      <c r="Q55" s="32"/>
      <c r="R55" s="31"/>
      <c r="S55" s="31"/>
      <c r="T55" s="31"/>
      <c r="U55" s="627"/>
      <c r="V55" s="3"/>
    </row>
    <row r="56" spans="1:24" ht="25" customHeight="1" x14ac:dyDescent="0.35">
      <c r="A56" s="356" t="s">
        <v>117</v>
      </c>
      <c r="B56" s="30">
        <v>6427201</v>
      </c>
      <c r="C56" s="29" t="s">
        <v>116</v>
      </c>
      <c r="D56" s="345">
        <v>2522700000</v>
      </c>
      <c r="E56" s="188">
        <v>2033500000</v>
      </c>
      <c r="F56" s="202">
        <v>2398500000</v>
      </c>
      <c r="G56" s="225">
        <v>2425350000</v>
      </c>
      <c r="H56" s="222">
        <f t="shared" ref="H56:H77" si="18">IF(F56=0,0,(G56-F56)/F56)</f>
        <v>1.1194496560350219E-2</v>
      </c>
      <c r="I56" s="27">
        <v>196650000</v>
      </c>
      <c r="J56" s="27">
        <f>I56+65550000</f>
        <v>262200000</v>
      </c>
      <c r="K56" s="27">
        <f>I56</f>
        <v>196650000</v>
      </c>
      <c r="L56" s="27">
        <f t="shared" ref="L56:T57" si="19">K56</f>
        <v>196650000</v>
      </c>
      <c r="M56" s="27">
        <f t="shared" si="19"/>
        <v>196650000</v>
      </c>
      <c r="N56" s="27">
        <f t="shared" si="19"/>
        <v>196650000</v>
      </c>
      <c r="O56" s="27">
        <f t="shared" si="19"/>
        <v>196650000</v>
      </c>
      <c r="P56" s="27">
        <f t="shared" si="19"/>
        <v>196650000</v>
      </c>
      <c r="Q56" s="27">
        <f t="shared" si="19"/>
        <v>196650000</v>
      </c>
      <c r="R56" s="27">
        <f t="shared" si="19"/>
        <v>196650000</v>
      </c>
      <c r="S56" s="27">
        <f t="shared" si="19"/>
        <v>196650000</v>
      </c>
      <c r="T56" s="27">
        <f t="shared" si="19"/>
        <v>196650000</v>
      </c>
      <c r="U56" s="974" t="s">
        <v>1043</v>
      </c>
      <c r="V56" s="3">
        <v>2522700000</v>
      </c>
      <c r="W56" s="22"/>
      <c r="X56" s="22"/>
    </row>
    <row r="57" spans="1:24" ht="25" customHeight="1" x14ac:dyDescent="0.35">
      <c r="A57" s="356" t="s">
        <v>115</v>
      </c>
      <c r="B57" s="30">
        <v>6427202</v>
      </c>
      <c r="C57" s="29" t="s">
        <v>114</v>
      </c>
      <c r="D57" s="345">
        <v>3189200000</v>
      </c>
      <c r="E57" s="188">
        <v>2242000000</v>
      </c>
      <c r="F57" s="202">
        <v>2690400000</v>
      </c>
      <c r="G57" s="225">
        <v>2756500000</v>
      </c>
      <c r="H57" s="222">
        <f t="shared" si="18"/>
        <v>2.4568837347606304E-2</v>
      </c>
      <c r="I57" s="27">
        <v>224200000</v>
      </c>
      <c r="J57" s="27">
        <f>220200000+22020000</f>
        <v>242220000</v>
      </c>
      <c r="K57" s="27">
        <v>220200000</v>
      </c>
      <c r="L57" s="27">
        <f>K57+22020000*2</f>
        <v>264240000</v>
      </c>
      <c r="M57" s="27">
        <f>220200000+22020000*1</f>
        <v>242220000</v>
      </c>
      <c r="N57" s="27">
        <v>220200000</v>
      </c>
      <c r="O57" s="27">
        <f t="shared" si="19"/>
        <v>220200000</v>
      </c>
      <c r="P57" s="27">
        <f t="shared" si="19"/>
        <v>220200000</v>
      </c>
      <c r="Q57" s="27">
        <f t="shared" si="19"/>
        <v>220200000</v>
      </c>
      <c r="R57" s="27">
        <f>Q57+22020000</f>
        <v>242220000</v>
      </c>
      <c r="S57" s="27">
        <v>220200000</v>
      </c>
      <c r="T57" s="27">
        <v>220200000</v>
      </c>
      <c r="U57" s="974" t="s">
        <v>1042</v>
      </c>
      <c r="V57" s="3">
        <v>3189200000</v>
      </c>
      <c r="W57" s="860"/>
    </row>
    <row r="58" spans="1:24" ht="25" customHeight="1" x14ac:dyDescent="0.35">
      <c r="A58" s="356" t="s">
        <v>107</v>
      </c>
      <c r="B58" s="30"/>
      <c r="C58" s="29" t="s">
        <v>106</v>
      </c>
      <c r="D58" s="345">
        <f>SUM(D59:D60)</f>
        <v>93600000</v>
      </c>
      <c r="E58" s="188">
        <v>78000000</v>
      </c>
      <c r="F58" s="202">
        <v>93600000</v>
      </c>
      <c r="G58" s="221">
        <v>98280000</v>
      </c>
      <c r="H58" s="222">
        <f t="shared" si="18"/>
        <v>0.05</v>
      </c>
      <c r="I58" s="27">
        <f t="shared" ref="I58:T58" si="20">SUM(I59:I60)</f>
        <v>8190000</v>
      </c>
      <c r="J58" s="27">
        <f t="shared" si="20"/>
        <v>8190000</v>
      </c>
      <c r="K58" s="27">
        <f t="shared" si="20"/>
        <v>8190000</v>
      </c>
      <c r="L58" s="27">
        <f t="shared" si="20"/>
        <v>8190000</v>
      </c>
      <c r="M58" s="27">
        <f t="shared" si="20"/>
        <v>8190000</v>
      </c>
      <c r="N58" s="27">
        <f t="shared" si="20"/>
        <v>8190000</v>
      </c>
      <c r="O58" s="27">
        <f t="shared" si="20"/>
        <v>8190000</v>
      </c>
      <c r="P58" s="27">
        <f t="shared" si="20"/>
        <v>8190000</v>
      </c>
      <c r="Q58" s="27">
        <f t="shared" si="20"/>
        <v>8190000</v>
      </c>
      <c r="R58" s="27">
        <f t="shared" si="20"/>
        <v>8190000</v>
      </c>
      <c r="S58" s="27">
        <f t="shared" si="20"/>
        <v>8190000</v>
      </c>
      <c r="T58" s="27">
        <f t="shared" si="20"/>
        <v>8190000</v>
      </c>
      <c r="U58" s="974"/>
      <c r="V58" s="3" t="s">
        <v>530</v>
      </c>
    </row>
    <row r="59" spans="1:24" ht="25" customHeight="1" x14ac:dyDescent="0.35">
      <c r="A59" s="357" t="s">
        <v>105</v>
      </c>
      <c r="B59" s="57">
        <v>6427203</v>
      </c>
      <c r="C59" s="70" t="s">
        <v>104</v>
      </c>
      <c r="D59" s="346">
        <v>93600000</v>
      </c>
      <c r="E59" s="188">
        <v>78000000</v>
      </c>
      <c r="F59" s="203">
        <v>93600000</v>
      </c>
      <c r="G59" s="226">
        <v>98280000</v>
      </c>
      <c r="H59" s="227">
        <f t="shared" si="18"/>
        <v>0.05</v>
      </c>
      <c r="I59" s="55">
        <f>7800000*1.05</f>
        <v>8190000</v>
      </c>
      <c r="J59" s="55">
        <f>I59</f>
        <v>8190000</v>
      </c>
      <c r="K59" s="55">
        <f>J59</f>
        <v>8190000</v>
      </c>
      <c r="L59" s="55">
        <f>K59</f>
        <v>8190000</v>
      </c>
      <c r="M59" s="55">
        <f>L59</f>
        <v>8190000</v>
      </c>
      <c r="N59" s="55">
        <f t="shared" ref="N59:T59" si="21">M59</f>
        <v>8190000</v>
      </c>
      <c r="O59" s="55">
        <f t="shared" si="21"/>
        <v>8190000</v>
      </c>
      <c r="P59" s="55">
        <f t="shared" si="21"/>
        <v>8190000</v>
      </c>
      <c r="Q59" s="55">
        <f t="shared" si="21"/>
        <v>8190000</v>
      </c>
      <c r="R59" s="55">
        <f t="shared" si="21"/>
        <v>8190000</v>
      </c>
      <c r="S59" s="55">
        <f t="shared" si="21"/>
        <v>8190000</v>
      </c>
      <c r="T59" s="55">
        <f t="shared" si="21"/>
        <v>8190000</v>
      </c>
      <c r="U59" s="976" t="s">
        <v>514</v>
      </c>
      <c r="V59" s="3"/>
    </row>
    <row r="60" spans="1:24" ht="25" customHeight="1" x14ac:dyDescent="0.35">
      <c r="A60" s="357" t="s">
        <v>103</v>
      </c>
      <c r="B60" s="57">
        <v>6427203</v>
      </c>
      <c r="C60" s="70" t="s">
        <v>102</v>
      </c>
      <c r="D60" s="346">
        <v>0</v>
      </c>
      <c r="E60" s="188">
        <v>0</v>
      </c>
      <c r="F60" s="203">
        <v>0</v>
      </c>
      <c r="G60" s="226">
        <v>0</v>
      </c>
      <c r="H60" s="227">
        <f t="shared" si="18"/>
        <v>0</v>
      </c>
      <c r="I60" s="55">
        <v>0</v>
      </c>
      <c r="J60" s="55">
        <v>0</v>
      </c>
      <c r="K60" s="55">
        <v>0</v>
      </c>
      <c r="L60" s="55">
        <v>0</v>
      </c>
      <c r="M60" s="55">
        <v>0</v>
      </c>
      <c r="N60" s="55">
        <v>0</v>
      </c>
      <c r="O60" s="55">
        <v>0</v>
      </c>
      <c r="P60" s="55">
        <v>0</v>
      </c>
      <c r="Q60" s="55">
        <v>0</v>
      </c>
      <c r="R60" s="55">
        <v>0</v>
      </c>
      <c r="S60" s="55">
        <v>0</v>
      </c>
      <c r="T60" s="55">
        <v>0</v>
      </c>
      <c r="U60" s="976"/>
      <c r="V60" s="3"/>
    </row>
    <row r="61" spans="1:24" ht="25" customHeight="1" x14ac:dyDescent="0.35">
      <c r="A61" s="356" t="s">
        <v>101</v>
      </c>
      <c r="B61" s="30">
        <v>6427204</v>
      </c>
      <c r="C61" s="29" t="s">
        <v>100</v>
      </c>
      <c r="D61" s="345">
        <v>177600000</v>
      </c>
      <c r="E61" s="188">
        <v>146000000</v>
      </c>
      <c r="F61" s="202">
        <v>178000000</v>
      </c>
      <c r="G61" s="225">
        <v>180000000</v>
      </c>
      <c r="H61" s="222">
        <f t="shared" si="18"/>
        <v>1.1235955056179775E-2</v>
      </c>
      <c r="I61" s="27">
        <v>15000000</v>
      </c>
      <c r="J61" s="27">
        <f>I61</f>
        <v>15000000</v>
      </c>
      <c r="K61" s="27">
        <f t="shared" ref="K61:T61" si="22">J61</f>
        <v>15000000</v>
      </c>
      <c r="L61" s="27">
        <f t="shared" si="22"/>
        <v>15000000</v>
      </c>
      <c r="M61" s="27">
        <f t="shared" si="22"/>
        <v>15000000</v>
      </c>
      <c r="N61" s="27">
        <f t="shared" si="22"/>
        <v>15000000</v>
      </c>
      <c r="O61" s="27">
        <f t="shared" si="22"/>
        <v>15000000</v>
      </c>
      <c r="P61" s="27">
        <f t="shared" si="22"/>
        <v>15000000</v>
      </c>
      <c r="Q61" s="27">
        <f t="shared" si="22"/>
        <v>15000000</v>
      </c>
      <c r="R61" s="27">
        <f t="shared" si="22"/>
        <v>15000000</v>
      </c>
      <c r="S61" s="27">
        <f t="shared" si="22"/>
        <v>15000000</v>
      </c>
      <c r="T61" s="27">
        <f t="shared" si="22"/>
        <v>15000000</v>
      </c>
      <c r="U61" s="974" t="s">
        <v>515</v>
      </c>
      <c r="V61" s="3">
        <v>177600000</v>
      </c>
    </row>
    <row r="62" spans="1:24" ht="25" customHeight="1" x14ac:dyDescent="0.35">
      <c r="A62" s="356" t="s">
        <v>97</v>
      </c>
      <c r="B62" s="30"/>
      <c r="C62" s="29" t="s">
        <v>96</v>
      </c>
      <c r="D62" s="345">
        <f>SUM(D63:D64)</f>
        <v>446363632</v>
      </c>
      <c r="E62" s="188">
        <v>371736360</v>
      </c>
      <c r="F62" s="202">
        <v>444463632.72727275</v>
      </c>
      <c r="G62" s="225">
        <v>592000000</v>
      </c>
      <c r="H62" s="222">
        <f t="shared" si="18"/>
        <v>0.33194249519905494</v>
      </c>
      <c r="I62" s="28">
        <f t="shared" ref="I62:T62" si="23">SUM(I63:I64)</f>
        <v>41000000</v>
      </c>
      <c r="J62" s="28">
        <f t="shared" si="23"/>
        <v>41000000</v>
      </c>
      <c r="K62" s="28">
        <f t="shared" si="23"/>
        <v>66000000</v>
      </c>
      <c r="L62" s="28">
        <f t="shared" si="23"/>
        <v>41000000</v>
      </c>
      <c r="M62" s="28">
        <f t="shared" si="23"/>
        <v>41000000</v>
      </c>
      <c r="N62" s="28">
        <f t="shared" si="23"/>
        <v>66000000</v>
      </c>
      <c r="O62" s="28">
        <f t="shared" si="23"/>
        <v>41000000</v>
      </c>
      <c r="P62" s="27">
        <f t="shared" si="23"/>
        <v>41000000</v>
      </c>
      <c r="Q62" s="28">
        <f t="shared" si="23"/>
        <v>66000000</v>
      </c>
      <c r="R62" s="28">
        <f t="shared" si="23"/>
        <v>41000000</v>
      </c>
      <c r="S62" s="28">
        <f t="shared" si="23"/>
        <v>41000000</v>
      </c>
      <c r="T62" s="28">
        <f t="shared" si="23"/>
        <v>66000000</v>
      </c>
      <c r="U62" s="974"/>
      <c r="V62" s="3" t="s">
        <v>530</v>
      </c>
    </row>
    <row r="63" spans="1:24" s="53" customFormat="1" ht="25" customHeight="1" x14ac:dyDescent="0.35">
      <c r="A63" s="357" t="s">
        <v>95</v>
      </c>
      <c r="B63" s="57">
        <v>6427205</v>
      </c>
      <c r="C63" s="70" t="s">
        <v>94</v>
      </c>
      <c r="D63" s="346">
        <v>436363632</v>
      </c>
      <c r="E63" s="188">
        <v>363636360</v>
      </c>
      <c r="F63" s="203">
        <v>436363632.72727275</v>
      </c>
      <c r="G63" s="226">
        <v>492000000</v>
      </c>
      <c r="H63" s="227">
        <f t="shared" si="18"/>
        <v>0.12750000939583336</v>
      </c>
      <c r="I63" s="55">
        <v>41000000</v>
      </c>
      <c r="J63" s="55">
        <f>I63</f>
        <v>41000000</v>
      </c>
      <c r="K63" s="55">
        <f t="shared" ref="K63:T63" si="24">J63</f>
        <v>41000000</v>
      </c>
      <c r="L63" s="55">
        <f t="shared" si="24"/>
        <v>41000000</v>
      </c>
      <c r="M63" s="55">
        <f t="shared" si="24"/>
        <v>41000000</v>
      </c>
      <c r="N63" s="55">
        <f t="shared" si="24"/>
        <v>41000000</v>
      </c>
      <c r="O63" s="55">
        <f t="shared" si="24"/>
        <v>41000000</v>
      </c>
      <c r="P63" s="55">
        <f t="shared" si="24"/>
        <v>41000000</v>
      </c>
      <c r="Q63" s="55">
        <f t="shared" si="24"/>
        <v>41000000</v>
      </c>
      <c r="R63" s="55">
        <f t="shared" si="24"/>
        <v>41000000</v>
      </c>
      <c r="S63" s="55">
        <f t="shared" si="24"/>
        <v>41000000</v>
      </c>
      <c r="T63" s="55">
        <f t="shared" si="24"/>
        <v>41000000</v>
      </c>
      <c r="U63" s="976"/>
      <c r="V63" s="54"/>
    </row>
    <row r="64" spans="1:24" s="53" customFormat="1" ht="25" customHeight="1" x14ac:dyDescent="0.35">
      <c r="A64" s="357" t="s">
        <v>93</v>
      </c>
      <c r="B64" s="57">
        <v>6427205</v>
      </c>
      <c r="C64" s="70" t="s">
        <v>92</v>
      </c>
      <c r="D64" s="346">
        <v>10000000</v>
      </c>
      <c r="E64" s="188">
        <v>8100000</v>
      </c>
      <c r="F64" s="203">
        <v>8100000</v>
      </c>
      <c r="G64" s="226">
        <v>100000000</v>
      </c>
      <c r="H64" s="227">
        <f t="shared" si="18"/>
        <v>11.345679012345679</v>
      </c>
      <c r="I64" s="55">
        <v>0</v>
      </c>
      <c r="J64" s="55">
        <v>0</v>
      </c>
      <c r="K64" s="55">
        <v>25000000</v>
      </c>
      <c r="L64" s="55">
        <v>0</v>
      </c>
      <c r="M64" s="55">
        <v>0</v>
      </c>
      <c r="N64" s="55">
        <v>25000000</v>
      </c>
      <c r="O64" s="55">
        <v>0</v>
      </c>
      <c r="P64" s="55"/>
      <c r="Q64" s="55">
        <v>25000000</v>
      </c>
      <c r="R64" s="55"/>
      <c r="S64" s="55">
        <v>0</v>
      </c>
      <c r="T64" s="55">
        <v>25000000</v>
      </c>
      <c r="U64" s="976"/>
      <c r="V64" s="54"/>
    </row>
    <row r="65" spans="1:24" ht="25" customHeight="1" x14ac:dyDescent="0.35">
      <c r="A65" s="356" t="s">
        <v>91</v>
      </c>
      <c r="B65" s="30">
        <v>6427206</v>
      </c>
      <c r="C65" s="29" t="s">
        <v>90</v>
      </c>
      <c r="D65" s="345">
        <v>45360000</v>
      </c>
      <c r="E65" s="188">
        <v>37800000</v>
      </c>
      <c r="F65" s="202">
        <v>45360000</v>
      </c>
      <c r="G65" s="225">
        <v>49896000.000000007</v>
      </c>
      <c r="H65" s="222">
        <f t="shared" si="18"/>
        <v>0.10000000000000016</v>
      </c>
      <c r="I65" s="27">
        <f>3780000*1.1</f>
        <v>4158000.0000000005</v>
      </c>
      <c r="J65" s="27">
        <f>I65</f>
        <v>4158000.0000000005</v>
      </c>
      <c r="K65" s="27">
        <f t="shared" ref="K65:T65" si="25">J65</f>
        <v>4158000.0000000005</v>
      </c>
      <c r="L65" s="27">
        <f t="shared" si="25"/>
        <v>4158000.0000000005</v>
      </c>
      <c r="M65" s="27">
        <f t="shared" si="25"/>
        <v>4158000.0000000005</v>
      </c>
      <c r="N65" s="27">
        <f t="shared" si="25"/>
        <v>4158000.0000000005</v>
      </c>
      <c r="O65" s="27">
        <f t="shared" si="25"/>
        <v>4158000.0000000005</v>
      </c>
      <c r="P65" s="27">
        <f t="shared" si="25"/>
        <v>4158000.0000000005</v>
      </c>
      <c r="Q65" s="27">
        <f t="shared" si="25"/>
        <v>4158000.0000000005</v>
      </c>
      <c r="R65" s="27">
        <f t="shared" si="25"/>
        <v>4158000.0000000005</v>
      </c>
      <c r="S65" s="27">
        <f t="shared" si="25"/>
        <v>4158000.0000000005</v>
      </c>
      <c r="T65" s="27">
        <f t="shared" si="25"/>
        <v>4158000.0000000005</v>
      </c>
      <c r="U65" s="974" t="s">
        <v>516</v>
      </c>
      <c r="V65" s="3" t="s">
        <v>530</v>
      </c>
    </row>
    <row r="66" spans="1:24" ht="25" customHeight="1" x14ac:dyDescent="0.35">
      <c r="A66" s="356" t="s">
        <v>89</v>
      </c>
      <c r="B66" s="30">
        <v>642801</v>
      </c>
      <c r="C66" s="29" t="s">
        <v>916</v>
      </c>
      <c r="D66" s="345">
        <v>90000000</v>
      </c>
      <c r="E66" s="188">
        <v>29991000</v>
      </c>
      <c r="F66" s="202">
        <v>34037000</v>
      </c>
      <c r="G66" s="225">
        <v>120000000</v>
      </c>
      <c r="H66" s="222">
        <f t="shared" si="18"/>
        <v>2.5255751094397274</v>
      </c>
      <c r="I66" s="27">
        <v>30000000</v>
      </c>
      <c r="J66" s="27">
        <v>0</v>
      </c>
      <c r="K66" s="27">
        <v>0</v>
      </c>
      <c r="L66" s="27">
        <v>0</v>
      </c>
      <c r="M66" s="27">
        <v>0</v>
      </c>
      <c r="N66" s="27">
        <v>0</v>
      </c>
      <c r="O66" s="27">
        <v>0</v>
      </c>
      <c r="P66" s="27">
        <v>0</v>
      </c>
      <c r="Q66" s="27">
        <v>30000000</v>
      </c>
      <c r="R66" s="27">
        <v>0</v>
      </c>
      <c r="S66" s="27">
        <v>0</v>
      </c>
      <c r="T66" s="27">
        <v>60000000</v>
      </c>
      <c r="U66" s="974" t="s">
        <v>917</v>
      </c>
      <c r="V66" s="3" t="s">
        <v>530</v>
      </c>
    </row>
    <row r="67" spans="1:24" ht="25" customHeight="1" x14ac:dyDescent="0.35">
      <c r="A67" s="356" t="s">
        <v>113</v>
      </c>
      <c r="B67" s="30">
        <v>6427211</v>
      </c>
      <c r="C67" s="29" t="s">
        <v>112</v>
      </c>
      <c r="D67" s="345">
        <v>81170796</v>
      </c>
      <c r="E67" s="188">
        <v>78369592</v>
      </c>
      <c r="F67" s="202">
        <v>90077908</v>
      </c>
      <c r="G67" s="225">
        <v>99672789.333333328</v>
      </c>
      <c r="H67" s="222">
        <f>IF(F67=0,0,(G67-F67)/F67)</f>
        <v>0.10651758623583185</v>
      </c>
      <c r="I67" s="27">
        <f>74754592/9</f>
        <v>8306065.777777778</v>
      </c>
      <c r="J67" s="27">
        <f t="shared" ref="J67:T67" si="26">$I$67</f>
        <v>8306065.777777778</v>
      </c>
      <c r="K67" s="27">
        <f t="shared" si="26"/>
        <v>8306065.777777778</v>
      </c>
      <c r="L67" s="27">
        <f t="shared" si="26"/>
        <v>8306065.777777778</v>
      </c>
      <c r="M67" s="27">
        <f t="shared" si="26"/>
        <v>8306065.777777778</v>
      </c>
      <c r="N67" s="27">
        <f t="shared" si="26"/>
        <v>8306065.777777778</v>
      </c>
      <c r="O67" s="27">
        <f t="shared" si="26"/>
        <v>8306065.777777778</v>
      </c>
      <c r="P67" s="27">
        <f t="shared" si="26"/>
        <v>8306065.777777778</v>
      </c>
      <c r="Q67" s="27">
        <f t="shared" si="26"/>
        <v>8306065.777777778</v>
      </c>
      <c r="R67" s="27">
        <f t="shared" si="26"/>
        <v>8306065.777777778</v>
      </c>
      <c r="S67" s="27">
        <f t="shared" si="26"/>
        <v>8306065.777777778</v>
      </c>
      <c r="T67" s="27">
        <f t="shared" si="26"/>
        <v>8306065.777777778</v>
      </c>
      <c r="U67" s="974" t="s">
        <v>517</v>
      </c>
      <c r="V67" s="3" t="s">
        <v>530</v>
      </c>
    </row>
    <row r="68" spans="1:24" ht="25" customHeight="1" x14ac:dyDescent="0.35">
      <c r="A68" s="356" t="s">
        <v>84</v>
      </c>
      <c r="B68" s="30">
        <v>6427209</v>
      </c>
      <c r="C68" s="29" t="s">
        <v>83</v>
      </c>
      <c r="D68" s="345">
        <v>492000000</v>
      </c>
      <c r="E68" s="188">
        <v>410000000</v>
      </c>
      <c r="F68" s="202">
        <v>492000000</v>
      </c>
      <c r="G68" s="225">
        <v>468000000</v>
      </c>
      <c r="H68" s="222">
        <f>IF(F68=0,0,(G68-F68)/F68)</f>
        <v>-4.878048780487805E-2</v>
      </c>
      <c r="I68" s="27">
        <v>39000000</v>
      </c>
      <c r="J68" s="27">
        <f t="shared" ref="J68:T69" si="27">I68</f>
        <v>39000000</v>
      </c>
      <c r="K68" s="27">
        <f t="shared" si="27"/>
        <v>39000000</v>
      </c>
      <c r="L68" s="27">
        <f t="shared" si="27"/>
        <v>39000000</v>
      </c>
      <c r="M68" s="27">
        <f t="shared" si="27"/>
        <v>39000000</v>
      </c>
      <c r="N68" s="27">
        <f t="shared" si="27"/>
        <v>39000000</v>
      </c>
      <c r="O68" s="27">
        <f t="shared" si="27"/>
        <v>39000000</v>
      </c>
      <c r="P68" s="27">
        <f t="shared" si="27"/>
        <v>39000000</v>
      </c>
      <c r="Q68" s="27">
        <f t="shared" si="27"/>
        <v>39000000</v>
      </c>
      <c r="R68" s="27">
        <f t="shared" si="27"/>
        <v>39000000</v>
      </c>
      <c r="S68" s="27">
        <f t="shared" si="27"/>
        <v>39000000</v>
      </c>
      <c r="T68" s="27">
        <f t="shared" si="27"/>
        <v>39000000</v>
      </c>
      <c r="U68" s="974"/>
      <c r="V68" s="3" t="s">
        <v>530</v>
      </c>
    </row>
    <row r="69" spans="1:24" ht="25" customHeight="1" x14ac:dyDescent="0.35">
      <c r="A69" s="356" t="s">
        <v>87</v>
      </c>
      <c r="B69" s="30">
        <v>6427207</v>
      </c>
      <c r="C69" s="29" t="s">
        <v>86</v>
      </c>
      <c r="D69" s="345">
        <v>445280000</v>
      </c>
      <c r="E69" s="188">
        <v>316081167.09090906</v>
      </c>
      <c r="F69" s="202">
        <v>387862233.09090906</v>
      </c>
      <c r="G69" s="225">
        <v>430686395.14285702</v>
      </c>
      <c r="H69" s="222">
        <f t="shared" si="18"/>
        <v>0.11041075515571172</v>
      </c>
      <c r="I69" s="27">
        <f>502467461/14</f>
        <v>35890532.928571425</v>
      </c>
      <c r="J69" s="27">
        <f>I69</f>
        <v>35890532.928571425</v>
      </c>
      <c r="K69" s="27">
        <f t="shared" si="27"/>
        <v>35890532.928571425</v>
      </c>
      <c r="L69" s="27">
        <f t="shared" si="27"/>
        <v>35890532.928571425</v>
      </c>
      <c r="M69" s="27">
        <f t="shared" si="27"/>
        <v>35890532.928571425</v>
      </c>
      <c r="N69" s="27">
        <f t="shared" si="27"/>
        <v>35890532.928571425</v>
      </c>
      <c r="O69" s="27">
        <f t="shared" si="27"/>
        <v>35890532.928571425</v>
      </c>
      <c r="P69" s="27">
        <f t="shared" si="27"/>
        <v>35890532.928571425</v>
      </c>
      <c r="Q69" s="27">
        <f t="shared" si="27"/>
        <v>35890532.928571425</v>
      </c>
      <c r="R69" s="27">
        <f t="shared" si="27"/>
        <v>35890532.928571425</v>
      </c>
      <c r="S69" s="27">
        <f t="shared" si="27"/>
        <v>35890532.928571425</v>
      </c>
      <c r="T69" s="27">
        <f t="shared" si="27"/>
        <v>35890532.928571425</v>
      </c>
      <c r="U69" s="974" t="s">
        <v>518</v>
      </c>
      <c r="V69" s="3" t="s">
        <v>530</v>
      </c>
    </row>
    <row r="70" spans="1:24" ht="25" customHeight="1" x14ac:dyDescent="0.35">
      <c r="A70" s="356" t="s">
        <v>111</v>
      </c>
      <c r="B70" s="30"/>
      <c r="C70" s="29" t="s">
        <v>110</v>
      </c>
      <c r="D70" s="345">
        <v>0</v>
      </c>
      <c r="E70" s="188">
        <v>0</v>
      </c>
      <c r="F70" s="202">
        <v>0</v>
      </c>
      <c r="G70" s="225">
        <v>374000000.00000006</v>
      </c>
      <c r="H70" s="222">
        <f>IF(F70=0,0,(G70-F70)/F70)</f>
        <v>0</v>
      </c>
      <c r="I70" s="27">
        <f>'[84]Budget Fro Aug To Dec2017'!O61/9</f>
        <v>0</v>
      </c>
      <c r="J70" s="27">
        <v>0</v>
      </c>
      <c r="K70" s="27">
        <v>0</v>
      </c>
      <c r="L70" s="27">
        <v>0</v>
      </c>
      <c r="M70" s="27">
        <v>0</v>
      </c>
      <c r="N70" s="27">
        <v>0</v>
      </c>
      <c r="O70" s="27">
        <v>0</v>
      </c>
      <c r="P70" s="27">
        <v>0</v>
      </c>
      <c r="Q70" s="27">
        <v>0</v>
      </c>
      <c r="R70" s="27">
        <v>0</v>
      </c>
      <c r="S70" s="27">
        <v>374000000.00000006</v>
      </c>
      <c r="T70" s="27">
        <v>0</v>
      </c>
      <c r="U70" s="974"/>
      <c r="V70" s="3" t="s">
        <v>535</v>
      </c>
    </row>
    <row r="71" spans="1:24" ht="25" customHeight="1" x14ac:dyDescent="0.35">
      <c r="A71" s="356" t="s">
        <v>99</v>
      </c>
      <c r="B71" s="30">
        <v>6427204</v>
      </c>
      <c r="C71" s="29" t="s">
        <v>98</v>
      </c>
      <c r="D71" s="345">
        <v>0</v>
      </c>
      <c r="E71" s="188">
        <v>11009091</v>
      </c>
      <c r="F71" s="202">
        <v>11009091</v>
      </c>
      <c r="G71" s="225">
        <v>9000000</v>
      </c>
      <c r="H71" s="222">
        <f>IF(F71=0,0,(G71-F71)/F71)</f>
        <v>-0.18249381352193383</v>
      </c>
      <c r="I71" s="27">
        <v>0</v>
      </c>
      <c r="J71" s="27">
        <v>0</v>
      </c>
      <c r="K71" s="27">
        <v>0</v>
      </c>
      <c r="L71" s="27">
        <v>3000000</v>
      </c>
      <c r="M71" s="27">
        <v>0</v>
      </c>
      <c r="N71" s="27">
        <v>0</v>
      </c>
      <c r="O71" s="27">
        <v>3000000</v>
      </c>
      <c r="P71" s="27">
        <v>0</v>
      </c>
      <c r="Q71" s="27">
        <v>0</v>
      </c>
      <c r="R71" s="27">
        <v>0</v>
      </c>
      <c r="S71" s="27">
        <v>3000000</v>
      </c>
      <c r="T71" s="27"/>
      <c r="U71" s="974"/>
      <c r="V71" s="3" t="s">
        <v>536</v>
      </c>
    </row>
    <row r="72" spans="1:24" ht="25" customHeight="1" x14ac:dyDescent="0.35">
      <c r="A72" s="356" t="s">
        <v>88</v>
      </c>
      <c r="B72" s="30">
        <v>642802</v>
      </c>
      <c r="C72" s="29" t="s">
        <v>233</v>
      </c>
      <c r="D72" s="345">
        <v>152800000</v>
      </c>
      <c r="E72" s="188">
        <v>96300388</v>
      </c>
      <c r="F72" s="200">
        <v>96300388</v>
      </c>
      <c r="G72" s="225">
        <v>73050000</v>
      </c>
      <c r="H72" s="222">
        <f>IF(F72=0,0,(G72-F72)/F72)</f>
        <v>-0.24143607811839762</v>
      </c>
      <c r="I72" s="27">
        <f>1000000+350000</f>
        <v>1350000</v>
      </c>
      <c r="J72" s="27">
        <v>1000000</v>
      </c>
      <c r="K72" s="27">
        <v>1000000</v>
      </c>
      <c r="L72" s="27">
        <f>1000000+350000</f>
        <v>1350000</v>
      </c>
      <c r="M72" s="27">
        <v>1000000</v>
      </c>
      <c r="N72" s="27">
        <v>1000000</v>
      </c>
      <c r="O72" s="27">
        <f>1000000+60000000</f>
        <v>61000000</v>
      </c>
      <c r="P72" s="27">
        <v>1000000</v>
      </c>
      <c r="Q72" s="27">
        <v>1000000</v>
      </c>
      <c r="R72" s="27">
        <f>1000000+350000</f>
        <v>1350000</v>
      </c>
      <c r="S72" s="27">
        <v>1000000</v>
      </c>
      <c r="T72" s="27">
        <v>1000000</v>
      </c>
      <c r="U72" s="974" t="s">
        <v>451</v>
      </c>
      <c r="V72" s="3" t="s">
        <v>530</v>
      </c>
    </row>
    <row r="73" spans="1:24" ht="25" customHeight="1" x14ac:dyDescent="0.35">
      <c r="A73" s="356" t="s">
        <v>85</v>
      </c>
      <c r="B73" s="30">
        <v>6427208</v>
      </c>
      <c r="C73" s="29" t="s">
        <v>234</v>
      </c>
      <c r="D73" s="345">
        <v>299607660</v>
      </c>
      <c r="E73" s="188">
        <v>271373362.54545456</v>
      </c>
      <c r="F73" s="202">
        <v>275165040.1168831</v>
      </c>
      <c r="G73" s="225">
        <v>22750065.428571433</v>
      </c>
      <c r="H73" s="222">
        <f t="shared" si="18"/>
        <v>-0.91732210814677695</v>
      </c>
      <c r="I73" s="27">
        <f>26541743/14</f>
        <v>1895838.7857142857</v>
      </c>
      <c r="J73" s="27">
        <f>I73</f>
        <v>1895838.7857142857</v>
      </c>
      <c r="K73" s="27">
        <f t="shared" ref="K73:T76" si="28">J73</f>
        <v>1895838.7857142857</v>
      </c>
      <c r="L73" s="27">
        <f t="shared" si="28"/>
        <v>1895838.7857142857</v>
      </c>
      <c r="M73" s="27">
        <f t="shared" si="28"/>
        <v>1895838.7857142857</v>
      </c>
      <c r="N73" s="27">
        <f t="shared" si="28"/>
        <v>1895838.7857142857</v>
      </c>
      <c r="O73" s="27">
        <f t="shared" si="28"/>
        <v>1895838.7857142857</v>
      </c>
      <c r="P73" s="27">
        <f t="shared" si="28"/>
        <v>1895838.7857142857</v>
      </c>
      <c r="Q73" s="27">
        <f t="shared" si="28"/>
        <v>1895838.7857142857</v>
      </c>
      <c r="R73" s="27">
        <f t="shared" si="28"/>
        <v>1895838.7857142857</v>
      </c>
      <c r="S73" s="27">
        <f t="shared" si="28"/>
        <v>1895838.7857142857</v>
      </c>
      <c r="T73" s="27">
        <f t="shared" si="28"/>
        <v>1895838.7857142857</v>
      </c>
      <c r="U73" s="974" t="s">
        <v>518</v>
      </c>
      <c r="V73" s="3" t="s">
        <v>530</v>
      </c>
    </row>
    <row r="74" spans="1:24" ht="25" customHeight="1" x14ac:dyDescent="0.35">
      <c r="A74" s="356" t="s">
        <v>82</v>
      </c>
      <c r="B74" s="30">
        <v>6427210</v>
      </c>
      <c r="C74" s="29" t="s">
        <v>81</v>
      </c>
      <c r="D74" s="345">
        <v>92400000</v>
      </c>
      <c r="E74" s="188">
        <v>73958400</v>
      </c>
      <c r="F74" s="202">
        <v>90183600</v>
      </c>
      <c r="G74" s="225">
        <v>48000000</v>
      </c>
      <c r="H74" s="222">
        <f t="shared" si="18"/>
        <v>-0.46775245166526952</v>
      </c>
      <c r="I74" s="27">
        <v>1500000</v>
      </c>
      <c r="J74" s="27">
        <f>I74</f>
        <v>1500000</v>
      </c>
      <c r="K74" s="27">
        <f t="shared" si="28"/>
        <v>1500000</v>
      </c>
      <c r="L74" s="27">
        <f>K74+500*60000</f>
        <v>31500000</v>
      </c>
      <c r="M74" s="27">
        <f>K74</f>
        <v>1500000</v>
      </c>
      <c r="N74" s="27">
        <f t="shared" si="28"/>
        <v>1500000</v>
      </c>
      <c r="O74" s="27">
        <f t="shared" si="28"/>
        <v>1500000</v>
      </c>
      <c r="P74" s="27">
        <f t="shared" si="28"/>
        <v>1500000</v>
      </c>
      <c r="Q74" s="27">
        <f t="shared" si="28"/>
        <v>1500000</v>
      </c>
      <c r="R74" s="27">
        <f t="shared" si="28"/>
        <v>1500000</v>
      </c>
      <c r="S74" s="27">
        <f t="shared" si="28"/>
        <v>1500000</v>
      </c>
      <c r="T74" s="27">
        <f t="shared" si="28"/>
        <v>1500000</v>
      </c>
      <c r="U74" s="974" t="s">
        <v>915</v>
      </c>
      <c r="V74" s="3" t="s">
        <v>530</v>
      </c>
    </row>
    <row r="75" spans="1:24" ht="25" customHeight="1" x14ac:dyDescent="0.35">
      <c r="A75" s="356" t="s">
        <v>109</v>
      </c>
      <c r="B75" s="30"/>
      <c r="C75" s="29" t="s">
        <v>108</v>
      </c>
      <c r="D75" s="345">
        <v>0</v>
      </c>
      <c r="E75" s="188">
        <v>0</v>
      </c>
      <c r="F75" s="202">
        <v>0</v>
      </c>
      <c r="G75" s="225">
        <v>0</v>
      </c>
      <c r="H75" s="222">
        <f>IF(F75=0,0,(G75-F75)/F75)</f>
        <v>0</v>
      </c>
      <c r="I75" s="27">
        <f>'[84]Budget Fro Aug To Dec2017'!O62/9</f>
        <v>0</v>
      </c>
      <c r="J75" s="27">
        <v>0</v>
      </c>
      <c r="K75" s="27">
        <v>0</v>
      </c>
      <c r="L75" s="27">
        <v>0</v>
      </c>
      <c r="M75" s="27">
        <v>0</v>
      </c>
      <c r="N75" s="27">
        <v>0</v>
      </c>
      <c r="O75" s="27">
        <v>0</v>
      </c>
      <c r="P75" s="27">
        <v>0</v>
      </c>
      <c r="Q75" s="27">
        <v>0</v>
      </c>
      <c r="R75" s="27">
        <v>0</v>
      </c>
      <c r="S75" s="27">
        <v>0</v>
      </c>
      <c r="T75" s="27">
        <v>0</v>
      </c>
      <c r="U75" s="974"/>
      <c r="V75" s="3"/>
    </row>
    <row r="76" spans="1:24" ht="25" customHeight="1" x14ac:dyDescent="0.35">
      <c r="A76" s="356" t="s">
        <v>1011</v>
      </c>
      <c r="B76" s="30">
        <v>6427210</v>
      </c>
      <c r="C76" s="29" t="s">
        <v>971</v>
      </c>
      <c r="D76" s="345"/>
      <c r="E76" s="188">
        <v>73958400</v>
      </c>
      <c r="F76" s="202"/>
      <c r="G76" s="225">
        <v>80000000</v>
      </c>
      <c r="H76" s="222">
        <f t="shared" si="18"/>
        <v>0</v>
      </c>
      <c r="I76" s="27">
        <v>0</v>
      </c>
      <c r="J76" s="27">
        <v>0</v>
      </c>
      <c r="K76" s="27">
        <v>8000000</v>
      </c>
      <c r="L76" s="27">
        <f>K76</f>
        <v>8000000</v>
      </c>
      <c r="M76" s="27">
        <f t="shared" ref="M76" si="29">L76</f>
        <v>8000000</v>
      </c>
      <c r="N76" s="27">
        <f t="shared" si="28"/>
        <v>8000000</v>
      </c>
      <c r="O76" s="27">
        <f t="shared" si="28"/>
        <v>8000000</v>
      </c>
      <c r="P76" s="27">
        <f t="shared" si="28"/>
        <v>8000000</v>
      </c>
      <c r="Q76" s="27">
        <f t="shared" si="28"/>
        <v>8000000</v>
      </c>
      <c r="R76" s="27">
        <f t="shared" si="28"/>
        <v>8000000</v>
      </c>
      <c r="S76" s="27">
        <f t="shared" si="28"/>
        <v>8000000</v>
      </c>
      <c r="T76" s="27">
        <f t="shared" si="28"/>
        <v>8000000</v>
      </c>
      <c r="U76" s="974"/>
      <c r="V76" s="3" t="s">
        <v>530</v>
      </c>
    </row>
    <row r="77" spans="1:24" ht="25" customHeight="1" x14ac:dyDescent="0.35">
      <c r="A77" s="52"/>
      <c r="B77" s="51"/>
      <c r="C77" s="50" t="s">
        <v>80</v>
      </c>
      <c r="D77" s="999">
        <f>SUM(D56:D58,D61:D62,D65:D76)</f>
        <v>8128082088</v>
      </c>
      <c r="E77" s="49">
        <v>6196119360.636364</v>
      </c>
      <c r="F77" s="999">
        <v>7326958892.9350653</v>
      </c>
      <c r="G77" s="49">
        <v>7827185249.9047613</v>
      </c>
      <c r="H77" s="986">
        <f t="shared" si="18"/>
        <v>6.8272029948473367E-2</v>
      </c>
      <c r="I77" s="49">
        <f t="shared" ref="I77:T77" si="30">SUM(I56:I58,I61:I62,I65:I76)</f>
        <v>607140437.49206352</v>
      </c>
      <c r="J77" s="49">
        <f t="shared" si="30"/>
        <v>660360437.49206352</v>
      </c>
      <c r="K77" s="49">
        <f t="shared" si="30"/>
        <v>605790437.49206352</v>
      </c>
      <c r="L77" s="49">
        <f t="shared" si="30"/>
        <v>658180437.49206352</v>
      </c>
      <c r="M77" s="49">
        <f t="shared" si="30"/>
        <v>602810437.49206352</v>
      </c>
      <c r="N77" s="49">
        <f t="shared" si="30"/>
        <v>605790437.49206352</v>
      </c>
      <c r="O77" s="49">
        <f t="shared" si="30"/>
        <v>643790437.49206352</v>
      </c>
      <c r="P77" s="49">
        <f t="shared" si="30"/>
        <v>580790437.49206352</v>
      </c>
      <c r="Q77" s="49">
        <f t="shared" si="30"/>
        <v>635790437.49206352</v>
      </c>
      <c r="R77" s="49">
        <f t="shared" si="30"/>
        <v>603160437.49206352</v>
      </c>
      <c r="S77" s="49">
        <f t="shared" si="30"/>
        <v>957790437.49206364</v>
      </c>
      <c r="T77" s="49">
        <f t="shared" si="30"/>
        <v>665790437.49206352</v>
      </c>
      <c r="U77" s="975"/>
      <c r="V77" s="3"/>
      <c r="X77" s="22"/>
    </row>
    <row r="78" spans="1:24" s="39" customFormat="1" ht="5.15" customHeight="1" x14ac:dyDescent="0.35">
      <c r="A78" s="358"/>
      <c r="B78" s="43"/>
      <c r="C78" s="69"/>
      <c r="D78" s="193"/>
      <c r="E78" s="69"/>
      <c r="F78" s="193"/>
      <c r="G78" s="61"/>
      <c r="H78" s="207"/>
      <c r="I78" s="61"/>
      <c r="J78" s="61"/>
      <c r="K78" s="61"/>
      <c r="L78" s="61"/>
      <c r="M78" s="61"/>
      <c r="N78" s="61"/>
      <c r="O78" s="61"/>
      <c r="P78" s="61"/>
      <c r="Q78" s="61"/>
      <c r="R78" s="101"/>
      <c r="S78" s="101"/>
      <c r="T78" s="101"/>
      <c r="U78" s="102"/>
      <c r="V78" s="40"/>
    </row>
    <row r="79" spans="1:24" s="58" customFormat="1" ht="25" customHeight="1" x14ac:dyDescent="0.35">
      <c r="A79" s="982" t="s">
        <v>79</v>
      </c>
      <c r="B79" s="998"/>
      <c r="C79" s="984" t="s">
        <v>1013</v>
      </c>
      <c r="D79" s="1000"/>
      <c r="E79" s="23"/>
      <c r="F79" s="1000"/>
      <c r="G79" s="31"/>
      <c r="H79" s="1002"/>
      <c r="I79" s="32"/>
      <c r="J79" s="32"/>
      <c r="K79" s="32"/>
      <c r="L79" s="32"/>
      <c r="M79" s="32"/>
      <c r="N79" s="32"/>
      <c r="O79" s="32"/>
      <c r="P79" s="32"/>
      <c r="Q79" s="32"/>
      <c r="R79" s="67"/>
      <c r="S79" s="67"/>
      <c r="T79" s="67"/>
      <c r="U79" s="627"/>
      <c r="V79" s="3"/>
    </row>
    <row r="80" spans="1:24" ht="25" customHeight="1" x14ac:dyDescent="0.35">
      <c r="A80" s="356" t="s">
        <v>77</v>
      </c>
      <c r="B80" s="30">
        <v>6427301</v>
      </c>
      <c r="C80" s="64" t="s">
        <v>76</v>
      </c>
      <c r="D80" s="345">
        <v>1800000</v>
      </c>
      <c r="E80" s="188">
        <v>1324100</v>
      </c>
      <c r="F80" s="202">
        <v>1324100</v>
      </c>
      <c r="G80" s="225">
        <v>31200000</v>
      </c>
      <c r="H80" s="222">
        <f t="shared" ref="H80:H112" si="31">IF(F80=0,0,(G80-F80)/F80)</f>
        <v>22.563174986783476</v>
      </c>
      <c r="I80" s="27">
        <f>'Depreciation - MF'!H11</f>
        <v>2500000</v>
      </c>
      <c r="J80" s="27">
        <f>'Depreciation - MF'!I11</f>
        <v>2500000</v>
      </c>
      <c r="K80" s="27">
        <f>'Depreciation - MF'!J11</f>
        <v>3100000</v>
      </c>
      <c r="L80" s="27">
        <f>'Depreciation - MF'!K11</f>
        <v>2500000</v>
      </c>
      <c r="M80" s="27">
        <f>'Depreciation - MF'!L11</f>
        <v>2500000</v>
      </c>
      <c r="N80" s="27">
        <f>'Depreciation - MF'!M11</f>
        <v>2500000</v>
      </c>
      <c r="O80" s="27">
        <f>'Depreciation - MF'!N11</f>
        <v>2500000</v>
      </c>
      <c r="P80" s="27">
        <f>'Depreciation - MF'!O11</f>
        <v>2500000</v>
      </c>
      <c r="Q80" s="27">
        <f>'Depreciation - MF'!P11</f>
        <v>3100000</v>
      </c>
      <c r="R80" s="27">
        <f>'Depreciation - MF'!Q11</f>
        <v>2500000</v>
      </c>
      <c r="S80" s="27">
        <f>'Depreciation - MF'!R11</f>
        <v>2500000</v>
      </c>
      <c r="T80" s="27">
        <f>'Depreciation - MF'!S11</f>
        <v>2500000</v>
      </c>
      <c r="U80" s="974"/>
      <c r="V80" s="3" t="s">
        <v>530</v>
      </c>
    </row>
    <row r="81" spans="1:22" s="66" customFormat="1" ht="25" customHeight="1" x14ac:dyDescent="0.35">
      <c r="A81" s="356" t="s">
        <v>75</v>
      </c>
      <c r="B81" s="30">
        <v>6427302</v>
      </c>
      <c r="C81" s="64" t="s">
        <v>74</v>
      </c>
      <c r="D81" s="345">
        <v>1410570000</v>
      </c>
      <c r="E81" s="188">
        <v>1259027000</v>
      </c>
      <c r="F81" s="202">
        <v>1548393000</v>
      </c>
      <c r="G81" s="221">
        <v>1673400000</v>
      </c>
      <c r="H81" s="222">
        <f t="shared" si="31"/>
        <v>8.0733379703989874E-2</v>
      </c>
      <c r="I81" s="27">
        <f>'Depreciation - MF'!H14</f>
        <v>131530000</v>
      </c>
      <c r="J81" s="27">
        <f>'Depreciation - MF'!I14</f>
        <v>131530000</v>
      </c>
      <c r="K81" s="27">
        <f>'Depreciation - MF'!J14</f>
        <v>131530000</v>
      </c>
      <c r="L81" s="27">
        <f>'Depreciation - MF'!K14</f>
        <v>142090000</v>
      </c>
      <c r="M81" s="27">
        <f>'Depreciation - MF'!L14</f>
        <v>142090000</v>
      </c>
      <c r="N81" s="27">
        <f>'Depreciation - MF'!M14</f>
        <v>142090000</v>
      </c>
      <c r="O81" s="27">
        <f>'Depreciation - MF'!N14</f>
        <v>142090000</v>
      </c>
      <c r="P81" s="27">
        <f>'Depreciation - MF'!O14</f>
        <v>142090000</v>
      </c>
      <c r="Q81" s="27">
        <f>'Depreciation - MF'!P14</f>
        <v>142090000</v>
      </c>
      <c r="R81" s="27">
        <f>'Depreciation - MF'!Q14</f>
        <v>142090000</v>
      </c>
      <c r="S81" s="27">
        <f>'Depreciation - MF'!R14</f>
        <v>142090000</v>
      </c>
      <c r="T81" s="27">
        <f>'Depreciation - MF'!S14</f>
        <v>142090000</v>
      </c>
      <c r="U81" s="974"/>
      <c r="V81" s="3" t="s">
        <v>530</v>
      </c>
    </row>
    <row r="82" spans="1:22" ht="25" customHeight="1" x14ac:dyDescent="0.35">
      <c r="A82" s="356" t="s">
        <v>73</v>
      </c>
      <c r="B82" s="30"/>
      <c r="C82" s="64" t="s">
        <v>72</v>
      </c>
      <c r="D82" s="345">
        <v>198950000</v>
      </c>
      <c r="E82" s="188">
        <v>60207300</v>
      </c>
      <c r="F82" s="202">
        <v>86707300</v>
      </c>
      <c r="G82" s="225">
        <v>275280000</v>
      </c>
      <c r="H82" s="222">
        <f t="shared" si="31"/>
        <v>2.1748191905410503</v>
      </c>
      <c r="I82" s="27">
        <f>SUM(I83:I84)</f>
        <v>22940000</v>
      </c>
      <c r="J82" s="27">
        <f t="shared" ref="J82:T82" si="32">SUM(J83:J84)</f>
        <v>22940000</v>
      </c>
      <c r="K82" s="27">
        <f t="shared" si="32"/>
        <v>22940000</v>
      </c>
      <c r="L82" s="27">
        <f t="shared" si="32"/>
        <v>22940000</v>
      </c>
      <c r="M82" s="27">
        <f t="shared" si="32"/>
        <v>22940000</v>
      </c>
      <c r="N82" s="27">
        <f t="shared" si="32"/>
        <v>22940000</v>
      </c>
      <c r="O82" s="27">
        <f t="shared" si="32"/>
        <v>22940000</v>
      </c>
      <c r="P82" s="27">
        <f t="shared" si="32"/>
        <v>22940000</v>
      </c>
      <c r="Q82" s="27">
        <f t="shared" si="32"/>
        <v>22940000</v>
      </c>
      <c r="R82" s="27">
        <f t="shared" si="32"/>
        <v>22940000</v>
      </c>
      <c r="S82" s="27">
        <f t="shared" si="32"/>
        <v>22940000</v>
      </c>
      <c r="T82" s="27">
        <f t="shared" si="32"/>
        <v>22940000</v>
      </c>
      <c r="U82" s="974"/>
      <c r="V82" s="5">
        <v>198950000</v>
      </c>
    </row>
    <row r="83" spans="1:22" s="53" customFormat="1" ht="25" customHeight="1" x14ac:dyDescent="0.35">
      <c r="A83" s="357" t="s">
        <v>71</v>
      </c>
      <c r="B83" s="57">
        <v>6427303</v>
      </c>
      <c r="C83" s="56" t="s">
        <v>70</v>
      </c>
      <c r="D83" s="346">
        <v>66000000</v>
      </c>
      <c r="E83" s="188">
        <v>49500000</v>
      </c>
      <c r="F83" s="203">
        <v>66000000</v>
      </c>
      <c r="G83" s="226">
        <v>71280000</v>
      </c>
      <c r="H83" s="227">
        <f t="shared" si="31"/>
        <v>0.08</v>
      </c>
      <c r="I83" s="55">
        <f>'Depreciation - MF'!H16</f>
        <v>5940000</v>
      </c>
      <c r="J83" s="55">
        <f>'Depreciation - MF'!I16</f>
        <v>5940000</v>
      </c>
      <c r="K83" s="55">
        <f>'Depreciation - MF'!J16</f>
        <v>5940000</v>
      </c>
      <c r="L83" s="55">
        <f>'Depreciation - MF'!K16</f>
        <v>5940000</v>
      </c>
      <c r="M83" s="55">
        <f>'Depreciation - MF'!L16</f>
        <v>5940000</v>
      </c>
      <c r="N83" s="55">
        <f>'Depreciation - MF'!M16</f>
        <v>5940000</v>
      </c>
      <c r="O83" s="55">
        <f>'Depreciation - MF'!N16</f>
        <v>5940000</v>
      </c>
      <c r="P83" s="27">
        <f>'Depreciation - MF'!O16</f>
        <v>5940000</v>
      </c>
      <c r="Q83" s="55">
        <f>'Depreciation - MF'!P16</f>
        <v>5940000</v>
      </c>
      <c r="R83" s="55">
        <f>'Depreciation - MF'!Q16</f>
        <v>5940000</v>
      </c>
      <c r="S83" s="55">
        <f>'Depreciation - MF'!R16</f>
        <v>5940000</v>
      </c>
      <c r="T83" s="55">
        <f>'Depreciation - MF'!S16</f>
        <v>5940000</v>
      </c>
      <c r="U83" s="976"/>
      <c r="V83" s="65"/>
    </row>
    <row r="84" spans="1:22" s="53" customFormat="1" ht="25" customHeight="1" x14ac:dyDescent="0.35">
      <c r="A84" s="357" t="s">
        <v>69</v>
      </c>
      <c r="B84" s="57">
        <v>6427303</v>
      </c>
      <c r="C84" s="56" t="s">
        <v>68</v>
      </c>
      <c r="D84" s="346">
        <f>D82-D83</f>
        <v>132950000</v>
      </c>
      <c r="E84" s="188">
        <v>10707300</v>
      </c>
      <c r="F84" s="203">
        <v>20707300</v>
      </c>
      <c r="G84" s="226">
        <v>204000000</v>
      </c>
      <c r="H84" s="227">
        <f t="shared" si="31"/>
        <v>8.8515982286440043</v>
      </c>
      <c r="I84" s="55">
        <f>SUM('Depreciation - MF'!H17:H22)</f>
        <v>17000000</v>
      </c>
      <c r="J84" s="55">
        <f>SUM('Depreciation - MF'!I17:I22)</f>
        <v>17000000</v>
      </c>
      <c r="K84" s="55">
        <f>SUM('Depreciation - MF'!J17:J22)</f>
        <v>17000000</v>
      </c>
      <c r="L84" s="55">
        <f>SUM('Depreciation - MF'!K17:K22)</f>
        <v>17000000</v>
      </c>
      <c r="M84" s="55">
        <f>SUM('Depreciation - MF'!L17:L22)</f>
        <v>17000000</v>
      </c>
      <c r="N84" s="55">
        <f>SUM('Depreciation - MF'!M17:M22)</f>
        <v>17000000</v>
      </c>
      <c r="O84" s="55">
        <f>SUM('Depreciation - MF'!N17:N22)</f>
        <v>17000000</v>
      </c>
      <c r="P84" s="27">
        <f>SUM('Depreciation - MF'!O17:O22)</f>
        <v>17000000</v>
      </c>
      <c r="Q84" s="55">
        <f>SUM('Depreciation - MF'!P17:P22)</f>
        <v>17000000</v>
      </c>
      <c r="R84" s="55">
        <f>SUM('Depreciation - MF'!Q17:Q22)</f>
        <v>17000000</v>
      </c>
      <c r="S84" s="55">
        <f>SUM('Depreciation - MF'!R17:R22)</f>
        <v>17000000</v>
      </c>
      <c r="T84" s="55">
        <f>SUM('Depreciation - MF'!S17:S22)</f>
        <v>17000000</v>
      </c>
      <c r="U84" s="976"/>
      <c r="V84" s="65"/>
    </row>
    <row r="85" spans="1:22" ht="25" customHeight="1" x14ac:dyDescent="0.35">
      <c r="A85" s="356" t="s">
        <v>67</v>
      </c>
      <c r="B85" s="30"/>
      <c r="C85" s="64" t="s">
        <v>66</v>
      </c>
      <c r="D85" s="345">
        <f>SUM(D86:D87)</f>
        <v>295262500</v>
      </c>
      <c r="E85" s="188">
        <v>151796875</v>
      </c>
      <c r="F85" s="202">
        <v>266798875</v>
      </c>
      <c r="G85" s="225">
        <v>444996000</v>
      </c>
      <c r="H85" s="222">
        <f t="shared" si="31"/>
        <v>0.66790808244599986</v>
      </c>
      <c r="I85" s="28">
        <f>SUM(I86:I87)</f>
        <v>37083000</v>
      </c>
      <c r="J85" s="28">
        <f t="shared" ref="J85:T85" si="33">SUM(J86:J87)</f>
        <v>37083000</v>
      </c>
      <c r="K85" s="28">
        <f t="shared" si="33"/>
        <v>37083000</v>
      </c>
      <c r="L85" s="28">
        <f t="shared" si="33"/>
        <v>37083000</v>
      </c>
      <c r="M85" s="28">
        <f t="shared" si="33"/>
        <v>37083000</v>
      </c>
      <c r="N85" s="28">
        <f t="shared" si="33"/>
        <v>37083000</v>
      </c>
      <c r="O85" s="28">
        <f t="shared" si="33"/>
        <v>37083000</v>
      </c>
      <c r="P85" s="27">
        <f t="shared" si="33"/>
        <v>37083000</v>
      </c>
      <c r="Q85" s="28">
        <f t="shared" si="33"/>
        <v>37083000</v>
      </c>
      <c r="R85" s="28">
        <f t="shared" si="33"/>
        <v>37083000</v>
      </c>
      <c r="S85" s="28">
        <f>SUM(S86:S87)</f>
        <v>37083000</v>
      </c>
      <c r="T85" s="28">
        <f t="shared" si="33"/>
        <v>37083000</v>
      </c>
      <c r="U85" s="974"/>
      <c r="V85" s="3" t="s">
        <v>530</v>
      </c>
    </row>
    <row r="86" spans="1:22" s="53" customFormat="1" ht="25" customHeight="1" x14ac:dyDescent="0.35">
      <c r="A86" s="357" t="s">
        <v>65</v>
      </c>
      <c r="B86" s="57">
        <v>6427304</v>
      </c>
      <c r="C86" s="56" t="s">
        <v>64</v>
      </c>
      <c r="D86" s="346">
        <v>227812500</v>
      </c>
      <c r="E86" s="188">
        <v>125296875.00000001</v>
      </c>
      <c r="F86" s="319">
        <v>125296875.00000001</v>
      </c>
      <c r="G86" s="320">
        <v>250000000.00000003</v>
      </c>
      <c r="H86" s="227">
        <f t="shared" si="31"/>
        <v>0.99526125452051373</v>
      </c>
      <c r="I86" s="55">
        <f>'Depreciation - MF'!H25</f>
        <v>20833333.333333332</v>
      </c>
      <c r="J86" s="55">
        <f>'Depreciation - MF'!I25</f>
        <v>20833333.333333332</v>
      </c>
      <c r="K86" s="55">
        <f>'Depreciation - MF'!J25</f>
        <v>20833333.333333332</v>
      </c>
      <c r="L86" s="55">
        <f>'Depreciation - MF'!K25</f>
        <v>20833333.333333332</v>
      </c>
      <c r="M86" s="55">
        <f>'Depreciation - MF'!L25</f>
        <v>20833333.333333332</v>
      </c>
      <c r="N86" s="55">
        <f>'Depreciation - MF'!M25</f>
        <v>20833333.333333332</v>
      </c>
      <c r="O86" s="55">
        <f>'Depreciation - MF'!N25</f>
        <v>20833333.333333332</v>
      </c>
      <c r="P86" s="27">
        <f>'Depreciation - MF'!O25</f>
        <v>20833333.333333332</v>
      </c>
      <c r="Q86" s="55">
        <f>'Depreciation - MF'!P25</f>
        <v>20833333.333333332</v>
      </c>
      <c r="R86" s="55">
        <f>'Depreciation - MF'!Q25</f>
        <v>20833333.333333332</v>
      </c>
      <c r="S86" s="55">
        <f>'Depreciation - MF'!R25</f>
        <v>20833333.333333332</v>
      </c>
      <c r="T86" s="55">
        <f>'Depreciation - MF'!S25</f>
        <v>20833333.333333332</v>
      </c>
      <c r="U86" s="976"/>
      <c r="V86" s="54"/>
    </row>
    <row r="87" spans="1:22" s="53" customFormat="1" ht="25" customHeight="1" x14ac:dyDescent="0.35">
      <c r="A87" s="357" t="s">
        <v>63</v>
      </c>
      <c r="B87" s="57">
        <v>6427304</v>
      </c>
      <c r="C87" s="56" t="s">
        <v>62</v>
      </c>
      <c r="D87" s="346">
        <v>67450000</v>
      </c>
      <c r="E87" s="188">
        <v>26500000</v>
      </c>
      <c r="F87" s="203">
        <v>141502000</v>
      </c>
      <c r="G87" s="226">
        <v>194996000</v>
      </c>
      <c r="H87" s="227">
        <f t="shared" si="31"/>
        <v>0.37804412658478326</v>
      </c>
      <c r="I87" s="55">
        <f>SUM('Depreciation - MF'!H26:H33)</f>
        <v>16249666.666666668</v>
      </c>
      <c r="J87" s="55">
        <f>SUM('Depreciation - MF'!I26:I33)</f>
        <v>16249666.666666668</v>
      </c>
      <c r="K87" s="55">
        <f>SUM('Depreciation - MF'!J26:J33)</f>
        <v>16249666.666666668</v>
      </c>
      <c r="L87" s="55">
        <f>SUM('Depreciation - MF'!K26:K33)</f>
        <v>16249666.666666668</v>
      </c>
      <c r="M87" s="55">
        <f>SUM('Depreciation - MF'!L26:L33)</f>
        <v>16249666.666666668</v>
      </c>
      <c r="N87" s="55">
        <f>SUM('Depreciation - MF'!M26:M33)</f>
        <v>16249666.666666668</v>
      </c>
      <c r="O87" s="55">
        <f>SUM('Depreciation - MF'!N26:N33)</f>
        <v>16249666.666666668</v>
      </c>
      <c r="P87" s="27">
        <f>SUM('Depreciation - MF'!O26:O33)</f>
        <v>16249666.666666668</v>
      </c>
      <c r="Q87" s="55">
        <f>SUM('Depreciation - MF'!P26:P33)</f>
        <v>16249666.666666668</v>
      </c>
      <c r="R87" s="55">
        <f>SUM('Depreciation - MF'!Q26:Q33)</f>
        <v>16249666.666666668</v>
      </c>
      <c r="S87" s="55">
        <f>SUM('Depreciation - MF'!R26:R33)</f>
        <v>16249666.666666668</v>
      </c>
      <c r="T87" s="55">
        <f>SUM('Depreciation - MF'!S26:S33)</f>
        <v>16249666.666666668</v>
      </c>
      <c r="U87" s="976"/>
      <c r="V87" s="54"/>
    </row>
    <row r="88" spans="1:22" ht="25" customHeight="1" x14ac:dyDescent="0.35">
      <c r="A88" s="356" t="s">
        <v>61</v>
      </c>
      <c r="B88" s="30">
        <v>6427305</v>
      </c>
      <c r="C88" s="64" t="s">
        <v>60</v>
      </c>
      <c r="D88" s="345">
        <v>44700000</v>
      </c>
      <c r="E88" s="188">
        <v>70755691</v>
      </c>
      <c r="F88" s="202">
        <v>81595691</v>
      </c>
      <c r="G88" s="225">
        <v>190300000</v>
      </c>
      <c r="H88" s="222">
        <f t="shared" si="31"/>
        <v>1.3322309997963004</v>
      </c>
      <c r="I88" s="27">
        <f>'Depreciation - MF'!H43</f>
        <v>15858333.333333332</v>
      </c>
      <c r="J88" s="27">
        <f>'Depreciation - MF'!I43</f>
        <v>15858333.333333332</v>
      </c>
      <c r="K88" s="27">
        <f>'Depreciation - MF'!J43</f>
        <v>15858333.333333332</v>
      </c>
      <c r="L88" s="27">
        <f>'Depreciation - MF'!K43</f>
        <v>15858333.333333332</v>
      </c>
      <c r="M88" s="27">
        <f>'Depreciation - MF'!L43</f>
        <v>15858333.333333332</v>
      </c>
      <c r="N88" s="27">
        <f>'Depreciation - MF'!M43</f>
        <v>15858333.333333332</v>
      </c>
      <c r="O88" s="27">
        <f>'Depreciation - MF'!N43</f>
        <v>15858333.333333332</v>
      </c>
      <c r="P88" s="27">
        <f>'Depreciation - MF'!O43</f>
        <v>15858333.333333332</v>
      </c>
      <c r="Q88" s="27">
        <f>'Depreciation - MF'!P43</f>
        <v>15858333.333333332</v>
      </c>
      <c r="R88" s="27">
        <f>'Depreciation - MF'!Q43</f>
        <v>15858333.333333332</v>
      </c>
      <c r="S88" s="27">
        <f>'Depreciation - MF'!R43</f>
        <v>15858333.333333332</v>
      </c>
      <c r="T88" s="27">
        <f>'Depreciation - MF'!S43</f>
        <v>15858333.333333332</v>
      </c>
      <c r="U88" s="974"/>
      <c r="V88" s="3" t="s">
        <v>530</v>
      </c>
    </row>
    <row r="89" spans="1:22" ht="25" customHeight="1" x14ac:dyDescent="0.35">
      <c r="A89" s="356" t="s">
        <v>59</v>
      </c>
      <c r="B89" s="30">
        <v>6427306</v>
      </c>
      <c r="C89" s="64" t="s">
        <v>58</v>
      </c>
      <c r="D89" s="345">
        <v>58010000</v>
      </c>
      <c r="E89" s="188">
        <v>72098000</v>
      </c>
      <c r="F89" s="202">
        <v>277111444</v>
      </c>
      <c r="G89" s="225">
        <v>388050000.00000006</v>
      </c>
      <c r="H89" s="222">
        <f t="shared" si="31"/>
        <v>0.4003391357594025</v>
      </c>
      <c r="I89" s="27">
        <f>'Depreciation - MF'!H55</f>
        <v>32337500.000000004</v>
      </c>
      <c r="J89" s="27">
        <f>'Depreciation - MF'!I55</f>
        <v>32337500.000000004</v>
      </c>
      <c r="K89" s="27">
        <f>'Depreciation - MF'!J55</f>
        <v>32337500.000000004</v>
      </c>
      <c r="L89" s="27">
        <f>'Depreciation - MF'!K55</f>
        <v>32337500.000000004</v>
      </c>
      <c r="M89" s="27">
        <f>'Depreciation - MF'!L55</f>
        <v>32337500.000000004</v>
      </c>
      <c r="N89" s="27">
        <f>'Depreciation - MF'!M55</f>
        <v>32337500.000000004</v>
      </c>
      <c r="O89" s="27">
        <f>'Depreciation - MF'!N55</f>
        <v>32337500.000000004</v>
      </c>
      <c r="P89" s="27">
        <f>'Depreciation - MF'!O55</f>
        <v>32337500.000000004</v>
      </c>
      <c r="Q89" s="27">
        <f>'Depreciation - MF'!P55</f>
        <v>32337500.000000004</v>
      </c>
      <c r="R89" s="27">
        <f>'Depreciation - MF'!Q55</f>
        <v>32337500.000000004</v>
      </c>
      <c r="S89" s="27">
        <f>'Depreciation - MF'!R55</f>
        <v>32337500.000000004</v>
      </c>
      <c r="T89" s="27">
        <f>'Depreciation - MF'!S55</f>
        <v>32337500.000000004</v>
      </c>
      <c r="U89" s="974"/>
      <c r="V89" s="3" t="s">
        <v>530</v>
      </c>
    </row>
    <row r="90" spans="1:22" ht="25" customHeight="1" x14ac:dyDescent="0.35">
      <c r="A90" s="356" t="s">
        <v>57</v>
      </c>
      <c r="B90" s="30">
        <v>6427307</v>
      </c>
      <c r="C90" s="64" t="s">
        <v>56</v>
      </c>
      <c r="D90" s="345">
        <v>242430000</v>
      </c>
      <c r="E90" s="188">
        <v>163224601</v>
      </c>
      <c r="F90" s="202">
        <v>214724601</v>
      </c>
      <c r="G90" s="225">
        <v>363249999.99999994</v>
      </c>
      <c r="H90" s="222">
        <f t="shared" si="31"/>
        <v>0.69170182786833978</v>
      </c>
      <c r="I90" s="27">
        <f>'Depreciation - MF'!H69</f>
        <v>30270833.333333332</v>
      </c>
      <c r="J90" s="27">
        <f>'Depreciation - MF'!I69</f>
        <v>30270833.333333332</v>
      </c>
      <c r="K90" s="27">
        <f>'Depreciation - MF'!J69</f>
        <v>30270833.333333332</v>
      </c>
      <c r="L90" s="27">
        <f>'Depreciation - MF'!K69</f>
        <v>30270833.333333332</v>
      </c>
      <c r="M90" s="27">
        <f>'Depreciation - MF'!L69</f>
        <v>30270833.333333332</v>
      </c>
      <c r="N90" s="27">
        <f>'Depreciation - MF'!M69</f>
        <v>30270833.333333332</v>
      </c>
      <c r="O90" s="27">
        <f>'Depreciation - MF'!N69</f>
        <v>30270833.333333332</v>
      </c>
      <c r="P90" s="27">
        <f>'Depreciation - MF'!O69</f>
        <v>30270833.333333332</v>
      </c>
      <c r="Q90" s="27">
        <f>'Depreciation - MF'!P69</f>
        <v>30270833.333333332</v>
      </c>
      <c r="R90" s="27">
        <f>'Depreciation - MF'!Q69</f>
        <v>30270833.333333332</v>
      </c>
      <c r="S90" s="27">
        <f>'Depreciation - MF'!R69</f>
        <v>30270833.333333332</v>
      </c>
      <c r="T90" s="27">
        <f>'Depreciation - MF'!S69</f>
        <v>30270833.333333332</v>
      </c>
      <c r="U90" s="974"/>
      <c r="V90" s="3" t="s">
        <v>530</v>
      </c>
    </row>
    <row r="91" spans="1:22" ht="25" customHeight="1" x14ac:dyDescent="0.35">
      <c r="A91" s="356" t="s">
        <v>55</v>
      </c>
      <c r="B91" s="30"/>
      <c r="C91" s="64" t="s">
        <v>54</v>
      </c>
      <c r="D91" s="345">
        <f>SUM(D92:D93)</f>
        <v>356800000</v>
      </c>
      <c r="E91" s="188">
        <v>203600500</v>
      </c>
      <c r="F91" s="202">
        <v>366714000</v>
      </c>
      <c r="G91" s="225">
        <v>437560000</v>
      </c>
      <c r="H91" s="222">
        <f t="shared" si="31"/>
        <v>0.19319142437976189</v>
      </c>
      <c r="I91" s="28">
        <f t="shared" ref="I91:T91" si="34">SUM(I92:I93)</f>
        <v>36463333.333333328</v>
      </c>
      <c r="J91" s="28">
        <f t="shared" si="34"/>
        <v>36463333.333333328</v>
      </c>
      <c r="K91" s="28">
        <f t="shared" si="34"/>
        <v>36463333.333333328</v>
      </c>
      <c r="L91" s="28">
        <f t="shared" si="34"/>
        <v>36463333.333333328</v>
      </c>
      <c r="M91" s="28">
        <f t="shared" si="34"/>
        <v>36463333.333333328</v>
      </c>
      <c r="N91" s="28">
        <f t="shared" si="34"/>
        <v>36463333.333333328</v>
      </c>
      <c r="O91" s="28">
        <f t="shared" si="34"/>
        <v>36463333.333333328</v>
      </c>
      <c r="P91" s="27">
        <f t="shared" si="34"/>
        <v>36463333.333333328</v>
      </c>
      <c r="Q91" s="28">
        <f t="shared" si="34"/>
        <v>36463333.333333328</v>
      </c>
      <c r="R91" s="28">
        <f t="shared" si="34"/>
        <v>36463333.333333328</v>
      </c>
      <c r="S91" s="28">
        <f t="shared" si="34"/>
        <v>36463333.333333328</v>
      </c>
      <c r="T91" s="28">
        <f t="shared" si="34"/>
        <v>36463333.333333328</v>
      </c>
      <c r="U91" s="974"/>
      <c r="V91" s="3" t="s">
        <v>530</v>
      </c>
    </row>
    <row r="92" spans="1:22" s="53" customFormat="1" ht="25" customHeight="1" x14ac:dyDescent="0.35">
      <c r="A92" s="357" t="s">
        <v>53</v>
      </c>
      <c r="B92" s="57">
        <v>6427308</v>
      </c>
      <c r="C92" s="56" t="s">
        <v>52</v>
      </c>
      <c r="D92" s="346">
        <v>84800000</v>
      </c>
      <c r="E92" s="188">
        <v>0</v>
      </c>
      <c r="F92" s="203">
        <v>0</v>
      </c>
      <c r="G92" s="226">
        <v>264000000</v>
      </c>
      <c r="H92" s="227">
        <f t="shared" si="31"/>
        <v>0</v>
      </c>
      <c r="I92" s="55">
        <f>'Depreciation - MF'!H71</f>
        <v>22000000</v>
      </c>
      <c r="J92" s="55">
        <f>'Depreciation - MF'!I71</f>
        <v>22000000</v>
      </c>
      <c r="K92" s="55">
        <f>'Depreciation - MF'!J71</f>
        <v>22000000</v>
      </c>
      <c r="L92" s="55">
        <f>'Depreciation - MF'!K71</f>
        <v>22000000</v>
      </c>
      <c r="M92" s="55">
        <f>'Depreciation - MF'!L71</f>
        <v>22000000</v>
      </c>
      <c r="N92" s="55">
        <f>'Depreciation - MF'!M71</f>
        <v>22000000</v>
      </c>
      <c r="O92" s="55">
        <f>'Depreciation - MF'!N71</f>
        <v>22000000</v>
      </c>
      <c r="P92" s="55">
        <f>'Depreciation - MF'!O71</f>
        <v>22000000</v>
      </c>
      <c r="Q92" s="55">
        <f>'Depreciation - MF'!P71</f>
        <v>22000000</v>
      </c>
      <c r="R92" s="55">
        <f>'Depreciation - MF'!Q71</f>
        <v>22000000</v>
      </c>
      <c r="S92" s="55">
        <f>'Depreciation - MF'!R71</f>
        <v>22000000</v>
      </c>
      <c r="T92" s="55">
        <f>'Depreciation - MF'!S71</f>
        <v>22000000</v>
      </c>
      <c r="U92" s="976" t="s">
        <v>521</v>
      </c>
      <c r="V92" s="54"/>
    </row>
    <row r="93" spans="1:22" s="53" customFormat="1" ht="25" customHeight="1" x14ac:dyDescent="0.35">
      <c r="A93" s="357" t="s">
        <v>51</v>
      </c>
      <c r="B93" s="57">
        <v>6427308</v>
      </c>
      <c r="C93" s="56" t="s">
        <v>50</v>
      </c>
      <c r="D93" s="346">
        <v>272000000</v>
      </c>
      <c r="E93" s="188">
        <v>203600500</v>
      </c>
      <c r="F93" s="203">
        <v>366714000</v>
      </c>
      <c r="G93" s="226">
        <v>173560000</v>
      </c>
      <c r="H93" s="227">
        <f t="shared" si="31"/>
        <v>-0.52671564216255717</v>
      </c>
      <c r="I93" s="55">
        <f>SUM('Depreciation - MF'!H72:H77)</f>
        <v>14463333.333333332</v>
      </c>
      <c r="J93" s="55">
        <f>SUM('Depreciation - MF'!I72:I77)</f>
        <v>14463333.333333332</v>
      </c>
      <c r="K93" s="55">
        <f>SUM('Depreciation - MF'!J72:J77)</f>
        <v>14463333.333333332</v>
      </c>
      <c r="L93" s="55">
        <f>SUM('Depreciation - MF'!K72:K77)</f>
        <v>14463333.333333332</v>
      </c>
      <c r="M93" s="55">
        <f>SUM('Depreciation - MF'!L72:L77)</f>
        <v>14463333.333333332</v>
      </c>
      <c r="N93" s="55">
        <f>SUM('Depreciation - MF'!M72:M77)</f>
        <v>14463333.333333332</v>
      </c>
      <c r="O93" s="55">
        <f>SUM('Depreciation - MF'!N72:N77)</f>
        <v>14463333.333333332</v>
      </c>
      <c r="P93" s="55">
        <f>SUM('Depreciation - MF'!O72:O77)</f>
        <v>14463333.333333332</v>
      </c>
      <c r="Q93" s="55">
        <f>SUM('Depreciation - MF'!P72:P77)</f>
        <v>14463333.333333332</v>
      </c>
      <c r="R93" s="55">
        <f>SUM('Depreciation - MF'!Q72:Q77)</f>
        <v>14463333.333333332</v>
      </c>
      <c r="S93" s="55">
        <f>SUM('Depreciation - MF'!R72:R77)</f>
        <v>14463333.333333332</v>
      </c>
      <c r="T93" s="55">
        <f>SUM('Depreciation - MF'!S72:S77)</f>
        <v>14463333.333333332</v>
      </c>
      <c r="U93" s="976"/>
      <c r="V93" s="54"/>
    </row>
    <row r="94" spans="1:22" ht="25" customHeight="1" x14ac:dyDescent="0.35">
      <c r="A94" s="356" t="s">
        <v>49</v>
      </c>
      <c r="B94" s="30"/>
      <c r="C94" s="64" t="s">
        <v>48</v>
      </c>
      <c r="D94" s="345">
        <f t="shared" ref="D94" si="35">SUM(D95:D96)</f>
        <v>253400000</v>
      </c>
      <c r="E94" s="188">
        <v>60521481</v>
      </c>
      <c r="F94" s="202">
        <v>60521481</v>
      </c>
      <c r="G94" s="225">
        <v>378900000.00000006</v>
      </c>
      <c r="H94" s="222">
        <f t="shared" si="31"/>
        <v>5.2605870467710476</v>
      </c>
      <c r="I94" s="28">
        <f t="shared" ref="I94:T94" si="36">SUM(I95:I96)</f>
        <v>31575000</v>
      </c>
      <c r="J94" s="28">
        <f t="shared" si="36"/>
        <v>31575000</v>
      </c>
      <c r="K94" s="28">
        <f t="shared" si="36"/>
        <v>31575000</v>
      </c>
      <c r="L94" s="28">
        <f t="shared" si="36"/>
        <v>31575000</v>
      </c>
      <c r="M94" s="28">
        <f t="shared" si="36"/>
        <v>31575000</v>
      </c>
      <c r="N94" s="28">
        <f t="shared" si="36"/>
        <v>31575000</v>
      </c>
      <c r="O94" s="28">
        <f t="shared" si="36"/>
        <v>31575000</v>
      </c>
      <c r="P94" s="27">
        <f t="shared" si="36"/>
        <v>31575000</v>
      </c>
      <c r="Q94" s="28">
        <f t="shared" si="36"/>
        <v>31575000</v>
      </c>
      <c r="R94" s="28">
        <f t="shared" si="36"/>
        <v>31575000</v>
      </c>
      <c r="S94" s="28">
        <f t="shared" si="36"/>
        <v>31575000</v>
      </c>
      <c r="T94" s="28">
        <f t="shared" si="36"/>
        <v>31575000</v>
      </c>
      <c r="U94" s="974"/>
      <c r="V94" s="3" t="s">
        <v>530</v>
      </c>
    </row>
    <row r="95" spans="1:22" s="53" customFormat="1" ht="25" customHeight="1" x14ac:dyDescent="0.35">
      <c r="A95" s="357" t="s">
        <v>47</v>
      </c>
      <c r="B95" s="57">
        <v>6427309</v>
      </c>
      <c r="C95" s="56" t="s">
        <v>46</v>
      </c>
      <c r="D95" s="346">
        <v>196400000</v>
      </c>
      <c r="E95" s="188">
        <v>0</v>
      </c>
      <c r="F95" s="203">
        <v>0</v>
      </c>
      <c r="G95" s="226">
        <v>130400000.00000001</v>
      </c>
      <c r="H95" s="227">
        <f t="shared" si="31"/>
        <v>0</v>
      </c>
      <c r="I95" s="55">
        <f>'Depreciation - MF'!H80</f>
        <v>10866666.666666666</v>
      </c>
      <c r="J95" s="55">
        <f>'Depreciation - MF'!I80</f>
        <v>10866666.666666666</v>
      </c>
      <c r="K95" s="55">
        <f>'Depreciation - MF'!J80</f>
        <v>10866666.666666666</v>
      </c>
      <c r="L95" s="55">
        <f>'Depreciation - MF'!K80</f>
        <v>10866666.666666666</v>
      </c>
      <c r="M95" s="55">
        <f>'Depreciation - MF'!L80</f>
        <v>10866666.666666666</v>
      </c>
      <c r="N95" s="55">
        <f>'Depreciation - MF'!M80</f>
        <v>10866666.666666666</v>
      </c>
      <c r="O95" s="55">
        <f>'Depreciation - MF'!N80</f>
        <v>10866666.666666666</v>
      </c>
      <c r="P95" s="27">
        <f>'Depreciation - MF'!O80</f>
        <v>10866666.666666666</v>
      </c>
      <c r="Q95" s="55">
        <f>'Depreciation - MF'!P80</f>
        <v>10866666.666666666</v>
      </c>
      <c r="R95" s="55">
        <f>'Depreciation - MF'!Q80</f>
        <v>10866666.666666666</v>
      </c>
      <c r="S95" s="55">
        <f>'Depreciation - MF'!R80</f>
        <v>10866666.666666666</v>
      </c>
      <c r="T95" s="55">
        <f>'Depreciation - MF'!S80</f>
        <v>10866666.666666666</v>
      </c>
      <c r="U95" s="976" t="s">
        <v>596</v>
      </c>
      <c r="V95" s="54"/>
    </row>
    <row r="96" spans="1:22" s="53" customFormat="1" ht="25" customHeight="1" x14ac:dyDescent="0.35">
      <c r="A96" s="357" t="s">
        <v>45</v>
      </c>
      <c r="B96" s="57">
        <v>6427309</v>
      </c>
      <c r="C96" s="56" t="s">
        <v>44</v>
      </c>
      <c r="D96" s="346">
        <v>57000000</v>
      </c>
      <c r="E96" s="188">
        <v>60521481</v>
      </c>
      <c r="F96" s="203">
        <v>60521481</v>
      </c>
      <c r="G96" s="226">
        <v>248500000.00000003</v>
      </c>
      <c r="H96" s="227">
        <f t="shared" si="31"/>
        <v>3.1059801560374907</v>
      </c>
      <c r="I96" s="55">
        <f>SUM('Depreciation - MF'!H81:H85)</f>
        <v>20708333.333333332</v>
      </c>
      <c r="J96" s="55">
        <f>SUM('Depreciation - MF'!I81:I85)</f>
        <v>20708333.333333332</v>
      </c>
      <c r="K96" s="55">
        <f>SUM('Depreciation - MF'!J81:J85)</f>
        <v>20708333.333333332</v>
      </c>
      <c r="L96" s="55">
        <f>SUM('Depreciation - MF'!K81:K85)</f>
        <v>20708333.333333332</v>
      </c>
      <c r="M96" s="55">
        <f>SUM('Depreciation - MF'!L81:L85)</f>
        <v>20708333.333333332</v>
      </c>
      <c r="N96" s="55">
        <f>SUM('Depreciation - MF'!M81:M85)</f>
        <v>20708333.333333332</v>
      </c>
      <c r="O96" s="55">
        <f>SUM('Depreciation - MF'!N81:N85)</f>
        <v>20708333.333333332</v>
      </c>
      <c r="P96" s="55">
        <f>SUM('Depreciation - MF'!O81:O85)</f>
        <v>20708333.333333332</v>
      </c>
      <c r="Q96" s="55">
        <f>SUM('Depreciation - MF'!P81:P85)</f>
        <v>20708333.333333332</v>
      </c>
      <c r="R96" s="55">
        <f>SUM('Depreciation - MF'!Q81:Q85)</f>
        <v>20708333.333333332</v>
      </c>
      <c r="S96" s="55">
        <f>SUM('Depreciation - MF'!R81:R85)</f>
        <v>20708333.333333332</v>
      </c>
      <c r="T96" s="55">
        <f>SUM('Depreciation - MF'!S81:S85)</f>
        <v>20708333.333333332</v>
      </c>
      <c r="U96" s="976"/>
      <c r="V96" s="54"/>
    </row>
    <row r="97" spans="1:22" ht="25" customHeight="1" x14ac:dyDescent="0.35">
      <c r="A97" s="356" t="s">
        <v>37</v>
      </c>
      <c r="B97" s="30"/>
      <c r="C97" s="64" t="s">
        <v>36</v>
      </c>
      <c r="D97" s="345">
        <f>SUM(D98:D99)</f>
        <v>229125000</v>
      </c>
      <c r="E97" s="188">
        <v>105806250.00000001</v>
      </c>
      <c r="F97" s="202">
        <v>105806250.00000001</v>
      </c>
      <c r="G97" s="225">
        <v>300000000</v>
      </c>
      <c r="H97" s="222">
        <f t="shared" si="31"/>
        <v>1.8353712564238878</v>
      </c>
      <c r="I97" s="28">
        <f>SUM(I98:I99)</f>
        <v>25000000</v>
      </c>
      <c r="J97" s="28">
        <f t="shared" ref="J97:T97" si="37">SUM(J98:J99)</f>
        <v>25000000</v>
      </c>
      <c r="K97" s="28">
        <f t="shared" si="37"/>
        <v>25000000</v>
      </c>
      <c r="L97" s="28">
        <f t="shared" si="37"/>
        <v>25000000</v>
      </c>
      <c r="M97" s="28">
        <f t="shared" si="37"/>
        <v>25000000</v>
      </c>
      <c r="N97" s="28">
        <f t="shared" si="37"/>
        <v>25000000</v>
      </c>
      <c r="O97" s="28">
        <f t="shared" si="37"/>
        <v>25000000</v>
      </c>
      <c r="P97" s="27">
        <f t="shared" si="37"/>
        <v>25000000</v>
      </c>
      <c r="Q97" s="28">
        <f t="shared" si="37"/>
        <v>25000000</v>
      </c>
      <c r="R97" s="28">
        <f t="shared" si="37"/>
        <v>25000000</v>
      </c>
      <c r="S97" s="28">
        <f t="shared" si="37"/>
        <v>25000000</v>
      </c>
      <c r="T97" s="28">
        <f t="shared" si="37"/>
        <v>25000000</v>
      </c>
      <c r="U97" s="974"/>
      <c r="V97" s="3" t="s">
        <v>530</v>
      </c>
    </row>
    <row r="98" spans="1:22" s="53" customFormat="1" ht="25" customHeight="1" x14ac:dyDescent="0.35">
      <c r="A98" s="357" t="s">
        <v>35</v>
      </c>
      <c r="B98" s="30">
        <v>6427311</v>
      </c>
      <c r="C98" s="56" t="s">
        <v>34</v>
      </c>
      <c r="D98" s="346">
        <v>192375000</v>
      </c>
      <c r="E98" s="188">
        <v>105806250.00000001</v>
      </c>
      <c r="F98" s="203">
        <v>105806250.00000001</v>
      </c>
      <c r="G98" s="226">
        <v>250000000.00000003</v>
      </c>
      <c r="H98" s="227">
        <f t="shared" si="31"/>
        <v>1.3628093803532397</v>
      </c>
      <c r="I98" s="55">
        <f>'Depreciation - MF'!H88</f>
        <v>20833333.333333332</v>
      </c>
      <c r="J98" s="55">
        <f>'Depreciation - MF'!I88</f>
        <v>20833333.333333332</v>
      </c>
      <c r="K98" s="55">
        <f>'Depreciation - MF'!J88</f>
        <v>20833333.333333332</v>
      </c>
      <c r="L98" s="55">
        <f>'Depreciation - MF'!K88</f>
        <v>20833333.333333332</v>
      </c>
      <c r="M98" s="55">
        <f>'Depreciation - MF'!L88</f>
        <v>20833333.333333332</v>
      </c>
      <c r="N98" s="55">
        <f>'Depreciation - MF'!M88</f>
        <v>20833333.333333332</v>
      </c>
      <c r="O98" s="55">
        <f>'Depreciation - MF'!N88</f>
        <v>20833333.333333332</v>
      </c>
      <c r="P98" s="27">
        <f>'Depreciation - MF'!O88</f>
        <v>20833333.333333332</v>
      </c>
      <c r="Q98" s="55">
        <f>'Depreciation - MF'!P88</f>
        <v>20833333.333333332</v>
      </c>
      <c r="R98" s="55">
        <f>'Depreciation - MF'!Q88</f>
        <v>20833333.333333332</v>
      </c>
      <c r="S98" s="55">
        <f>'Depreciation - MF'!R88</f>
        <v>20833333.333333332</v>
      </c>
      <c r="T98" s="55">
        <f>'Depreciation - MF'!S88</f>
        <v>20833333.333333332</v>
      </c>
      <c r="U98" s="976"/>
      <c r="V98" s="54"/>
    </row>
    <row r="99" spans="1:22" s="53" customFormat="1" ht="25" customHeight="1" x14ac:dyDescent="0.35">
      <c r="A99" s="357" t="s">
        <v>33</v>
      </c>
      <c r="B99" s="30">
        <v>6427311</v>
      </c>
      <c r="C99" s="56" t="s">
        <v>32</v>
      </c>
      <c r="D99" s="346">
        <v>36750000</v>
      </c>
      <c r="E99" s="188">
        <v>0</v>
      </c>
      <c r="F99" s="203">
        <v>0</v>
      </c>
      <c r="G99" s="226">
        <v>50000000</v>
      </c>
      <c r="H99" s="227">
        <f t="shared" si="31"/>
        <v>0</v>
      </c>
      <c r="I99" s="55">
        <f>SUM('Depreciation - MF'!H89:H90)</f>
        <v>4166666.666666667</v>
      </c>
      <c r="J99" s="55">
        <f>SUM('Depreciation - MF'!I89:I90)</f>
        <v>4166666.666666667</v>
      </c>
      <c r="K99" s="55">
        <f>SUM('Depreciation - MF'!J89:J90)</f>
        <v>4166666.666666667</v>
      </c>
      <c r="L99" s="55">
        <f>SUM('Depreciation - MF'!K89:K90)</f>
        <v>4166666.666666667</v>
      </c>
      <c r="M99" s="55">
        <f>SUM('Depreciation - MF'!L89:L90)</f>
        <v>4166666.666666667</v>
      </c>
      <c r="N99" s="55">
        <f>SUM('Depreciation - MF'!M89:M90)</f>
        <v>4166666.666666667</v>
      </c>
      <c r="O99" s="55">
        <f>SUM('Depreciation - MF'!N89:N90)</f>
        <v>4166666.666666667</v>
      </c>
      <c r="P99" s="27">
        <f>SUM('Depreciation - MF'!O89:O90)</f>
        <v>4166666.666666667</v>
      </c>
      <c r="Q99" s="55">
        <f>SUM('Depreciation - MF'!P89:P90)</f>
        <v>4166666.666666667</v>
      </c>
      <c r="R99" s="55">
        <f>SUM('Depreciation - MF'!Q89:Q90)</f>
        <v>4166666.666666667</v>
      </c>
      <c r="S99" s="55">
        <f>SUM('Depreciation - MF'!R89:R90)</f>
        <v>4166666.666666667</v>
      </c>
      <c r="T99" s="55">
        <f>SUM('Depreciation - MF'!S89:S90)</f>
        <v>4166666.666666667</v>
      </c>
      <c r="U99" s="976"/>
      <c r="V99" s="54"/>
    </row>
    <row r="100" spans="1:22" ht="25" customHeight="1" x14ac:dyDescent="0.35">
      <c r="A100" s="356" t="s">
        <v>43</v>
      </c>
      <c r="B100" s="30"/>
      <c r="C100" s="64" t="s">
        <v>42</v>
      </c>
      <c r="D100" s="345">
        <f>SUM(D101:D102)</f>
        <v>76928000</v>
      </c>
      <c r="E100" s="188">
        <v>94883664</v>
      </c>
      <c r="F100" s="202">
        <v>135446924</v>
      </c>
      <c r="G100" s="225">
        <v>140000000</v>
      </c>
      <c r="H100" s="222">
        <f>IF(F100=0,0,(G100-F100)/F100)</f>
        <v>3.3615204137083243E-2</v>
      </c>
      <c r="I100" s="28">
        <f>SUM(I101:I102)</f>
        <v>11666666.666666668</v>
      </c>
      <c r="J100" s="28">
        <f t="shared" ref="J100:T100" si="38">SUM(J101:J102)</f>
        <v>11666666.666666668</v>
      </c>
      <c r="K100" s="28">
        <f t="shared" si="38"/>
        <v>11666666.666666668</v>
      </c>
      <c r="L100" s="28">
        <f t="shared" si="38"/>
        <v>11666666.666666668</v>
      </c>
      <c r="M100" s="28">
        <f t="shared" si="38"/>
        <v>11666666.666666668</v>
      </c>
      <c r="N100" s="28">
        <f t="shared" si="38"/>
        <v>11666666.666666668</v>
      </c>
      <c r="O100" s="28">
        <f t="shared" si="38"/>
        <v>11666666.666666668</v>
      </c>
      <c r="P100" s="27">
        <f t="shared" si="38"/>
        <v>11666666.666666668</v>
      </c>
      <c r="Q100" s="28">
        <f t="shared" si="38"/>
        <v>11666666.666666668</v>
      </c>
      <c r="R100" s="28">
        <f t="shared" si="38"/>
        <v>11666666.666666668</v>
      </c>
      <c r="S100" s="28">
        <f t="shared" si="38"/>
        <v>11666666.666666668</v>
      </c>
      <c r="T100" s="28">
        <f t="shared" si="38"/>
        <v>11666666.666666668</v>
      </c>
      <c r="U100" s="974"/>
      <c r="V100" s="3" t="s">
        <v>530</v>
      </c>
    </row>
    <row r="101" spans="1:22" s="53" customFormat="1" ht="25" customHeight="1" x14ac:dyDescent="0.35">
      <c r="A101" s="357" t="s">
        <v>41</v>
      </c>
      <c r="B101" s="57">
        <v>6427310</v>
      </c>
      <c r="C101" s="56" t="s">
        <v>40</v>
      </c>
      <c r="D101" s="346">
        <v>58728000</v>
      </c>
      <c r="E101" s="188">
        <v>48940000</v>
      </c>
      <c r="F101" s="203">
        <v>58728000</v>
      </c>
      <c r="G101" s="226">
        <v>64999999.999999993</v>
      </c>
      <c r="H101" s="227">
        <f>IF(F101=0,0,(G101-F101)/F101)</f>
        <v>0.10679743904100246</v>
      </c>
      <c r="I101" s="55">
        <f>'Depreciation - MF'!H93</f>
        <v>5416666.666666667</v>
      </c>
      <c r="J101" s="55">
        <f>'Depreciation - MF'!I93</f>
        <v>5416666.666666667</v>
      </c>
      <c r="K101" s="55">
        <f>'Depreciation - MF'!J93</f>
        <v>5416666.666666667</v>
      </c>
      <c r="L101" s="55">
        <f>'Depreciation - MF'!K93</f>
        <v>5416666.666666667</v>
      </c>
      <c r="M101" s="55">
        <f>'Depreciation - MF'!L93</f>
        <v>5416666.666666667</v>
      </c>
      <c r="N101" s="55">
        <f>'Depreciation - MF'!M93</f>
        <v>5416666.666666667</v>
      </c>
      <c r="O101" s="55">
        <f>'Depreciation - MF'!N93</f>
        <v>5416666.666666667</v>
      </c>
      <c r="P101" s="55">
        <f>'Depreciation - MF'!O93</f>
        <v>5416666.666666667</v>
      </c>
      <c r="Q101" s="55">
        <f>'Depreciation - MF'!P93</f>
        <v>5416666.666666667</v>
      </c>
      <c r="R101" s="55">
        <f>'Depreciation - MF'!Q93</f>
        <v>5416666.666666667</v>
      </c>
      <c r="S101" s="55">
        <f>'Depreciation - MF'!R93</f>
        <v>5416666.666666667</v>
      </c>
      <c r="T101" s="55">
        <f>'Depreciation - MF'!S93</f>
        <v>5416666.666666667</v>
      </c>
      <c r="U101" s="976" t="s">
        <v>516</v>
      </c>
      <c r="V101" s="54"/>
    </row>
    <row r="102" spans="1:22" s="53" customFormat="1" ht="25" customHeight="1" x14ac:dyDescent="0.35">
      <c r="A102" s="357" t="s">
        <v>39</v>
      </c>
      <c r="B102" s="57">
        <v>6427310</v>
      </c>
      <c r="C102" s="56" t="s">
        <v>38</v>
      </c>
      <c r="D102" s="346">
        <v>18200000</v>
      </c>
      <c r="E102" s="188">
        <v>45943664</v>
      </c>
      <c r="F102" s="203">
        <v>76718924</v>
      </c>
      <c r="G102" s="226">
        <v>75000000</v>
      </c>
      <c r="H102" s="227">
        <f>IF(F102=0,0,(G102-F102)/F102)</f>
        <v>-2.240547586407755E-2</v>
      </c>
      <c r="I102" s="55">
        <f>SUM('Depreciation - MF'!H94:H95)</f>
        <v>6250000</v>
      </c>
      <c r="J102" s="55">
        <f>SUM('Depreciation - MF'!I94:I95)</f>
        <v>6250000</v>
      </c>
      <c r="K102" s="55">
        <f>SUM('Depreciation - MF'!J94:J95)</f>
        <v>6250000</v>
      </c>
      <c r="L102" s="55">
        <f>SUM('Depreciation - MF'!K94:K95)</f>
        <v>6250000</v>
      </c>
      <c r="M102" s="55">
        <f>SUM('Depreciation - MF'!L94:L95)</f>
        <v>6250000</v>
      </c>
      <c r="N102" s="55">
        <f>SUM('Depreciation - MF'!M94:M95)</f>
        <v>6250000</v>
      </c>
      <c r="O102" s="55">
        <f>SUM('Depreciation - MF'!N94:N95)</f>
        <v>6250000</v>
      </c>
      <c r="P102" s="55">
        <f>SUM('Depreciation - MF'!O94:O95)</f>
        <v>6250000</v>
      </c>
      <c r="Q102" s="55">
        <f>SUM('Depreciation - MF'!P94:P95)</f>
        <v>6250000</v>
      </c>
      <c r="R102" s="55">
        <f>SUM('Depreciation - MF'!Q94:Q95)</f>
        <v>6250000</v>
      </c>
      <c r="S102" s="55">
        <f>SUM('Depreciation - MF'!R94:R95)</f>
        <v>6250000</v>
      </c>
      <c r="T102" s="55">
        <f>SUM('Depreciation - MF'!S94:S95)</f>
        <v>6250000</v>
      </c>
      <c r="U102" s="976"/>
      <c r="V102" s="54"/>
    </row>
    <row r="103" spans="1:22" ht="25" customHeight="1" x14ac:dyDescent="0.35">
      <c r="A103" s="356" t="s">
        <v>31</v>
      </c>
      <c r="B103" s="30"/>
      <c r="C103" s="64" t="s">
        <v>30</v>
      </c>
      <c r="D103" s="345">
        <f>SUM(D104:D105)</f>
        <v>169760000</v>
      </c>
      <c r="E103" s="188">
        <v>0</v>
      </c>
      <c r="F103" s="202">
        <v>0</v>
      </c>
      <c r="G103" s="225">
        <v>277650000</v>
      </c>
      <c r="H103" s="222">
        <f t="shared" si="31"/>
        <v>0</v>
      </c>
      <c r="I103" s="27">
        <f>SUM(I104:I105)</f>
        <v>23137500</v>
      </c>
      <c r="J103" s="27">
        <f t="shared" ref="J103:T103" si="39">SUM(J104:J105)</f>
        <v>23137500</v>
      </c>
      <c r="K103" s="27">
        <f t="shared" si="39"/>
        <v>23137500</v>
      </c>
      <c r="L103" s="27">
        <f t="shared" si="39"/>
        <v>23137500</v>
      </c>
      <c r="M103" s="27">
        <f t="shared" si="39"/>
        <v>23137500</v>
      </c>
      <c r="N103" s="27">
        <f t="shared" si="39"/>
        <v>23137500</v>
      </c>
      <c r="O103" s="27">
        <f t="shared" si="39"/>
        <v>23137500</v>
      </c>
      <c r="P103" s="27">
        <f t="shared" si="39"/>
        <v>23137500</v>
      </c>
      <c r="Q103" s="27">
        <f t="shared" si="39"/>
        <v>23137500</v>
      </c>
      <c r="R103" s="27">
        <f t="shared" si="39"/>
        <v>23137500</v>
      </c>
      <c r="S103" s="27">
        <f t="shared" si="39"/>
        <v>23137500</v>
      </c>
      <c r="T103" s="27">
        <f t="shared" si="39"/>
        <v>23137500</v>
      </c>
      <c r="U103" s="974"/>
      <c r="V103" s="3" t="s">
        <v>530</v>
      </c>
    </row>
    <row r="104" spans="1:22" s="53" customFormat="1" ht="25" customHeight="1" x14ac:dyDescent="0.35">
      <c r="A104" s="357" t="s">
        <v>29</v>
      </c>
      <c r="B104" s="57"/>
      <c r="C104" s="56" t="s">
        <v>27</v>
      </c>
      <c r="D104" s="346">
        <v>119760000</v>
      </c>
      <c r="E104" s="188">
        <v>0</v>
      </c>
      <c r="F104" s="203">
        <v>0</v>
      </c>
      <c r="G104" s="226">
        <v>227650000.00000003</v>
      </c>
      <c r="H104" s="227">
        <f t="shared" si="31"/>
        <v>0</v>
      </c>
      <c r="I104" s="55">
        <f>SUM('Depreciation - MF'!H98:H100)</f>
        <v>18970833.333333332</v>
      </c>
      <c r="J104" s="55">
        <f>SUM('Depreciation - MF'!I98:I100)</f>
        <v>18970833.333333332</v>
      </c>
      <c r="K104" s="55">
        <f>SUM('Depreciation - MF'!J98:J100)</f>
        <v>18970833.333333332</v>
      </c>
      <c r="L104" s="55">
        <f>SUM('Depreciation - MF'!K98:K100)</f>
        <v>18970833.333333332</v>
      </c>
      <c r="M104" s="55">
        <f>SUM('Depreciation - MF'!L98:L100)</f>
        <v>18970833.333333332</v>
      </c>
      <c r="N104" s="55">
        <f>SUM('Depreciation - MF'!M98:M100)</f>
        <v>18970833.333333332</v>
      </c>
      <c r="O104" s="55">
        <f>SUM('Depreciation - MF'!N98:N100)</f>
        <v>18970833.333333332</v>
      </c>
      <c r="P104" s="27">
        <f>SUM('Depreciation - MF'!O98:O100)</f>
        <v>18970833.333333332</v>
      </c>
      <c r="Q104" s="55">
        <f>SUM('Depreciation - MF'!P98:P100)</f>
        <v>18970833.333333332</v>
      </c>
      <c r="R104" s="55">
        <f>SUM('Depreciation - MF'!Q98:Q100)</f>
        <v>18970833.333333332</v>
      </c>
      <c r="S104" s="55">
        <f>SUM('Depreciation - MF'!R98:R100)</f>
        <v>18970833.333333332</v>
      </c>
      <c r="T104" s="55">
        <f>SUM('Depreciation - MF'!S98:S100)</f>
        <v>18970833.333333332</v>
      </c>
      <c r="U104" s="976"/>
      <c r="V104" s="54"/>
    </row>
    <row r="105" spans="1:22" s="53" customFormat="1" ht="25" customHeight="1" x14ac:dyDescent="0.35">
      <c r="A105" s="357" t="s">
        <v>28</v>
      </c>
      <c r="B105" s="57"/>
      <c r="C105" s="56" t="s">
        <v>529</v>
      </c>
      <c r="D105" s="346">
        <v>49999999.999999993</v>
      </c>
      <c r="E105" s="188">
        <v>0</v>
      </c>
      <c r="F105" s="203">
        <v>0</v>
      </c>
      <c r="G105" s="226">
        <v>49999999.999999993</v>
      </c>
      <c r="H105" s="227">
        <f t="shared" si="31"/>
        <v>0</v>
      </c>
      <c r="I105" s="55">
        <f>SUM('Depreciation - MF'!H101)</f>
        <v>4166666.6666666665</v>
      </c>
      <c r="J105" s="55">
        <f>SUM('Depreciation - MF'!I101)</f>
        <v>4166666.6666666665</v>
      </c>
      <c r="K105" s="55">
        <f>SUM('Depreciation - MF'!J101)</f>
        <v>4166666.6666666665</v>
      </c>
      <c r="L105" s="55">
        <f>SUM('Depreciation - MF'!K101)</f>
        <v>4166666.6666666665</v>
      </c>
      <c r="M105" s="55">
        <f>SUM('Depreciation - MF'!L101)</f>
        <v>4166666.6666666665</v>
      </c>
      <c r="N105" s="55">
        <f>SUM('Depreciation - MF'!M101)</f>
        <v>4166666.6666666665</v>
      </c>
      <c r="O105" s="55">
        <f>SUM('Depreciation - MF'!N101)</f>
        <v>4166666.6666666665</v>
      </c>
      <c r="P105" s="27">
        <f>SUM('Depreciation - MF'!O101)</f>
        <v>4166666.6666666665</v>
      </c>
      <c r="Q105" s="55">
        <f>SUM('Depreciation - MF'!P101)</f>
        <v>4166666.6666666665</v>
      </c>
      <c r="R105" s="55">
        <f>SUM('Depreciation - MF'!Q101)</f>
        <v>4166666.6666666665</v>
      </c>
      <c r="S105" s="55">
        <f>SUM('Depreciation - MF'!R101)</f>
        <v>4166666.6666666665</v>
      </c>
      <c r="T105" s="55">
        <f>SUM('Depreciation - MF'!S101)</f>
        <v>4166666.6666666665</v>
      </c>
      <c r="U105" s="976"/>
      <c r="V105" s="54"/>
    </row>
    <row r="106" spans="1:22" ht="25" customHeight="1" x14ac:dyDescent="0.35">
      <c r="A106" s="356" t="s">
        <v>16</v>
      </c>
      <c r="B106" s="30">
        <v>6427318</v>
      </c>
      <c r="C106" s="64" t="s">
        <v>15</v>
      </c>
      <c r="D106" s="345">
        <v>41000000</v>
      </c>
      <c r="E106" s="188">
        <v>38369830.235485032</v>
      </c>
      <c r="F106" s="202">
        <v>38369830.235485032</v>
      </c>
      <c r="G106" s="225">
        <v>22000000</v>
      </c>
      <c r="H106" s="222">
        <f>IF(F106=0,0,(G106-F106)/F106)</f>
        <v>-0.42663285542363311</v>
      </c>
      <c r="I106" s="27">
        <f>'Depreciation - MF'!H118</f>
        <v>1833333.3333333335</v>
      </c>
      <c r="J106" s="27">
        <f>'Depreciation - MF'!I118</f>
        <v>1833333.3333333335</v>
      </c>
      <c r="K106" s="27">
        <f>'Depreciation - MF'!J118</f>
        <v>1833333.3333333335</v>
      </c>
      <c r="L106" s="27">
        <f>'Depreciation - MF'!K118</f>
        <v>1833333.3333333335</v>
      </c>
      <c r="M106" s="27">
        <f>'Depreciation - MF'!L118</f>
        <v>1833333.3333333335</v>
      </c>
      <c r="N106" s="27">
        <f>'Depreciation - MF'!M118</f>
        <v>1833333.3333333335</v>
      </c>
      <c r="O106" s="27">
        <f>'Depreciation - MF'!N118</f>
        <v>1833333.3333333335</v>
      </c>
      <c r="P106" s="27">
        <f>'Depreciation - MF'!O118</f>
        <v>1833333.3333333335</v>
      </c>
      <c r="Q106" s="27">
        <f>'Depreciation - MF'!P118</f>
        <v>1833333.3333333335</v>
      </c>
      <c r="R106" s="27">
        <f>'Depreciation - MF'!Q118</f>
        <v>1833333.3333333335</v>
      </c>
      <c r="S106" s="27">
        <f>'Depreciation - MF'!R118</f>
        <v>1833333.3333333335</v>
      </c>
      <c r="T106" s="27">
        <f>'Depreciation - MF'!S118</f>
        <v>1833333.3333333335</v>
      </c>
      <c r="U106" s="974"/>
      <c r="V106" s="3" t="s">
        <v>532</v>
      </c>
    </row>
    <row r="107" spans="1:22" ht="25" customHeight="1" x14ac:dyDescent="0.35">
      <c r="A107" s="356" t="s">
        <v>26</v>
      </c>
      <c r="B107" s="30"/>
      <c r="C107" s="64" t="s">
        <v>25</v>
      </c>
      <c r="D107" s="345">
        <v>7160000</v>
      </c>
      <c r="E107" s="188">
        <v>0</v>
      </c>
      <c r="F107" s="202">
        <v>0</v>
      </c>
      <c r="G107" s="225">
        <v>89000000</v>
      </c>
      <c r="H107" s="222">
        <f t="shared" si="31"/>
        <v>0</v>
      </c>
      <c r="I107" s="27">
        <f>'Depreciation - MF'!H124</f>
        <v>7416666.666666667</v>
      </c>
      <c r="J107" s="27">
        <f>'Depreciation - MF'!I124</f>
        <v>7416666.666666667</v>
      </c>
      <c r="K107" s="27">
        <f>'Depreciation - MF'!J124</f>
        <v>7416666.666666667</v>
      </c>
      <c r="L107" s="27">
        <f>'Depreciation - MF'!K124</f>
        <v>7416666.666666667</v>
      </c>
      <c r="M107" s="27">
        <f>'Depreciation - MF'!L124</f>
        <v>7416666.666666667</v>
      </c>
      <c r="N107" s="27">
        <f>'Depreciation - MF'!M124</f>
        <v>7416666.666666667</v>
      </c>
      <c r="O107" s="27">
        <f>'Depreciation - MF'!N124</f>
        <v>7416666.666666667</v>
      </c>
      <c r="P107" s="27">
        <f>'Depreciation - MF'!O124</f>
        <v>7416666.666666667</v>
      </c>
      <c r="Q107" s="27">
        <f>'Depreciation - MF'!P124</f>
        <v>7416666.666666667</v>
      </c>
      <c r="R107" s="27">
        <f>'Depreciation - MF'!Q124</f>
        <v>7416666.666666667</v>
      </c>
      <c r="S107" s="27">
        <f>'Depreciation - MF'!R124</f>
        <v>7416666.666666667</v>
      </c>
      <c r="T107" s="27">
        <f>'Depreciation - MF'!S124</f>
        <v>7416666.666666667</v>
      </c>
      <c r="U107" s="974"/>
      <c r="V107" s="3" t="s">
        <v>530</v>
      </c>
    </row>
    <row r="108" spans="1:22" ht="25" customHeight="1" x14ac:dyDescent="0.35">
      <c r="A108" s="356" t="s">
        <v>24</v>
      </c>
      <c r="B108" s="30"/>
      <c r="C108" s="64" t="s">
        <v>23</v>
      </c>
      <c r="D108" s="345">
        <v>9000000</v>
      </c>
      <c r="E108" s="188">
        <v>1477056</v>
      </c>
      <c r="F108" s="202">
        <v>1477056</v>
      </c>
      <c r="G108" s="225">
        <v>12000000</v>
      </c>
      <c r="H108" s="222">
        <f t="shared" si="31"/>
        <v>7.1242688158065777</v>
      </c>
      <c r="I108" s="27">
        <f>'Depreciation - MF'!H128</f>
        <v>1000000</v>
      </c>
      <c r="J108" s="27">
        <f>'Depreciation - MF'!I128</f>
        <v>1000000</v>
      </c>
      <c r="K108" s="27">
        <f>'Depreciation - MF'!J128</f>
        <v>1000000</v>
      </c>
      <c r="L108" s="27">
        <f>'Depreciation - MF'!K128</f>
        <v>1000000</v>
      </c>
      <c r="M108" s="27">
        <f>'Depreciation - MF'!L128</f>
        <v>1000000</v>
      </c>
      <c r="N108" s="27">
        <f>'Depreciation - MF'!M128</f>
        <v>1000000</v>
      </c>
      <c r="O108" s="27">
        <f>'Depreciation - MF'!N128</f>
        <v>1000000</v>
      </c>
      <c r="P108" s="27">
        <f>'Depreciation - MF'!O128</f>
        <v>1000000</v>
      </c>
      <c r="Q108" s="27">
        <f>'Depreciation - MF'!P128</f>
        <v>1000000</v>
      </c>
      <c r="R108" s="27">
        <f>'Depreciation - MF'!Q128</f>
        <v>1000000</v>
      </c>
      <c r="S108" s="27">
        <f>'Depreciation - MF'!R128</f>
        <v>1000000</v>
      </c>
      <c r="T108" s="27">
        <f>'Depreciation - MF'!S128</f>
        <v>1000000</v>
      </c>
      <c r="U108" s="974"/>
      <c r="V108" s="3" t="s">
        <v>532</v>
      </c>
    </row>
    <row r="109" spans="1:22" ht="25" customHeight="1" x14ac:dyDescent="0.35">
      <c r="A109" s="356" t="s">
        <v>22</v>
      </c>
      <c r="B109" s="30"/>
      <c r="C109" s="64" t="s">
        <v>21</v>
      </c>
      <c r="D109" s="345">
        <v>0</v>
      </c>
      <c r="E109" s="188">
        <v>0</v>
      </c>
      <c r="F109" s="202">
        <v>0</v>
      </c>
      <c r="G109" s="225">
        <v>40000000</v>
      </c>
      <c r="H109" s="222">
        <f t="shared" si="31"/>
        <v>0</v>
      </c>
      <c r="I109" s="27">
        <f>'Depreciation - MF'!H133</f>
        <v>3333333.3333333335</v>
      </c>
      <c r="J109" s="27">
        <f>'Depreciation - MF'!I133</f>
        <v>3333333.3333333335</v>
      </c>
      <c r="K109" s="27">
        <f>'Depreciation - MF'!J133</f>
        <v>3333333.3333333335</v>
      </c>
      <c r="L109" s="27">
        <f>'Depreciation - MF'!K133</f>
        <v>3333333.3333333335</v>
      </c>
      <c r="M109" s="27">
        <f>'Depreciation - MF'!L133</f>
        <v>3333333.3333333335</v>
      </c>
      <c r="N109" s="27">
        <f>'Depreciation - MF'!M133</f>
        <v>3333333.3333333335</v>
      </c>
      <c r="O109" s="27">
        <f>'Depreciation - MF'!N133</f>
        <v>3333333.3333333335</v>
      </c>
      <c r="P109" s="27">
        <f>'Depreciation - MF'!O133</f>
        <v>3333333.3333333335</v>
      </c>
      <c r="Q109" s="27">
        <f>'Depreciation - MF'!P133</f>
        <v>3333333.3333333335</v>
      </c>
      <c r="R109" s="27">
        <f>'Depreciation - MF'!Q133</f>
        <v>3333333.3333333335</v>
      </c>
      <c r="S109" s="27">
        <f>'Depreciation - MF'!R133</f>
        <v>3333333.3333333335</v>
      </c>
      <c r="T109" s="27">
        <f>'Depreciation - MF'!S133</f>
        <v>3333333.3333333335</v>
      </c>
      <c r="U109" s="974"/>
      <c r="V109" s="3" t="s">
        <v>530</v>
      </c>
    </row>
    <row r="110" spans="1:22" ht="25" customHeight="1" x14ac:dyDescent="0.35">
      <c r="A110" s="356" t="s">
        <v>20</v>
      </c>
      <c r="B110" s="30">
        <v>6427315</v>
      </c>
      <c r="C110" s="64" t="s">
        <v>19</v>
      </c>
      <c r="D110" s="345">
        <v>30000000</v>
      </c>
      <c r="E110" s="188">
        <v>119415954</v>
      </c>
      <c r="F110" s="202">
        <v>427850190</v>
      </c>
      <c r="G110" s="225">
        <v>635466666.66666675</v>
      </c>
      <c r="H110" s="222">
        <f t="shared" si="31"/>
        <v>0.48525507647119837</v>
      </c>
      <c r="I110" s="27">
        <f>'Depreciation - MF'!H147</f>
        <v>60594444.44444444</v>
      </c>
      <c r="J110" s="27">
        <f>'Depreciation - MF'!I147</f>
        <v>60594444.44444444</v>
      </c>
      <c r="K110" s="27">
        <f>'Depreciation - MF'!J147</f>
        <v>60594444.44444444</v>
      </c>
      <c r="L110" s="27">
        <f>'Depreciation - MF'!K147</f>
        <v>60594444.44444444</v>
      </c>
      <c r="M110" s="27">
        <f>'Depreciation - MF'!L147</f>
        <v>60594444.44444444</v>
      </c>
      <c r="N110" s="27">
        <f>'Depreciation - MF'!M147</f>
        <v>60594444.44444444</v>
      </c>
      <c r="O110" s="27">
        <f>'Depreciation - MF'!N147</f>
        <v>60594444.44444444</v>
      </c>
      <c r="P110" s="27">
        <f>'Depreciation - MF'!O147</f>
        <v>60594444.44444444</v>
      </c>
      <c r="Q110" s="27">
        <f>'Depreciation - MF'!P147</f>
        <v>60594444.44444444</v>
      </c>
      <c r="R110" s="27">
        <f>'Depreciation - MF'!Q147</f>
        <v>60594444.44444444</v>
      </c>
      <c r="S110" s="27">
        <f>'Depreciation - MF'!R147</f>
        <v>60594444.44444444</v>
      </c>
      <c r="T110" s="27">
        <f>'Depreciation - MF'!S147</f>
        <v>60594444.44444444</v>
      </c>
      <c r="U110" s="974"/>
      <c r="V110" s="3" t="s">
        <v>530</v>
      </c>
    </row>
    <row r="111" spans="1:22" ht="25" customHeight="1" x14ac:dyDescent="0.35">
      <c r="A111" s="356" t="s">
        <v>18</v>
      </c>
      <c r="B111" s="30">
        <v>6427316</v>
      </c>
      <c r="C111" s="64" t="s">
        <v>17</v>
      </c>
      <c r="D111" s="345">
        <v>249000000</v>
      </c>
      <c r="E111" s="188">
        <v>11170763</v>
      </c>
      <c r="F111" s="202">
        <v>53661672.090909094</v>
      </c>
      <c r="G111" s="225">
        <v>147399999.99999997</v>
      </c>
      <c r="H111" s="222">
        <f t="shared" si="31"/>
        <v>1.7468394900234805</v>
      </c>
      <c r="I111" s="27">
        <f>'Depreciation - MF'!H155</f>
        <v>12283333.333333332</v>
      </c>
      <c r="J111" s="27">
        <f>'Depreciation - MF'!I155</f>
        <v>12283333.333333332</v>
      </c>
      <c r="K111" s="27">
        <f>'Depreciation - MF'!J155</f>
        <v>12283333.333333332</v>
      </c>
      <c r="L111" s="27">
        <f>'Depreciation - MF'!K155</f>
        <v>12283333.333333332</v>
      </c>
      <c r="M111" s="27">
        <f>'Depreciation - MF'!L155</f>
        <v>12283333.333333332</v>
      </c>
      <c r="N111" s="27">
        <f>'Depreciation - MF'!M155</f>
        <v>12283333.333333332</v>
      </c>
      <c r="O111" s="27">
        <f>'Depreciation - MF'!N155</f>
        <v>12283333.333333332</v>
      </c>
      <c r="P111" s="27">
        <f>'Depreciation - MF'!O155</f>
        <v>12283333.333333332</v>
      </c>
      <c r="Q111" s="27">
        <f>'Depreciation - MF'!P155</f>
        <v>12283333.333333332</v>
      </c>
      <c r="R111" s="27">
        <f>'Depreciation - MF'!Q155</f>
        <v>12283333.333333332</v>
      </c>
      <c r="S111" s="27">
        <f>'Depreciation - MF'!R155</f>
        <v>12283333.333333332</v>
      </c>
      <c r="T111" s="27">
        <f>'Depreciation - MF'!S155</f>
        <v>12283333.333333332</v>
      </c>
      <c r="U111" s="974" t="s">
        <v>522</v>
      </c>
      <c r="V111" s="3" t="s">
        <v>532</v>
      </c>
    </row>
    <row r="112" spans="1:22" ht="25" customHeight="1" x14ac:dyDescent="0.35">
      <c r="A112" s="52"/>
      <c r="B112" s="51"/>
      <c r="C112" s="50" t="s">
        <v>14</v>
      </c>
      <c r="D112" s="999">
        <f>SUM(D80:D81,D82,D85,D88:D90,D91,D94,D100,D97,D103,D106:D111)</f>
        <v>3673895500</v>
      </c>
      <c r="E112" s="49">
        <v>2413679065.2354851</v>
      </c>
      <c r="F112" s="999">
        <v>3666502414.3263941</v>
      </c>
      <c r="G112" s="49">
        <v>5846452666.666667</v>
      </c>
      <c r="H112" s="986">
        <f t="shared" si="31"/>
        <v>0.59455852090057082</v>
      </c>
      <c r="I112" s="49">
        <f>SUM(I80:I81,I82,I85,I88:I90,I91,I94,I100,I97,I103,I106:I111)</f>
        <v>486823277.77777773</v>
      </c>
      <c r="J112" s="49">
        <f>SUM(J80:J81,J82,J85,J88:J90,J91,J94,J100,J97,J103,J106:J111)</f>
        <v>486823277.77777773</v>
      </c>
      <c r="K112" s="49">
        <f t="shared" ref="K112:T112" si="40">SUM(K80:K81,K82,K85,K88:K90,K91,K94,K100,K97,K103,K106:K111)</f>
        <v>487423277.77777773</v>
      </c>
      <c r="L112" s="49">
        <f t="shared" si="40"/>
        <v>497383277.77777773</v>
      </c>
      <c r="M112" s="49">
        <f t="shared" si="40"/>
        <v>497383277.77777773</v>
      </c>
      <c r="N112" s="49">
        <f t="shared" si="40"/>
        <v>497383277.77777773</v>
      </c>
      <c r="O112" s="49">
        <f t="shared" si="40"/>
        <v>497383277.77777773</v>
      </c>
      <c r="P112" s="49">
        <f t="shared" si="40"/>
        <v>497383277.77777773</v>
      </c>
      <c r="Q112" s="49">
        <f t="shared" si="40"/>
        <v>497983277.77777773</v>
      </c>
      <c r="R112" s="49">
        <f t="shared" si="40"/>
        <v>497383277.77777773</v>
      </c>
      <c r="S112" s="49">
        <f t="shared" si="40"/>
        <v>497383277.77777773</v>
      </c>
      <c r="T112" s="49">
        <f t="shared" si="40"/>
        <v>497383277.77777773</v>
      </c>
      <c r="U112" s="975"/>
      <c r="V112" s="3"/>
    </row>
    <row r="113" spans="1:22" s="39" customFormat="1" ht="5.15" customHeight="1" x14ac:dyDescent="0.35">
      <c r="A113" s="358"/>
      <c r="B113" s="43"/>
      <c r="C113" s="63"/>
      <c r="D113" s="193"/>
      <c r="E113" s="63"/>
      <c r="F113" s="193"/>
      <c r="G113" s="61"/>
      <c r="H113" s="207"/>
      <c r="I113" s="61"/>
      <c r="J113" s="61"/>
      <c r="K113" s="61"/>
      <c r="L113" s="61"/>
      <c r="M113" s="61"/>
      <c r="N113" s="61"/>
      <c r="O113" s="61"/>
      <c r="P113" s="61"/>
      <c r="Q113" s="61"/>
      <c r="R113" s="101"/>
      <c r="S113" s="101"/>
      <c r="T113" s="101"/>
      <c r="U113" s="102"/>
      <c r="V113" s="40"/>
    </row>
    <row r="114" spans="1:22" s="58" customFormat="1" ht="25" customHeight="1" x14ac:dyDescent="0.35">
      <c r="A114" s="982" t="s">
        <v>13</v>
      </c>
      <c r="B114" s="998"/>
      <c r="C114" s="1003" t="s">
        <v>1014</v>
      </c>
      <c r="D114" s="1000"/>
      <c r="E114" s="23"/>
      <c r="F114" s="1000"/>
      <c r="G114" s="31"/>
      <c r="H114" s="1002"/>
      <c r="I114" s="32"/>
      <c r="J114" s="32"/>
      <c r="K114" s="32"/>
      <c r="L114" s="32"/>
      <c r="M114" s="32"/>
      <c r="N114" s="32"/>
      <c r="O114" s="32"/>
      <c r="P114" s="32"/>
      <c r="Q114" s="32"/>
      <c r="R114" s="31"/>
      <c r="S114" s="31"/>
      <c r="T114" s="31"/>
      <c r="U114" s="627"/>
      <c r="V114" s="3"/>
    </row>
    <row r="115" spans="1:22" ht="25" customHeight="1" x14ac:dyDescent="0.35">
      <c r="A115" s="356" t="s">
        <v>12</v>
      </c>
      <c r="B115" s="30">
        <v>64275</v>
      </c>
      <c r="C115" s="29" t="s">
        <v>11</v>
      </c>
      <c r="D115" s="345">
        <v>3085706334</v>
      </c>
      <c r="E115" s="188">
        <v>2664243287.000001</v>
      </c>
      <c r="F115" s="202">
        <v>3332767352.478261</v>
      </c>
      <c r="G115" s="225">
        <v>3318222341.3333282</v>
      </c>
      <c r="H115" s="222">
        <f t="shared" ref="H115:H120" si="41">IF(F115=0,0,(G115-F115)/F115)</f>
        <v>-4.3642443671074163E-3</v>
      </c>
      <c r="I115" s="27">
        <f>SUM(I116:I117)</f>
        <v>276518528.444444</v>
      </c>
      <c r="J115" s="27">
        <f t="shared" ref="J115:T115" si="42">SUM(J116:J117)</f>
        <v>276518528.444444</v>
      </c>
      <c r="K115" s="27">
        <f t="shared" si="42"/>
        <v>276518528.444444</v>
      </c>
      <c r="L115" s="27">
        <f t="shared" si="42"/>
        <v>276518528.444444</v>
      </c>
      <c r="M115" s="27">
        <f t="shared" si="42"/>
        <v>276518528.444444</v>
      </c>
      <c r="N115" s="27">
        <f t="shared" si="42"/>
        <v>276518528.444444</v>
      </c>
      <c r="O115" s="27">
        <f t="shared" si="42"/>
        <v>276518528.444444</v>
      </c>
      <c r="P115" s="27">
        <f t="shared" si="42"/>
        <v>276518528.444444</v>
      </c>
      <c r="Q115" s="27">
        <f t="shared" si="42"/>
        <v>276518528.444444</v>
      </c>
      <c r="R115" s="27">
        <f t="shared" si="42"/>
        <v>276518528.444444</v>
      </c>
      <c r="S115" s="27">
        <f t="shared" si="42"/>
        <v>276518528.444444</v>
      </c>
      <c r="T115" s="27">
        <f t="shared" si="42"/>
        <v>276518528.444444</v>
      </c>
      <c r="U115" s="974"/>
      <c r="V115" s="3"/>
    </row>
    <row r="116" spans="1:22" s="53" customFormat="1" ht="25" customHeight="1" x14ac:dyDescent="0.35">
      <c r="A116" s="357" t="s">
        <v>10</v>
      </c>
      <c r="B116" s="57">
        <v>642751</v>
      </c>
      <c r="C116" s="56" t="s">
        <v>9</v>
      </c>
      <c r="D116" s="346">
        <v>374190924</v>
      </c>
      <c r="E116" s="188">
        <v>309273018.9130435</v>
      </c>
      <c r="F116" s="203">
        <v>489582099.95652145</v>
      </c>
      <c r="G116" s="226">
        <v>480000000</v>
      </c>
      <c r="H116" s="227">
        <f t="shared" si="41"/>
        <v>-1.9571998153879427E-2</v>
      </c>
      <c r="I116" s="55">
        <v>40000000</v>
      </c>
      <c r="J116" s="55">
        <f t="shared" ref="J116:T116" si="43">I116</f>
        <v>40000000</v>
      </c>
      <c r="K116" s="55">
        <f t="shared" si="43"/>
        <v>40000000</v>
      </c>
      <c r="L116" s="55">
        <f t="shared" si="43"/>
        <v>40000000</v>
      </c>
      <c r="M116" s="55">
        <f t="shared" si="43"/>
        <v>40000000</v>
      </c>
      <c r="N116" s="55">
        <f t="shared" si="43"/>
        <v>40000000</v>
      </c>
      <c r="O116" s="55">
        <f t="shared" si="43"/>
        <v>40000000</v>
      </c>
      <c r="P116" s="55">
        <f t="shared" si="43"/>
        <v>40000000</v>
      </c>
      <c r="Q116" s="55">
        <f t="shared" si="43"/>
        <v>40000000</v>
      </c>
      <c r="R116" s="55">
        <f t="shared" si="43"/>
        <v>40000000</v>
      </c>
      <c r="S116" s="55">
        <f t="shared" si="43"/>
        <v>40000000</v>
      </c>
      <c r="T116" s="55">
        <f t="shared" si="43"/>
        <v>40000000</v>
      </c>
      <c r="U116" s="976"/>
      <c r="V116" s="54" t="s">
        <v>530</v>
      </c>
    </row>
    <row r="117" spans="1:22" s="53" customFormat="1" ht="25" customHeight="1" x14ac:dyDescent="0.35">
      <c r="A117" s="357" t="s">
        <v>8</v>
      </c>
      <c r="B117" s="57">
        <v>642752</v>
      </c>
      <c r="C117" s="56" t="s">
        <v>7</v>
      </c>
      <c r="D117" s="346">
        <v>2711515410</v>
      </c>
      <c r="E117" s="188">
        <v>2354970268.086957</v>
      </c>
      <c r="F117" s="203">
        <v>2843185252.5217395</v>
      </c>
      <c r="G117" s="226">
        <v>2838222341.3333282</v>
      </c>
      <c r="H117" s="227">
        <f t="shared" si="41"/>
        <v>-1.7455461911985591E-3</v>
      </c>
      <c r="I117" s="55">
        <f>I24</f>
        <v>236518528.444444</v>
      </c>
      <c r="J117" s="55">
        <f>J24</f>
        <v>236518528.444444</v>
      </c>
      <c r="K117" s="55">
        <f>K24</f>
        <v>236518528.444444</v>
      </c>
      <c r="L117" s="55">
        <f>L24</f>
        <v>236518528.444444</v>
      </c>
      <c r="M117" s="55">
        <f>M24</f>
        <v>236518528.444444</v>
      </c>
      <c r="N117" s="55">
        <f t="shared" ref="N117:Q117" si="44">N24</f>
        <v>236518528.444444</v>
      </c>
      <c r="O117" s="55">
        <f t="shared" si="44"/>
        <v>236518528.444444</v>
      </c>
      <c r="P117" s="55">
        <f t="shared" si="44"/>
        <v>236518528.444444</v>
      </c>
      <c r="Q117" s="55">
        <f t="shared" si="44"/>
        <v>236518528.444444</v>
      </c>
      <c r="R117" s="55">
        <f>R24</f>
        <v>236518528.444444</v>
      </c>
      <c r="S117" s="55">
        <f>S24</f>
        <v>236518528.444444</v>
      </c>
      <c r="T117" s="55">
        <f>T24</f>
        <v>236518528.444444</v>
      </c>
      <c r="U117" s="976" t="s">
        <v>528</v>
      </c>
      <c r="V117" s="54" t="s">
        <v>530</v>
      </c>
    </row>
    <row r="118" spans="1:22" ht="25" customHeight="1" x14ac:dyDescent="0.35">
      <c r="A118" s="356" t="s">
        <v>6</v>
      </c>
      <c r="B118" s="30">
        <v>64274</v>
      </c>
      <c r="C118" s="29" t="s">
        <v>5</v>
      </c>
      <c r="D118" s="345">
        <v>3874500000</v>
      </c>
      <c r="E118" s="188">
        <v>3207275103.909091</v>
      </c>
      <c r="F118" s="202">
        <v>3862684673.4545455</v>
      </c>
      <c r="G118" s="225">
        <v>4096002700.6155682</v>
      </c>
      <c r="H118" s="222">
        <f t="shared" si="41"/>
        <v>6.0403073738959256E-2</v>
      </c>
      <c r="I118" s="27">
        <f>321769945.686869*1.0608</f>
        <v>341333558.38463068</v>
      </c>
      <c r="J118" s="27">
        <f>I118</f>
        <v>341333558.38463068</v>
      </c>
      <c r="K118" s="27">
        <f>J118</f>
        <v>341333558.38463068</v>
      </c>
      <c r="L118" s="27">
        <f>K118</f>
        <v>341333558.38463068</v>
      </c>
      <c r="M118" s="27">
        <f>L118</f>
        <v>341333558.38463068</v>
      </c>
      <c r="N118" s="27">
        <f t="shared" ref="N118:T118" si="45">M118</f>
        <v>341333558.38463068</v>
      </c>
      <c r="O118" s="27">
        <f t="shared" si="45"/>
        <v>341333558.38463068</v>
      </c>
      <c r="P118" s="27">
        <f t="shared" si="45"/>
        <v>341333558.38463068</v>
      </c>
      <c r="Q118" s="27">
        <f t="shared" si="45"/>
        <v>341333558.38463068</v>
      </c>
      <c r="R118" s="27">
        <f t="shared" si="45"/>
        <v>341333558.38463068</v>
      </c>
      <c r="S118" s="27">
        <f t="shared" si="45"/>
        <v>341333558.38463068</v>
      </c>
      <c r="T118" s="27">
        <f t="shared" si="45"/>
        <v>341333558.38463068</v>
      </c>
      <c r="U118" s="974"/>
      <c r="V118" s="3" t="s">
        <v>530</v>
      </c>
    </row>
    <row r="119" spans="1:22" ht="25" customHeight="1" x14ac:dyDescent="0.35">
      <c r="A119" s="356" t="s">
        <v>4</v>
      </c>
      <c r="B119" s="30"/>
      <c r="C119" s="29" t="s">
        <v>3</v>
      </c>
      <c r="D119" s="345">
        <v>0</v>
      </c>
      <c r="E119" s="188">
        <v>0</v>
      </c>
      <c r="F119" s="202">
        <v>60640800</v>
      </c>
      <c r="G119" s="225">
        <v>60640800.000000007</v>
      </c>
      <c r="H119" s="222">
        <f t="shared" si="41"/>
        <v>1.2286415411610382E-16</v>
      </c>
      <c r="I119" s="27">
        <f>'Engineering - Breakdown - MF'!$D$132/12</f>
        <v>5053400.0000000009</v>
      </c>
      <c r="J119" s="27">
        <f>$I$119</f>
        <v>5053400.0000000009</v>
      </c>
      <c r="K119" s="27">
        <f t="shared" ref="K119:T119" si="46">$I$119</f>
        <v>5053400.0000000009</v>
      </c>
      <c r="L119" s="27">
        <f t="shared" si="46"/>
        <v>5053400.0000000009</v>
      </c>
      <c r="M119" s="27">
        <f t="shared" si="46"/>
        <v>5053400.0000000009</v>
      </c>
      <c r="N119" s="27">
        <f t="shared" si="46"/>
        <v>5053400.0000000009</v>
      </c>
      <c r="O119" s="27">
        <f t="shared" si="46"/>
        <v>5053400.0000000009</v>
      </c>
      <c r="P119" s="27">
        <f t="shared" si="46"/>
        <v>5053400.0000000009</v>
      </c>
      <c r="Q119" s="27">
        <f t="shared" si="46"/>
        <v>5053400.0000000009</v>
      </c>
      <c r="R119" s="27">
        <f t="shared" si="46"/>
        <v>5053400.0000000009</v>
      </c>
      <c r="S119" s="27">
        <f t="shared" si="46"/>
        <v>5053400.0000000009</v>
      </c>
      <c r="T119" s="27">
        <f t="shared" si="46"/>
        <v>5053400.0000000009</v>
      </c>
      <c r="U119" s="977"/>
      <c r="V119" s="3" t="s">
        <v>537</v>
      </c>
    </row>
    <row r="120" spans="1:22" ht="25" customHeight="1" x14ac:dyDescent="0.35">
      <c r="A120" s="52"/>
      <c r="B120" s="51"/>
      <c r="C120" s="50" t="s">
        <v>2</v>
      </c>
      <c r="D120" s="999">
        <f>SUM(D115,D118:D119)</f>
        <v>6960206334</v>
      </c>
      <c r="E120" s="49">
        <v>5871518390.9090919</v>
      </c>
      <c r="F120" s="999">
        <v>7256092825.932806</v>
      </c>
      <c r="G120" s="49">
        <v>7474865841.9488964</v>
      </c>
      <c r="H120" s="986">
        <f t="shared" si="41"/>
        <v>3.0150250453551228E-2</v>
      </c>
      <c r="I120" s="49">
        <f>SUM(I115,I118:I119)</f>
        <v>622905486.82907462</v>
      </c>
      <c r="J120" s="49">
        <f t="shared" ref="J120:T120" si="47">SUM(J115,J118:J119)</f>
        <v>622905486.82907462</v>
      </c>
      <c r="K120" s="49">
        <f t="shared" si="47"/>
        <v>622905486.82907462</v>
      </c>
      <c r="L120" s="49">
        <f t="shared" si="47"/>
        <v>622905486.82907462</v>
      </c>
      <c r="M120" s="49">
        <f t="shared" si="47"/>
        <v>622905486.82907462</v>
      </c>
      <c r="N120" s="49">
        <f t="shared" si="47"/>
        <v>622905486.82907462</v>
      </c>
      <c r="O120" s="49">
        <f t="shared" si="47"/>
        <v>622905486.82907462</v>
      </c>
      <c r="P120" s="49">
        <f t="shared" si="47"/>
        <v>622905486.82907462</v>
      </c>
      <c r="Q120" s="49">
        <f t="shared" si="47"/>
        <v>622905486.82907462</v>
      </c>
      <c r="R120" s="49">
        <f t="shared" si="47"/>
        <v>622905486.82907462</v>
      </c>
      <c r="S120" s="49">
        <f t="shared" si="47"/>
        <v>622905486.82907462</v>
      </c>
      <c r="T120" s="49">
        <f t="shared" si="47"/>
        <v>622905486.82907462</v>
      </c>
      <c r="U120" s="975"/>
      <c r="V120" s="3"/>
    </row>
    <row r="121" spans="1:22" s="39" customFormat="1" ht="5.15" customHeight="1" x14ac:dyDescent="0.35">
      <c r="A121" s="41"/>
      <c r="B121" s="48"/>
      <c r="C121" s="47"/>
      <c r="D121" s="194"/>
      <c r="E121" s="46"/>
      <c r="F121" s="194"/>
      <c r="G121" s="46"/>
      <c r="H121" s="206"/>
      <c r="I121" s="46"/>
      <c r="J121" s="46"/>
      <c r="K121" s="46"/>
      <c r="L121" s="46"/>
      <c r="M121" s="46"/>
      <c r="N121" s="46"/>
      <c r="O121" s="46"/>
      <c r="P121" s="46"/>
      <c r="Q121" s="46"/>
      <c r="R121" s="46"/>
      <c r="S121" s="46"/>
      <c r="T121" s="46"/>
      <c r="U121" s="628"/>
      <c r="V121" s="40"/>
    </row>
    <row r="122" spans="1:22" ht="25" customHeight="1" x14ac:dyDescent="0.35">
      <c r="A122" s="982"/>
      <c r="B122" s="983"/>
      <c r="C122" s="984" t="s">
        <v>1</v>
      </c>
      <c r="D122" s="940">
        <f>D53+D77+D112+D120</f>
        <v>27958504864</v>
      </c>
      <c r="E122" s="52">
        <v>21694428170.003487</v>
      </c>
      <c r="F122" s="52">
        <v>26890780322.31572</v>
      </c>
      <c r="G122" s="52">
        <v>30131801759.853661</v>
      </c>
      <c r="H122" s="986">
        <f>IF(F122=0,0,(G122-F122)/F122)</f>
        <v>0.12052537705082253</v>
      </c>
      <c r="I122" s="52">
        <f t="shared" ref="I122:T122" si="48">I53+I77+I112+I120</f>
        <v>2452980630.5837641</v>
      </c>
      <c r="J122" s="52">
        <f t="shared" si="48"/>
        <v>2521200630.5837641</v>
      </c>
      <c r="K122" s="52">
        <f t="shared" si="48"/>
        <v>2496691490.0989161</v>
      </c>
      <c r="L122" s="52">
        <f t="shared" si="48"/>
        <v>2508580630.5837641</v>
      </c>
      <c r="M122" s="52">
        <f t="shared" si="48"/>
        <v>2474210630.5837641</v>
      </c>
      <c r="N122" s="52">
        <f t="shared" si="48"/>
        <v>2457690630.5837641</v>
      </c>
      <c r="O122" s="52">
        <f t="shared" si="48"/>
        <v>2494190630.5837641</v>
      </c>
      <c r="P122" s="52">
        <f t="shared" si="48"/>
        <v>2431190630.5837641</v>
      </c>
      <c r="Q122" s="52">
        <f t="shared" si="48"/>
        <v>2499290630.5837641</v>
      </c>
      <c r="R122" s="52">
        <f t="shared" si="48"/>
        <v>2453560630.5837641</v>
      </c>
      <c r="S122" s="52">
        <f t="shared" si="48"/>
        <v>2808190630.583765</v>
      </c>
      <c r="T122" s="52">
        <f t="shared" si="48"/>
        <v>2625690630.5837641</v>
      </c>
      <c r="U122" s="975"/>
      <c r="V122" s="98"/>
    </row>
    <row r="123" spans="1:22" s="39" customFormat="1" ht="5.15" customHeight="1" x14ac:dyDescent="0.35">
      <c r="A123" s="358"/>
      <c r="B123" s="43"/>
      <c r="C123" s="42"/>
      <c r="D123" s="192"/>
      <c r="E123" s="41"/>
      <c r="F123" s="192"/>
      <c r="G123" s="41"/>
      <c r="H123" s="206"/>
      <c r="I123" s="41"/>
      <c r="J123" s="41"/>
      <c r="K123" s="41"/>
      <c r="L123" s="41"/>
      <c r="M123" s="41"/>
      <c r="N123" s="41"/>
      <c r="O123" s="41"/>
      <c r="P123" s="41"/>
      <c r="Q123" s="41"/>
      <c r="R123" s="41"/>
      <c r="S123" s="41"/>
      <c r="T123" s="41"/>
      <c r="U123" s="628"/>
      <c r="V123" s="40"/>
    </row>
    <row r="124" spans="1:22" s="66" customFormat="1" ht="25" customHeight="1" x14ac:dyDescent="0.35">
      <c r="A124" s="982"/>
      <c r="B124" s="983"/>
      <c r="C124" s="1004" t="s">
        <v>0</v>
      </c>
      <c r="D124" s="940">
        <f>D26-D122</f>
        <v>546561343</v>
      </c>
      <c r="E124" s="49">
        <v>-42306255.245910645</v>
      </c>
      <c r="F124" s="49">
        <v>-147412794.55814362</v>
      </c>
      <c r="G124" s="49">
        <v>-1273981765.9142952</v>
      </c>
      <c r="H124" s="986">
        <f>IF(F124=0,0,(G124-F124)/F124)</f>
        <v>7.6422740287431576</v>
      </c>
      <c r="I124" s="49">
        <f t="shared" ref="I124:T124" si="49">I26-I122</f>
        <v>-51495631.088816643</v>
      </c>
      <c r="J124" s="49">
        <f t="shared" si="49"/>
        <v>-109715631.08881664</v>
      </c>
      <c r="K124" s="49">
        <f t="shared" si="49"/>
        <v>-96206490.60396862</v>
      </c>
      <c r="L124" s="49">
        <f t="shared" si="49"/>
        <v>-105095631.08881664</v>
      </c>
      <c r="M124" s="49">
        <f t="shared" si="49"/>
        <v>-62725631.088816643</v>
      </c>
      <c r="N124" s="49">
        <f t="shared" si="49"/>
        <v>-56205631.088816643</v>
      </c>
      <c r="O124" s="49">
        <f t="shared" si="49"/>
        <v>-93705631.088816643</v>
      </c>
      <c r="P124" s="49">
        <f t="shared" si="49"/>
        <v>-29705631.088816643</v>
      </c>
      <c r="Q124" s="49">
        <f t="shared" si="49"/>
        <v>-97805631.088816643</v>
      </c>
      <c r="R124" s="49">
        <f t="shared" si="49"/>
        <v>-52075631.088816643</v>
      </c>
      <c r="S124" s="49">
        <f t="shared" si="49"/>
        <v>-396705631.0888176</v>
      </c>
      <c r="T124" s="49">
        <f t="shared" si="49"/>
        <v>-214205631.08881664</v>
      </c>
      <c r="U124" s="975"/>
      <c r="V124" s="98"/>
    </row>
    <row r="125" spans="1:22" s="109" customFormat="1" ht="25" customHeight="1" x14ac:dyDescent="0.35">
      <c r="A125" s="1008"/>
      <c r="B125" s="17"/>
      <c r="C125" s="1009"/>
      <c r="D125" s="1010"/>
      <c r="E125" s="1009"/>
      <c r="F125" s="1010"/>
      <c r="G125" s="1011"/>
      <c r="H125" s="1012"/>
      <c r="I125" s="1011"/>
      <c r="J125" s="1011"/>
      <c r="K125" s="1011"/>
      <c r="L125" s="1011"/>
      <c r="M125" s="1011"/>
      <c r="N125" s="1011"/>
      <c r="O125" s="1013"/>
      <c r="P125" s="1013"/>
      <c r="Q125" s="1013"/>
      <c r="R125" s="1014"/>
      <c r="S125" s="1014"/>
      <c r="U125" s="1015"/>
    </row>
    <row r="126" spans="1:22" s="109" customFormat="1" ht="25" customHeight="1" x14ac:dyDescent="0.35">
      <c r="A126" s="1008"/>
      <c r="B126" s="17"/>
      <c r="C126" s="1009"/>
      <c r="D126" s="1010"/>
      <c r="E126" s="1009"/>
      <c r="F126" s="1010"/>
      <c r="G126" s="1276"/>
      <c r="H126" s="1012"/>
      <c r="I126" s="1011"/>
      <c r="J126" s="1011"/>
      <c r="K126" s="1011"/>
      <c r="L126" s="1011"/>
      <c r="M126" s="1011"/>
      <c r="N126" s="1011"/>
      <c r="O126" s="1013"/>
      <c r="P126" s="1013"/>
      <c r="Q126" s="1013"/>
      <c r="R126" s="1014"/>
      <c r="S126" s="1014"/>
      <c r="U126" s="1015"/>
    </row>
    <row r="127" spans="1:22" s="109" customFormat="1" ht="25" customHeight="1" x14ac:dyDescent="0.35">
      <c r="A127" s="1042"/>
      <c r="B127" s="1005"/>
      <c r="C127" s="1016"/>
      <c r="D127" s="1017"/>
      <c r="E127" s="1016"/>
      <c r="F127" s="1017"/>
      <c r="G127" s="1018"/>
      <c r="H127" s="1019"/>
      <c r="I127" s="1018"/>
      <c r="J127" s="1018"/>
      <c r="K127" s="1018"/>
      <c r="L127" s="1018"/>
      <c r="M127" s="1018"/>
      <c r="N127" s="1018"/>
      <c r="O127" s="1020"/>
      <c r="P127" s="1020"/>
      <c r="Q127" s="1020"/>
      <c r="R127" s="1021"/>
      <c r="S127" s="1021"/>
      <c r="T127" s="1005"/>
      <c r="U127" s="1022"/>
    </row>
    <row r="128" spans="1:22" s="109" customFormat="1" ht="25" customHeight="1" x14ac:dyDescent="0.35">
      <c r="A128" s="1023"/>
      <c r="B128" s="17"/>
      <c r="C128" s="1024" t="s">
        <v>1015</v>
      </c>
      <c r="D128" s="1010"/>
      <c r="E128" s="1009"/>
      <c r="F128" s="1010"/>
      <c r="G128" s="1011"/>
      <c r="H128" s="1012"/>
      <c r="I128" s="1007" t="s">
        <v>1015</v>
      </c>
      <c r="J128" s="1011"/>
      <c r="K128" s="1011"/>
      <c r="L128" s="1011"/>
      <c r="M128" s="1011"/>
      <c r="N128" s="1011"/>
      <c r="O128" s="1037" t="s">
        <v>1015</v>
      </c>
      <c r="P128" s="1013"/>
      <c r="Q128" s="1013"/>
      <c r="R128" s="1014"/>
      <c r="S128" s="1014"/>
      <c r="T128" s="1008" t="s">
        <v>1015</v>
      </c>
      <c r="U128" s="1015"/>
    </row>
    <row r="129" spans="1:21" s="109" customFormat="1" ht="25" customHeight="1" x14ac:dyDescent="0.35">
      <c r="A129" s="1023"/>
      <c r="B129" s="17"/>
      <c r="C129" s="1024"/>
      <c r="D129" s="1010"/>
      <c r="E129" s="1009"/>
      <c r="F129" s="1010"/>
      <c r="G129" s="1011"/>
      <c r="H129" s="1012"/>
      <c r="I129" s="1007"/>
      <c r="J129" s="1011"/>
      <c r="K129" s="1011"/>
      <c r="L129" s="1011"/>
      <c r="M129" s="1011"/>
      <c r="N129" s="1011"/>
      <c r="O129" s="1037"/>
      <c r="P129" s="1013"/>
      <c r="Q129" s="1013"/>
      <c r="R129" s="1014"/>
      <c r="S129" s="1014"/>
      <c r="T129" s="1008"/>
      <c r="U129" s="1015"/>
    </row>
    <row r="130" spans="1:21" s="109" customFormat="1" ht="25" customHeight="1" x14ac:dyDescent="0.35">
      <c r="A130" s="1023"/>
      <c r="B130" s="17"/>
      <c r="C130" s="1026"/>
      <c r="D130" s="1010"/>
      <c r="E130" s="1009"/>
      <c r="F130" s="1010"/>
      <c r="G130" s="1011"/>
      <c r="H130" s="1012"/>
      <c r="I130" s="1006"/>
      <c r="J130" s="1011"/>
      <c r="K130" s="1011"/>
      <c r="L130" s="1011"/>
      <c r="M130" s="1011"/>
      <c r="N130" s="1011"/>
      <c r="O130" s="1025"/>
      <c r="P130" s="1013"/>
      <c r="Q130" s="1013"/>
      <c r="R130" s="1014"/>
      <c r="S130" s="1014"/>
      <c r="T130" s="1023"/>
      <c r="U130" s="1015"/>
    </row>
    <row r="131" spans="1:21" s="109" customFormat="1" ht="25" customHeight="1" x14ac:dyDescent="0.35">
      <c r="A131" s="1023"/>
      <c r="B131" s="17"/>
      <c r="C131" s="1026"/>
      <c r="D131" s="1010"/>
      <c r="E131" s="1009"/>
      <c r="F131" s="1010"/>
      <c r="G131" s="1011"/>
      <c r="H131" s="1012"/>
      <c r="I131" s="1006"/>
      <c r="J131" s="1011"/>
      <c r="K131" s="1011"/>
      <c r="L131" s="1011"/>
      <c r="M131" s="1011"/>
      <c r="N131" s="1011"/>
      <c r="O131" s="1025"/>
      <c r="P131" s="1013"/>
      <c r="Q131" s="1013"/>
      <c r="R131" s="1014"/>
      <c r="S131" s="1014"/>
      <c r="T131" s="1023"/>
      <c r="U131" s="1015"/>
    </row>
    <row r="132" spans="1:21" s="109" customFormat="1" ht="25" customHeight="1" x14ac:dyDescent="0.35">
      <c r="A132" s="1023"/>
      <c r="B132" s="17"/>
      <c r="C132" s="1026" t="s">
        <v>994</v>
      </c>
      <c r="D132" s="1010"/>
      <c r="E132" s="1009"/>
      <c r="F132" s="1010"/>
      <c r="G132" s="1011"/>
      <c r="H132" s="1012"/>
      <c r="I132" s="1006" t="s">
        <v>995</v>
      </c>
      <c r="J132" s="1011"/>
      <c r="K132" s="1011"/>
      <c r="L132" s="1011"/>
      <c r="M132" s="1011"/>
      <c r="N132" s="1011"/>
      <c r="O132" s="1025" t="s">
        <v>996</v>
      </c>
      <c r="P132" s="1013"/>
      <c r="Q132" s="1013"/>
      <c r="R132" s="1014"/>
      <c r="S132" s="1014"/>
      <c r="T132" s="1023" t="s">
        <v>997</v>
      </c>
      <c r="U132" s="1015"/>
    </row>
    <row r="133" spans="1:21" s="109" customFormat="1" ht="25" customHeight="1" x14ac:dyDescent="0.35">
      <c r="A133" s="1023"/>
      <c r="B133" s="17"/>
      <c r="C133" s="1009"/>
      <c r="D133" s="1010"/>
      <c r="E133" s="1009"/>
      <c r="F133" s="1010"/>
      <c r="G133" s="1011"/>
      <c r="H133" s="1012"/>
      <c r="I133" s="1011"/>
      <c r="J133" s="1011"/>
      <c r="K133" s="1011"/>
      <c r="L133" s="1011"/>
      <c r="M133" s="1011"/>
      <c r="N133" s="1011"/>
      <c r="O133" s="1013"/>
      <c r="P133" s="1013"/>
      <c r="Q133" s="1013"/>
      <c r="R133" s="1014"/>
      <c r="S133" s="1014"/>
      <c r="U133" s="1015"/>
    </row>
    <row r="134" spans="1:21" s="109" customFormat="1" ht="25" customHeight="1" x14ac:dyDescent="0.35">
      <c r="A134" s="1023"/>
      <c r="B134" s="17"/>
      <c r="C134" s="1009"/>
      <c r="D134" s="1039" t="s">
        <v>1015</v>
      </c>
      <c r="E134" s="1009"/>
      <c r="F134" s="1010"/>
      <c r="G134" s="1011"/>
      <c r="H134" s="1012"/>
      <c r="I134" s="1011"/>
      <c r="J134" s="1011"/>
      <c r="K134" s="1011"/>
      <c r="L134" s="1007" t="s">
        <v>1015</v>
      </c>
      <c r="M134" s="1011"/>
      <c r="N134" s="1011"/>
      <c r="O134" s="1013"/>
      <c r="P134" s="1013"/>
      <c r="Q134" s="1013"/>
      <c r="R134" s="1038" t="s">
        <v>1015</v>
      </c>
      <c r="S134" s="1014"/>
      <c r="U134" s="1015"/>
    </row>
    <row r="135" spans="1:21" s="109" customFormat="1" ht="25" customHeight="1" x14ac:dyDescent="0.35">
      <c r="A135" s="1023"/>
      <c r="B135" s="17"/>
      <c r="C135" s="1009"/>
      <c r="D135" s="1029"/>
      <c r="E135" s="1009"/>
      <c r="F135" s="1010"/>
      <c r="G135" s="1011"/>
      <c r="H135" s="1012"/>
      <c r="I135" s="1011"/>
      <c r="J135" s="1011"/>
      <c r="K135" s="1011"/>
      <c r="L135" s="1006"/>
      <c r="M135" s="1011"/>
      <c r="N135" s="1011"/>
      <c r="O135" s="1013"/>
      <c r="P135" s="1013"/>
      <c r="Q135" s="1013"/>
      <c r="R135" s="1028"/>
      <c r="S135" s="1014"/>
      <c r="U135" s="1015"/>
    </row>
    <row r="136" spans="1:21" s="109" customFormat="1" ht="25" customHeight="1" x14ac:dyDescent="0.35">
      <c r="A136" s="1023"/>
      <c r="B136" s="17"/>
      <c r="C136" s="1009"/>
      <c r="D136" s="1029"/>
      <c r="E136" s="1009"/>
      <c r="F136" s="1010"/>
      <c r="G136" s="1011"/>
      <c r="H136" s="1012"/>
      <c r="I136" s="1011"/>
      <c r="J136" s="1011"/>
      <c r="K136" s="1011"/>
      <c r="L136" s="1006"/>
      <c r="M136" s="1011"/>
      <c r="N136" s="1011"/>
      <c r="O136" s="1013"/>
      <c r="P136" s="1013"/>
      <c r="Q136" s="1013"/>
      <c r="R136" s="1028"/>
      <c r="S136" s="1014"/>
      <c r="U136" s="1015"/>
    </row>
    <row r="137" spans="1:21" s="109" customFormat="1" ht="25" customHeight="1" x14ac:dyDescent="0.35">
      <c r="A137" s="1023"/>
      <c r="B137" s="17"/>
      <c r="C137" s="1009"/>
      <c r="D137" s="1029"/>
      <c r="E137" s="1009"/>
      <c r="F137" s="1010"/>
      <c r="G137" s="1011"/>
      <c r="H137" s="1012"/>
      <c r="I137" s="1011"/>
      <c r="J137" s="1011"/>
      <c r="K137" s="1011"/>
      <c r="L137" s="1006"/>
      <c r="M137" s="1011"/>
      <c r="N137" s="1011"/>
      <c r="O137" s="1013"/>
      <c r="P137" s="1013"/>
      <c r="Q137" s="1013"/>
      <c r="R137" s="1028"/>
      <c r="S137" s="1014"/>
      <c r="U137" s="1015"/>
    </row>
    <row r="138" spans="1:21" s="109" customFormat="1" ht="25" customHeight="1" x14ac:dyDescent="0.35">
      <c r="A138" s="1023"/>
      <c r="B138" s="17"/>
      <c r="C138" s="1009"/>
      <c r="D138" s="1027" t="s">
        <v>1001</v>
      </c>
      <c r="E138" s="1009"/>
      <c r="F138" s="1010"/>
      <c r="G138" s="1011"/>
      <c r="H138" s="1012"/>
      <c r="I138" s="1011"/>
      <c r="J138" s="1011"/>
      <c r="K138" s="1011"/>
      <c r="L138" s="1006" t="s">
        <v>1002</v>
      </c>
      <c r="M138" s="1011"/>
      <c r="N138" s="1011"/>
      <c r="O138" s="1013"/>
      <c r="P138" s="1013"/>
      <c r="Q138" s="1013"/>
      <c r="R138" s="1028" t="s">
        <v>1000</v>
      </c>
      <c r="S138" s="1014"/>
      <c r="U138" s="1015"/>
    </row>
    <row r="139" spans="1:21" s="109" customFormat="1" ht="25" customHeight="1" x14ac:dyDescent="0.35">
      <c r="A139" s="1023"/>
      <c r="B139" s="17"/>
      <c r="C139" s="1009"/>
      <c r="D139" s="1010"/>
      <c r="E139" s="1009"/>
      <c r="F139" s="1010"/>
      <c r="G139" s="1011"/>
      <c r="H139" s="1012"/>
      <c r="I139" s="1011"/>
      <c r="J139" s="1011"/>
      <c r="K139" s="1011"/>
      <c r="L139" s="1011"/>
      <c r="M139" s="1011"/>
      <c r="N139" s="1011"/>
      <c r="O139" s="1013"/>
      <c r="P139" s="1013"/>
      <c r="Q139" s="1013"/>
      <c r="R139" s="1014"/>
      <c r="S139" s="1014"/>
      <c r="U139" s="1015"/>
    </row>
    <row r="140" spans="1:21" s="109" customFormat="1" ht="25" customHeight="1" x14ac:dyDescent="0.35">
      <c r="A140" s="1043"/>
      <c r="B140" s="17"/>
      <c r="C140" s="1009"/>
      <c r="D140" s="1010"/>
      <c r="E140" s="1009"/>
      <c r="F140" s="1010"/>
      <c r="G140" s="1011"/>
      <c r="H140" s="1012"/>
      <c r="I140" s="1011"/>
      <c r="J140" s="1011"/>
      <c r="K140" s="1011"/>
      <c r="L140" s="1044"/>
      <c r="M140" s="1011"/>
      <c r="N140" s="1011"/>
      <c r="O140" s="1013"/>
      <c r="P140" s="1013"/>
      <c r="Q140" s="1013"/>
      <c r="R140" s="1014"/>
      <c r="S140" s="1014"/>
      <c r="U140" s="1015"/>
    </row>
    <row r="141" spans="1:21" s="109" customFormat="1" ht="25" customHeight="1" x14ac:dyDescent="0.35">
      <c r="A141" s="1023"/>
      <c r="B141" s="17"/>
      <c r="C141" s="1009"/>
      <c r="D141" s="1039" t="s">
        <v>1016</v>
      </c>
      <c r="E141" s="1009"/>
      <c r="F141" s="1010"/>
      <c r="G141" s="1011"/>
      <c r="H141" s="1012"/>
      <c r="I141" s="1011"/>
      <c r="J141" s="1011"/>
      <c r="K141" s="1011"/>
      <c r="L141" s="1007" t="s">
        <v>1015</v>
      </c>
      <c r="M141" s="1011"/>
      <c r="N141" s="1011"/>
      <c r="O141" s="1013"/>
      <c r="P141" s="1013"/>
      <c r="Q141" s="1013"/>
      <c r="R141" s="1038" t="s">
        <v>1017</v>
      </c>
      <c r="S141" s="1014"/>
      <c r="U141" s="1015"/>
    </row>
    <row r="142" spans="1:21" s="109" customFormat="1" ht="25" customHeight="1" x14ac:dyDescent="0.35">
      <c r="A142" s="1023"/>
      <c r="B142" s="17"/>
      <c r="C142" s="1009"/>
      <c r="D142" s="1027"/>
      <c r="E142" s="1009"/>
      <c r="F142" s="1010"/>
      <c r="G142" s="1011"/>
      <c r="H142" s="1012"/>
      <c r="I142" s="1011"/>
      <c r="J142" s="1011"/>
      <c r="K142" s="1011"/>
      <c r="L142" s="1011"/>
      <c r="M142" s="1011"/>
      <c r="N142" s="1011"/>
      <c r="O142" s="1013"/>
      <c r="P142" s="1013"/>
      <c r="Q142" s="1013"/>
      <c r="R142" s="1028"/>
      <c r="S142" s="1014"/>
      <c r="U142" s="1015"/>
    </row>
    <row r="143" spans="1:21" s="109" customFormat="1" ht="25" customHeight="1" x14ac:dyDescent="0.35">
      <c r="A143" s="1023"/>
      <c r="B143" s="17"/>
      <c r="C143" s="1009"/>
      <c r="D143" s="1027"/>
      <c r="E143" s="1009"/>
      <c r="F143" s="1010"/>
      <c r="G143" s="1011"/>
      <c r="H143" s="1012"/>
      <c r="I143" s="1011"/>
      <c r="J143" s="1011"/>
      <c r="K143" s="1011"/>
      <c r="L143" s="1011"/>
      <c r="M143" s="1011"/>
      <c r="N143" s="1011"/>
      <c r="O143" s="1013"/>
      <c r="P143" s="1013"/>
      <c r="Q143" s="1013"/>
      <c r="R143" s="1028"/>
      <c r="S143" s="1014"/>
      <c r="U143" s="1015"/>
    </row>
    <row r="144" spans="1:21" s="109" customFormat="1" ht="25" customHeight="1" x14ac:dyDescent="0.35">
      <c r="A144" s="1023"/>
      <c r="B144" s="17"/>
      <c r="C144" s="1009"/>
      <c r="D144" s="1027"/>
      <c r="E144" s="1009"/>
      <c r="F144" s="1010"/>
      <c r="G144" s="1011"/>
      <c r="H144" s="1012"/>
      <c r="I144" s="1011"/>
      <c r="J144" s="1011"/>
      <c r="K144" s="1011"/>
      <c r="L144" s="1011"/>
      <c r="M144" s="1011"/>
      <c r="N144" s="1011"/>
      <c r="O144" s="1013"/>
      <c r="P144" s="1013"/>
      <c r="Q144" s="1013"/>
      <c r="R144" s="1028"/>
      <c r="S144" s="1014"/>
      <c r="U144" s="1015"/>
    </row>
    <row r="145" spans="1:21" s="109" customFormat="1" ht="25" customHeight="1" x14ac:dyDescent="0.35">
      <c r="A145" s="1023"/>
      <c r="B145" s="17"/>
      <c r="C145" s="1009"/>
      <c r="D145" s="1027" t="s">
        <v>999</v>
      </c>
      <c r="E145" s="1009"/>
      <c r="F145" s="1010"/>
      <c r="G145" s="1011"/>
      <c r="H145" s="1012"/>
      <c r="I145" s="1011"/>
      <c r="J145" s="1118" t="s">
        <v>1040</v>
      </c>
      <c r="K145" s="1018"/>
      <c r="L145" s="1118"/>
      <c r="M145" s="1018"/>
      <c r="N145" s="1018"/>
      <c r="O145" s="1013"/>
      <c r="P145" s="1013"/>
      <c r="Q145" s="1013"/>
      <c r="R145" s="1028" t="s">
        <v>1037</v>
      </c>
      <c r="S145" s="1014"/>
      <c r="U145" s="1015"/>
    </row>
    <row r="146" spans="1:21" s="109" customFormat="1" ht="25" customHeight="1" x14ac:dyDescent="0.35">
      <c r="A146" s="1023"/>
      <c r="B146" s="17"/>
      <c r="C146" s="1009"/>
      <c r="D146" s="1010"/>
      <c r="E146" s="1009"/>
      <c r="F146" s="1010"/>
      <c r="G146" s="1011"/>
      <c r="H146" s="1012"/>
      <c r="I146" s="1011"/>
      <c r="J146" s="1011"/>
      <c r="K146" s="1011"/>
      <c r="L146" s="1011"/>
      <c r="M146" s="1011"/>
      <c r="N146" s="1011"/>
      <c r="O146" s="1013"/>
      <c r="P146" s="1013"/>
      <c r="Q146" s="1013"/>
      <c r="R146" s="1014"/>
      <c r="S146" s="1014"/>
      <c r="U146" s="1015"/>
    </row>
    <row r="147" spans="1:21" s="109" customFormat="1" ht="25" customHeight="1" x14ac:dyDescent="0.35">
      <c r="A147" s="1023"/>
      <c r="B147" s="17"/>
      <c r="C147" s="1009"/>
      <c r="D147" s="1010"/>
      <c r="E147" s="1009"/>
      <c r="F147" s="1010"/>
      <c r="G147" s="1011"/>
      <c r="H147" s="1012"/>
      <c r="I147" s="1011"/>
      <c r="J147" s="1011"/>
      <c r="K147" s="1011"/>
      <c r="L147" s="1011"/>
      <c r="M147" s="1011"/>
      <c r="N147" s="1011"/>
      <c r="O147" s="1013"/>
      <c r="P147" s="1013"/>
      <c r="Q147" s="1013"/>
      <c r="R147" s="1014"/>
      <c r="S147" s="1014"/>
      <c r="U147" s="1015"/>
    </row>
    <row r="148" spans="1:21" s="109" customFormat="1" ht="25" customHeight="1" x14ac:dyDescent="0.35">
      <c r="A148" s="1023"/>
      <c r="B148" s="17"/>
      <c r="C148" s="1009"/>
      <c r="D148" s="1010"/>
      <c r="E148" s="1009"/>
      <c r="F148" s="1010"/>
      <c r="G148" s="1011"/>
      <c r="H148" s="1012"/>
      <c r="I148" s="1011"/>
      <c r="J148" s="1011"/>
      <c r="K148" s="1011"/>
      <c r="L148" s="1011"/>
      <c r="M148" s="1011"/>
      <c r="N148" s="1011"/>
      <c r="O148" s="1013"/>
      <c r="P148" s="1013"/>
      <c r="Q148" s="1013"/>
      <c r="R148" s="1014"/>
      <c r="S148" s="1014"/>
      <c r="U148" s="1015"/>
    </row>
    <row r="149" spans="1:21" s="109" customFormat="1" ht="25" customHeight="1" x14ac:dyDescent="0.35">
      <c r="A149" s="1023"/>
      <c r="B149" s="17"/>
      <c r="C149" s="1009"/>
      <c r="D149" s="1010"/>
      <c r="E149" s="1009"/>
      <c r="F149" s="1010"/>
      <c r="G149" s="1011"/>
      <c r="H149" s="1012"/>
      <c r="I149" s="1011"/>
      <c r="J149" s="1011"/>
      <c r="K149" s="1011"/>
      <c r="L149" s="1011"/>
      <c r="M149" s="1011"/>
      <c r="N149" s="1011"/>
      <c r="O149" s="1013"/>
      <c r="P149" s="1013"/>
      <c r="Q149" s="1013"/>
      <c r="R149" s="1014"/>
      <c r="S149" s="1014"/>
      <c r="U149" s="1015"/>
    </row>
    <row r="150" spans="1:21" s="109" customFormat="1" ht="25" customHeight="1" x14ac:dyDescent="0.35">
      <c r="A150" s="1023"/>
      <c r="B150" s="17"/>
      <c r="C150" s="1030"/>
      <c r="D150" s="1031"/>
      <c r="E150" s="1030"/>
      <c r="F150" s="1031"/>
      <c r="G150" s="1011"/>
      <c r="H150" s="1032"/>
      <c r="I150" s="1011"/>
      <c r="J150" s="1011"/>
      <c r="K150" s="1011"/>
      <c r="L150" s="1011"/>
      <c r="M150" s="1011"/>
      <c r="N150" s="1011"/>
      <c r="O150" s="1013"/>
      <c r="P150" s="1013"/>
      <c r="Q150" s="1013"/>
      <c r="R150" s="1014"/>
      <c r="S150" s="1014"/>
      <c r="U150" s="1015"/>
    </row>
    <row r="151" spans="1:21" s="109" customFormat="1" ht="25" customHeight="1" x14ac:dyDescent="0.35">
      <c r="A151" s="1023"/>
      <c r="B151" s="17"/>
      <c r="C151" s="1009"/>
      <c r="D151" s="1010"/>
      <c r="E151" s="1009"/>
      <c r="F151" s="1010"/>
      <c r="G151" s="1011"/>
      <c r="H151" s="1012"/>
      <c r="I151" s="1011"/>
      <c r="J151" s="1011"/>
      <c r="K151" s="1011"/>
      <c r="L151" s="1011"/>
      <c r="M151" s="1011"/>
      <c r="N151" s="1011"/>
      <c r="O151" s="1013"/>
      <c r="P151" s="1013"/>
      <c r="Q151" s="1013"/>
      <c r="R151" s="1014"/>
      <c r="S151" s="1014"/>
      <c r="U151" s="1015"/>
    </row>
    <row r="152" spans="1:21" s="109" customFormat="1" ht="25" customHeight="1" x14ac:dyDescent="0.35">
      <c r="A152" s="1023"/>
      <c r="B152" s="17"/>
      <c r="C152" s="1009"/>
      <c r="D152" s="1010"/>
      <c r="E152" s="1009"/>
      <c r="F152" s="1010"/>
      <c r="G152" s="1011"/>
      <c r="H152" s="1012"/>
      <c r="I152" s="1011"/>
      <c r="J152" s="1011"/>
      <c r="K152" s="1011"/>
      <c r="L152" s="1011"/>
      <c r="M152" s="1011"/>
      <c r="N152" s="1011"/>
      <c r="O152" s="1013"/>
      <c r="P152" s="1013"/>
      <c r="Q152" s="1013"/>
      <c r="R152" s="1014"/>
      <c r="S152" s="1014"/>
      <c r="U152" s="1015"/>
    </row>
    <row r="153" spans="1:21" s="109" customFormat="1" ht="25" customHeight="1" x14ac:dyDescent="0.35">
      <c r="A153" s="1023"/>
      <c r="B153" s="17"/>
      <c r="C153" s="1009"/>
      <c r="D153" s="1010"/>
      <c r="E153" s="1009"/>
      <c r="F153" s="1010"/>
      <c r="G153" s="1011"/>
      <c r="H153" s="1012"/>
      <c r="I153" s="1011"/>
      <c r="J153" s="1011"/>
      <c r="K153" s="1011"/>
      <c r="L153" s="1011"/>
      <c r="M153" s="1011"/>
      <c r="N153" s="1011"/>
      <c r="O153" s="1013"/>
      <c r="P153" s="1013"/>
      <c r="Q153" s="1013"/>
      <c r="R153" s="1014"/>
      <c r="S153" s="1014"/>
      <c r="U153" s="1015"/>
    </row>
    <row r="154" spans="1:21" s="109" customFormat="1" ht="25" customHeight="1" x14ac:dyDescent="0.35">
      <c r="A154" s="1023"/>
      <c r="B154" s="17"/>
      <c r="C154" s="1009"/>
      <c r="D154" s="1010"/>
      <c r="E154" s="1009"/>
      <c r="F154" s="1010"/>
      <c r="G154" s="1011"/>
      <c r="H154" s="1012"/>
      <c r="I154" s="1011"/>
      <c r="J154" s="1011"/>
      <c r="K154" s="1011"/>
      <c r="L154" s="1011"/>
      <c r="M154" s="1011"/>
      <c r="N154" s="1011"/>
      <c r="O154" s="1013"/>
      <c r="P154" s="1013"/>
      <c r="Q154" s="1013"/>
      <c r="R154" s="1014"/>
      <c r="S154" s="1014"/>
      <c r="U154" s="1015"/>
    </row>
    <row r="155" spans="1:21" s="109" customFormat="1" ht="25" customHeight="1" x14ac:dyDescent="0.35">
      <c r="A155" s="1023"/>
      <c r="B155" s="17"/>
      <c r="C155" s="1009"/>
      <c r="D155" s="1010"/>
      <c r="E155" s="1009"/>
      <c r="F155" s="1010"/>
      <c r="G155" s="1011"/>
      <c r="H155" s="1012"/>
      <c r="I155" s="1011"/>
      <c r="J155" s="1011"/>
      <c r="K155" s="1011"/>
      <c r="L155" s="1011"/>
      <c r="M155" s="1011"/>
      <c r="N155" s="1011"/>
      <c r="O155" s="1013"/>
      <c r="P155" s="1013"/>
      <c r="Q155" s="1013"/>
      <c r="R155" s="1014"/>
      <c r="S155" s="1014"/>
      <c r="U155" s="1015"/>
    </row>
    <row r="156" spans="1:21" s="1033" customFormat="1" ht="25" customHeight="1" x14ac:dyDescent="0.35">
      <c r="A156" s="1023"/>
      <c r="B156" s="17"/>
      <c r="C156" s="1009"/>
      <c r="D156" s="1010"/>
      <c r="E156" s="1009"/>
      <c r="F156" s="1010"/>
      <c r="G156" s="1011"/>
      <c r="H156" s="1012"/>
      <c r="I156" s="1011"/>
      <c r="J156" s="1011"/>
      <c r="K156" s="1011"/>
      <c r="L156" s="1011"/>
      <c r="M156" s="1011"/>
      <c r="N156" s="1011"/>
      <c r="O156" s="1013"/>
      <c r="P156" s="1013"/>
      <c r="Q156" s="1013"/>
      <c r="R156" s="1014"/>
      <c r="S156" s="1014"/>
      <c r="U156" s="1034"/>
    </row>
    <row r="157" spans="1:21" s="1033" customFormat="1" ht="25" customHeight="1" x14ac:dyDescent="0.35">
      <c r="A157" s="1023"/>
      <c r="B157" s="17"/>
      <c r="C157" s="1030"/>
      <c r="D157" s="1031"/>
      <c r="E157" s="1030"/>
      <c r="F157" s="1031"/>
      <c r="G157" s="1011"/>
      <c r="H157" s="1032"/>
      <c r="I157" s="1011"/>
      <c r="J157" s="1011"/>
      <c r="K157" s="1011"/>
      <c r="L157" s="1011"/>
      <c r="M157" s="1011"/>
      <c r="N157" s="1011"/>
      <c r="O157" s="1013"/>
      <c r="P157" s="1013"/>
      <c r="Q157" s="1013"/>
      <c r="R157" s="1014"/>
      <c r="S157" s="1014"/>
      <c r="U157" s="1034"/>
    </row>
    <row r="158" spans="1:21" s="1033" customFormat="1" ht="25" customHeight="1" x14ac:dyDescent="0.35">
      <c r="A158" s="1023"/>
      <c r="B158" s="17"/>
      <c r="C158" s="1009"/>
      <c r="D158" s="1010"/>
      <c r="E158" s="1009"/>
      <c r="F158" s="1010"/>
      <c r="G158" s="1011"/>
      <c r="H158" s="1035"/>
      <c r="I158" s="1011"/>
      <c r="J158" s="1011"/>
      <c r="K158" s="1011"/>
      <c r="L158" s="1011"/>
      <c r="M158" s="1011"/>
      <c r="N158" s="1011"/>
      <c r="O158" s="1013"/>
      <c r="P158" s="1013"/>
      <c r="Q158" s="1013"/>
      <c r="R158" s="1014"/>
      <c r="S158" s="1014"/>
      <c r="U158" s="1034"/>
    </row>
    <row r="159" spans="1:21" s="1033" customFormat="1" ht="25" customHeight="1" x14ac:dyDescent="0.35">
      <c r="A159" s="1023"/>
      <c r="B159" s="17"/>
      <c r="C159" s="1036"/>
      <c r="D159" s="1010"/>
      <c r="E159" s="1036"/>
      <c r="F159" s="1010"/>
      <c r="G159" s="1011"/>
      <c r="H159" s="1035"/>
      <c r="I159" s="1011"/>
      <c r="J159" s="1011"/>
      <c r="K159" s="1011"/>
      <c r="L159" s="1011"/>
      <c r="M159" s="1011"/>
      <c r="N159" s="1011"/>
      <c r="O159" s="1013"/>
      <c r="P159" s="1013"/>
      <c r="Q159" s="1013"/>
      <c r="R159" s="1014"/>
      <c r="S159" s="1014"/>
      <c r="U159" s="1034"/>
    </row>
    <row r="160" spans="1:21" s="1033" customFormat="1" x14ac:dyDescent="0.35">
      <c r="A160" s="1023"/>
      <c r="B160" s="17"/>
      <c r="C160" s="1036"/>
      <c r="D160" s="1010"/>
      <c r="E160" s="1036"/>
      <c r="F160" s="1010"/>
      <c r="G160" s="1011"/>
      <c r="H160" s="1035"/>
      <c r="I160" s="1011"/>
      <c r="J160" s="1011"/>
      <c r="K160" s="1011"/>
      <c r="L160" s="1011"/>
      <c r="M160" s="1011"/>
      <c r="N160" s="1011"/>
      <c r="O160" s="1013"/>
      <c r="P160" s="1013"/>
      <c r="Q160" s="1013"/>
      <c r="R160" s="1014"/>
      <c r="S160" s="1014"/>
      <c r="U160" s="1034"/>
    </row>
    <row r="161" spans="1:21" s="1033" customFormat="1" x14ac:dyDescent="0.35">
      <c r="A161" s="1023"/>
      <c r="B161" s="17"/>
      <c r="C161" s="1036"/>
      <c r="D161" s="1010"/>
      <c r="E161" s="1036"/>
      <c r="F161" s="1010"/>
      <c r="G161" s="1011"/>
      <c r="H161" s="1012"/>
      <c r="I161" s="1011"/>
      <c r="J161" s="1011"/>
      <c r="K161" s="1011"/>
      <c r="L161" s="1011"/>
      <c r="M161" s="1011"/>
      <c r="N161" s="1011"/>
      <c r="O161" s="1013"/>
      <c r="P161" s="1013"/>
      <c r="Q161" s="1013"/>
      <c r="R161" s="1014"/>
      <c r="S161" s="1014"/>
      <c r="U161" s="1034"/>
    </row>
    <row r="162" spans="1:21" s="1033" customFormat="1" x14ac:dyDescent="0.35">
      <c r="A162" s="1023"/>
      <c r="B162" s="17"/>
      <c r="C162" s="1030"/>
      <c r="D162" s="1031"/>
      <c r="E162" s="1030"/>
      <c r="F162" s="1031"/>
      <c r="G162" s="1011"/>
      <c r="H162" s="1032"/>
      <c r="I162" s="1011"/>
      <c r="J162" s="1011"/>
      <c r="K162" s="1011"/>
      <c r="L162" s="1011"/>
      <c r="M162" s="1011"/>
      <c r="N162" s="1011"/>
      <c r="O162" s="1013"/>
      <c r="P162" s="1013"/>
      <c r="Q162" s="1013"/>
      <c r="R162" s="1014"/>
      <c r="S162" s="1014"/>
      <c r="U162" s="1034"/>
    </row>
    <row r="163" spans="1:21" s="1033" customFormat="1" x14ac:dyDescent="0.35">
      <c r="A163" s="1023"/>
      <c r="B163" s="17"/>
      <c r="C163" s="1009"/>
      <c r="D163" s="1010"/>
      <c r="E163" s="1009"/>
      <c r="F163" s="1010"/>
      <c r="G163" s="1011"/>
      <c r="H163" s="1012"/>
      <c r="I163" s="1011"/>
      <c r="J163" s="1011"/>
      <c r="K163" s="1011"/>
      <c r="L163" s="1011"/>
      <c r="M163" s="1011"/>
      <c r="N163" s="1011"/>
      <c r="O163" s="1013"/>
      <c r="P163" s="1013"/>
      <c r="Q163" s="1013"/>
      <c r="R163" s="1014"/>
      <c r="S163" s="1014"/>
      <c r="U163" s="1034"/>
    </row>
    <row r="164" spans="1:21" s="1033" customFormat="1" x14ac:dyDescent="0.35">
      <c r="A164" s="1023"/>
      <c r="B164" s="17"/>
      <c r="C164" s="1009"/>
      <c r="D164" s="1010"/>
      <c r="E164" s="1009"/>
      <c r="F164" s="1010"/>
      <c r="G164" s="1011"/>
      <c r="H164" s="1012"/>
      <c r="I164" s="1011"/>
      <c r="J164" s="1011"/>
      <c r="K164" s="1011"/>
      <c r="L164" s="1011"/>
      <c r="M164" s="1011"/>
      <c r="N164" s="1011"/>
      <c r="O164" s="1013"/>
      <c r="P164" s="1013"/>
      <c r="Q164" s="1013"/>
      <c r="R164" s="1014"/>
      <c r="S164" s="1014"/>
      <c r="U164" s="1034"/>
    </row>
    <row r="165" spans="1:21" s="1033" customFormat="1" x14ac:dyDescent="0.35">
      <c r="A165" s="1023"/>
      <c r="B165" s="17"/>
      <c r="C165" s="1030"/>
      <c r="D165" s="1031"/>
      <c r="E165" s="1030"/>
      <c r="F165" s="1031"/>
      <c r="G165" s="1011"/>
      <c r="H165" s="1032"/>
      <c r="I165" s="1011"/>
      <c r="J165" s="1011"/>
      <c r="K165" s="1011"/>
      <c r="L165" s="1011"/>
      <c r="M165" s="1011"/>
      <c r="N165" s="1011"/>
      <c r="O165" s="1013"/>
      <c r="P165" s="1013"/>
      <c r="Q165" s="1013"/>
      <c r="R165" s="1014"/>
      <c r="S165" s="1014"/>
      <c r="U165" s="1034"/>
    </row>
    <row r="166" spans="1:21" s="1033" customFormat="1" x14ac:dyDescent="0.35">
      <c r="A166" s="1023"/>
      <c r="B166" s="17"/>
      <c r="C166" s="1009"/>
      <c r="D166" s="1010"/>
      <c r="E166" s="1009"/>
      <c r="F166" s="1010"/>
      <c r="G166" s="1011"/>
      <c r="H166" s="1012"/>
      <c r="I166" s="1011"/>
      <c r="J166" s="1011"/>
      <c r="K166" s="1011"/>
      <c r="L166" s="1011"/>
      <c r="M166" s="1011"/>
      <c r="N166" s="1011"/>
      <c r="O166" s="1013"/>
      <c r="P166" s="1013"/>
      <c r="Q166" s="1013"/>
      <c r="R166" s="1014"/>
      <c r="S166" s="1014"/>
      <c r="U166" s="1034"/>
    </row>
    <row r="167" spans="1:21" s="9" customFormat="1" x14ac:dyDescent="0.35">
      <c r="A167" s="359"/>
      <c r="B167" s="17"/>
      <c r="C167" s="19"/>
      <c r="D167" s="196"/>
      <c r="E167" s="19"/>
      <c r="F167" s="196"/>
      <c r="G167" s="100"/>
      <c r="H167" s="18"/>
      <c r="I167" s="100"/>
      <c r="J167" s="100"/>
      <c r="K167" s="100"/>
      <c r="L167" s="100"/>
      <c r="M167" s="100"/>
      <c r="N167" s="100"/>
      <c r="O167" s="105"/>
      <c r="P167" s="105"/>
      <c r="Q167" s="105"/>
      <c r="R167" s="3"/>
      <c r="S167" s="3"/>
      <c r="U167" s="978"/>
    </row>
    <row r="168" spans="1:21" s="9" customFormat="1" x14ac:dyDescent="0.35">
      <c r="A168" s="359"/>
      <c r="B168" s="17"/>
      <c r="C168" s="13"/>
      <c r="D168" s="195"/>
      <c r="E168" s="13"/>
      <c r="F168" s="195"/>
      <c r="G168" s="100"/>
      <c r="H168" s="12"/>
      <c r="I168" s="100"/>
      <c r="J168" s="100"/>
      <c r="K168" s="100"/>
      <c r="L168" s="100"/>
      <c r="M168" s="100"/>
      <c r="N168" s="100"/>
      <c r="O168" s="105"/>
      <c r="P168" s="105"/>
      <c r="Q168" s="105"/>
      <c r="R168" s="3"/>
      <c r="S168" s="3"/>
      <c r="U168" s="978"/>
    </row>
    <row r="169" spans="1:21" s="9" customFormat="1" x14ac:dyDescent="0.35">
      <c r="A169" s="359"/>
      <c r="B169" s="17"/>
      <c r="C169" s="13"/>
      <c r="D169" s="195"/>
      <c r="E169" s="13"/>
      <c r="F169" s="195"/>
      <c r="G169" s="100"/>
      <c r="H169" s="12"/>
      <c r="I169" s="100"/>
      <c r="J169" s="100"/>
      <c r="K169" s="100"/>
      <c r="L169" s="100"/>
      <c r="M169" s="100"/>
      <c r="N169" s="100"/>
      <c r="O169" s="105"/>
      <c r="P169" s="105"/>
      <c r="Q169" s="105"/>
      <c r="R169" s="3"/>
      <c r="S169" s="3"/>
      <c r="U169" s="978"/>
    </row>
    <row r="170" spans="1:21" s="9" customFormat="1" x14ac:dyDescent="0.35">
      <c r="A170" s="359"/>
      <c r="B170" s="17"/>
      <c r="C170" s="13"/>
      <c r="D170" s="195"/>
      <c r="E170" s="13"/>
      <c r="F170" s="195"/>
      <c r="G170" s="100"/>
      <c r="H170" s="12"/>
      <c r="I170" s="100"/>
      <c r="J170" s="100"/>
      <c r="K170" s="100"/>
      <c r="L170" s="100"/>
      <c r="M170" s="100"/>
      <c r="N170" s="100"/>
      <c r="O170" s="105"/>
      <c r="P170" s="105"/>
      <c r="Q170" s="105"/>
      <c r="R170" s="3"/>
      <c r="S170" s="3"/>
      <c r="U170" s="978"/>
    </row>
    <row r="171" spans="1:21" s="9" customFormat="1" x14ac:dyDescent="0.35">
      <c r="A171" s="359"/>
      <c r="B171" s="17"/>
      <c r="C171" s="13"/>
      <c r="D171" s="195"/>
      <c r="E171" s="13"/>
      <c r="F171" s="195"/>
      <c r="G171" s="100"/>
      <c r="H171" s="12"/>
      <c r="I171" s="100"/>
      <c r="J171" s="100"/>
      <c r="K171" s="100"/>
      <c r="L171" s="100"/>
      <c r="M171" s="100"/>
      <c r="N171" s="100"/>
      <c r="O171" s="105"/>
      <c r="P171" s="105"/>
      <c r="Q171" s="105"/>
      <c r="R171" s="3"/>
      <c r="S171" s="3"/>
      <c r="U171" s="978"/>
    </row>
    <row r="172" spans="1:21" s="9" customFormat="1" x14ac:dyDescent="0.35">
      <c r="A172" s="359"/>
      <c r="B172" s="17"/>
      <c r="C172" s="13"/>
      <c r="D172" s="195"/>
      <c r="E172" s="13"/>
      <c r="F172" s="195"/>
      <c r="G172" s="100"/>
      <c r="H172" s="12"/>
      <c r="I172" s="100"/>
      <c r="J172" s="100"/>
      <c r="K172" s="100"/>
      <c r="L172" s="100"/>
      <c r="M172" s="100"/>
      <c r="N172" s="100"/>
      <c r="O172" s="105"/>
      <c r="P172" s="105"/>
      <c r="Q172" s="105"/>
      <c r="R172" s="3"/>
      <c r="S172" s="3"/>
      <c r="U172" s="978"/>
    </row>
    <row r="173" spans="1:21" s="9" customFormat="1" x14ac:dyDescent="0.35">
      <c r="A173" s="359"/>
      <c r="B173" s="17"/>
      <c r="C173" s="13"/>
      <c r="D173" s="195"/>
      <c r="E173" s="13"/>
      <c r="F173" s="195"/>
      <c r="G173" s="100"/>
      <c r="H173" s="12"/>
      <c r="I173" s="100"/>
      <c r="J173" s="100"/>
      <c r="K173" s="100"/>
      <c r="L173" s="100"/>
      <c r="M173" s="100"/>
      <c r="N173" s="100"/>
      <c r="O173" s="105"/>
      <c r="P173" s="105"/>
      <c r="Q173" s="105"/>
      <c r="R173" s="3"/>
      <c r="S173" s="3"/>
      <c r="U173" s="978"/>
    </row>
    <row r="174" spans="1:21" s="9" customFormat="1" x14ac:dyDescent="0.35">
      <c r="A174" s="359"/>
      <c r="B174" s="17"/>
      <c r="C174" s="13"/>
      <c r="D174" s="195"/>
      <c r="E174" s="13"/>
      <c r="F174" s="195"/>
      <c r="G174" s="100"/>
      <c r="H174" s="12"/>
      <c r="I174" s="100"/>
      <c r="J174" s="100"/>
      <c r="K174" s="100"/>
      <c r="L174" s="100"/>
      <c r="M174" s="100"/>
      <c r="N174" s="100"/>
      <c r="O174" s="105"/>
      <c r="P174" s="105"/>
      <c r="Q174" s="105"/>
      <c r="R174" s="3"/>
      <c r="S174" s="3"/>
      <c r="U174" s="978"/>
    </row>
    <row r="175" spans="1:21" s="9" customFormat="1" x14ac:dyDescent="0.35">
      <c r="A175" s="359"/>
      <c r="B175" s="17"/>
      <c r="C175" s="13"/>
      <c r="D175" s="195"/>
      <c r="E175" s="13"/>
      <c r="F175" s="195"/>
      <c r="G175" s="100"/>
      <c r="H175" s="12"/>
      <c r="I175" s="100"/>
      <c r="J175" s="100"/>
      <c r="K175" s="100"/>
      <c r="L175" s="100"/>
      <c r="M175" s="100"/>
      <c r="N175" s="100"/>
      <c r="O175" s="105"/>
      <c r="P175" s="105"/>
      <c r="Q175" s="105"/>
      <c r="R175" s="3"/>
      <c r="S175" s="3"/>
      <c r="U175" s="978"/>
    </row>
    <row r="176" spans="1:21" s="9" customFormat="1" x14ac:dyDescent="0.35">
      <c r="A176" s="359"/>
      <c r="B176" s="17"/>
      <c r="C176" s="13"/>
      <c r="D176" s="195"/>
      <c r="E176" s="13"/>
      <c r="F176" s="195"/>
      <c r="G176" s="100"/>
      <c r="H176" s="14"/>
      <c r="I176" s="100"/>
      <c r="J176" s="100"/>
      <c r="K176" s="100"/>
      <c r="L176" s="100"/>
      <c r="M176" s="100"/>
      <c r="N176" s="100"/>
      <c r="O176" s="105"/>
      <c r="P176" s="105"/>
      <c r="Q176" s="105"/>
      <c r="R176" s="3"/>
      <c r="S176" s="3"/>
      <c r="U176" s="978"/>
    </row>
    <row r="177" spans="1:21" s="9" customFormat="1" x14ac:dyDescent="0.35">
      <c r="A177" s="359"/>
      <c r="B177" s="17"/>
      <c r="C177" s="13"/>
      <c r="D177" s="195"/>
      <c r="E177" s="13"/>
      <c r="F177" s="195"/>
      <c r="G177" s="100"/>
      <c r="H177" s="12"/>
      <c r="I177" s="100"/>
      <c r="J177" s="100"/>
      <c r="K177" s="100"/>
      <c r="L177" s="100"/>
      <c r="M177" s="100"/>
      <c r="N177" s="100"/>
      <c r="O177" s="105"/>
      <c r="P177" s="105"/>
      <c r="Q177" s="105"/>
      <c r="R177" s="3"/>
      <c r="S177" s="3"/>
      <c r="U177" s="978"/>
    </row>
    <row r="178" spans="1:21" s="9" customFormat="1" x14ac:dyDescent="0.35">
      <c r="A178" s="359"/>
      <c r="B178" s="17"/>
      <c r="C178" s="20"/>
      <c r="D178" s="195"/>
      <c r="E178" s="20"/>
      <c r="F178" s="195"/>
      <c r="G178" s="100"/>
      <c r="H178" s="650"/>
      <c r="I178" s="100"/>
      <c r="J178" s="100"/>
      <c r="K178" s="100"/>
      <c r="L178" s="100"/>
      <c r="M178" s="100"/>
      <c r="N178" s="100"/>
      <c r="O178" s="105"/>
      <c r="P178" s="105"/>
      <c r="Q178" s="105"/>
      <c r="R178" s="3"/>
      <c r="S178" s="3"/>
      <c r="U178" s="978"/>
    </row>
  </sheetData>
  <autoFilter ref="A6:X168">
    <filterColumn colId="3" showButton="0"/>
    <filterColumn colId="4" showButton="0"/>
    <filterColumn colId="6" showButton="0"/>
    <filterColumn colId="7" showButton="0"/>
  </autoFilter>
  <mergeCells count="4">
    <mergeCell ref="A6:A7"/>
    <mergeCell ref="C6:C7"/>
    <mergeCell ref="D6:F6"/>
    <mergeCell ref="G6:H6"/>
  </mergeCells>
  <printOptions horizontalCentered="1"/>
  <pageMargins left="0.4" right="0.4" top="0.3" bottom="0.3" header="0.3" footer="0.2"/>
  <pageSetup paperSize="8" scale="60" firstPageNumber="2" fitToHeight="3" orientation="landscape" useFirstPageNumber="1" r:id="rId1"/>
  <headerFooter>
    <oddFooter>&amp;L&amp;F, &amp;A&amp;RPage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U116"/>
  <sheetViews>
    <sheetView zoomScaleNormal="100" zoomScaleSheetLayoutView="55" workbookViewId="0">
      <selection activeCell="C59" sqref="C59"/>
    </sheetView>
  </sheetViews>
  <sheetFormatPr defaultColWidth="9.1796875" defaultRowHeight="14.25" customHeight="1" x14ac:dyDescent="0.35"/>
  <cols>
    <col min="1" max="1" width="7.54296875" style="924" customWidth="1"/>
    <col min="2" max="2" width="53.1796875" style="925" customWidth="1"/>
    <col min="3" max="6" width="21" style="925" customWidth="1"/>
    <col min="7" max="7" width="10.7265625" style="901" customWidth="1"/>
    <col min="8" max="17" width="10.7265625" style="630" customWidth="1"/>
    <col min="18" max="16384" width="9.1796875" style="630"/>
  </cols>
  <sheetData>
    <row r="2" spans="1:17" ht="27" customHeight="1" x14ac:dyDescent="0.35">
      <c r="A2" s="956" t="s">
        <v>1073</v>
      </c>
      <c r="B2" s="908"/>
      <c r="C2" s="908"/>
      <c r="D2" s="908"/>
      <c r="E2" s="908"/>
      <c r="F2" s="908"/>
      <c r="G2" s="909"/>
      <c r="H2" s="955"/>
      <c r="I2" s="955"/>
      <c r="J2" s="955"/>
      <c r="K2" s="955"/>
      <c r="L2" s="955"/>
      <c r="M2" s="955"/>
      <c r="N2" s="955"/>
      <c r="O2" s="955"/>
      <c r="P2" s="955"/>
      <c r="Q2" s="955"/>
    </row>
    <row r="3" spans="1:17" ht="14.25" customHeight="1" x14ac:dyDescent="0.35">
      <c r="A3" s="907"/>
      <c r="B3" s="908"/>
      <c r="C3" s="908"/>
      <c r="D3" s="908"/>
      <c r="E3" s="908"/>
      <c r="F3" s="908"/>
      <c r="G3" s="909"/>
    </row>
    <row r="4" spans="1:17" ht="5.15" customHeight="1" x14ac:dyDescent="0.35">
      <c r="A4" s="910"/>
      <c r="B4" s="908"/>
      <c r="C4" s="908"/>
      <c r="D4" s="908"/>
      <c r="E4" s="908"/>
      <c r="F4" s="908"/>
      <c r="G4" s="909"/>
    </row>
    <row r="5" spans="1:17" s="914" customFormat="1" ht="15" customHeight="1" x14ac:dyDescent="0.35">
      <c r="A5" s="911"/>
      <c r="B5" s="912"/>
      <c r="C5" s="912"/>
      <c r="D5" s="912"/>
      <c r="E5" s="912"/>
      <c r="F5" s="912"/>
      <c r="G5" s="913"/>
    </row>
    <row r="6" spans="1:17" s="914" customFormat="1" ht="18" customHeight="1" x14ac:dyDescent="0.35">
      <c r="A6" s="915"/>
      <c r="B6" s="912"/>
      <c r="C6" s="912"/>
      <c r="D6" s="912"/>
      <c r="E6" s="950">
        <f>'Detail Revenue'!$G$8</f>
        <v>95768.099999999889</v>
      </c>
      <c r="F6" s="951" t="s">
        <v>426</v>
      </c>
    </row>
    <row r="7" spans="1:17" s="914" customFormat="1" ht="5.15" customHeight="1" x14ac:dyDescent="0.35">
      <c r="A7" s="910"/>
      <c r="B7" s="912"/>
      <c r="C7" s="912"/>
      <c r="D7" s="912"/>
      <c r="E7" s="912"/>
      <c r="F7" s="912"/>
      <c r="G7" s="913"/>
    </row>
    <row r="8" spans="1:17" ht="25" customHeight="1" x14ac:dyDescent="0.35">
      <c r="A8" s="916"/>
      <c r="B8" s="917"/>
      <c r="C8" s="899" t="s">
        <v>973</v>
      </c>
      <c r="D8" s="900"/>
      <c r="E8" s="899"/>
      <c r="F8" s="900"/>
    </row>
    <row r="9" spans="1:17" s="918" customFormat="1" ht="25" customHeight="1" x14ac:dyDescent="0.35">
      <c r="A9" s="929"/>
      <c r="B9" s="930" t="s">
        <v>974</v>
      </c>
      <c r="C9" s="931" t="s">
        <v>1056</v>
      </c>
      <c r="D9" s="931" t="s">
        <v>976</v>
      </c>
      <c r="E9" s="931" t="s">
        <v>1072</v>
      </c>
      <c r="F9" s="931"/>
      <c r="I9" s="630"/>
    </row>
    <row r="10" spans="1:17" s="918" customFormat="1" ht="25" customHeight="1" x14ac:dyDescent="0.35">
      <c r="A10" s="929" t="s">
        <v>985</v>
      </c>
      <c r="B10" s="932" t="s">
        <v>977</v>
      </c>
      <c r="C10" s="898"/>
      <c r="D10" s="898"/>
      <c r="E10" s="933"/>
      <c r="F10" s="933"/>
      <c r="I10" s="630"/>
    </row>
    <row r="11" spans="1:17" ht="25" customHeight="1" x14ac:dyDescent="0.35">
      <c r="A11" s="629">
        <v>1</v>
      </c>
      <c r="B11" s="934" t="s">
        <v>981</v>
      </c>
      <c r="C11" s="898">
        <f>'General-Budget 2018 - MF'!F9</f>
        <v>21969228000.303032</v>
      </c>
      <c r="D11" s="898">
        <f>'General-Budget 2018 - MF'!G9</f>
        <v>21969227999.999977</v>
      </c>
      <c r="E11" s="933">
        <f>C11-D11</f>
        <v>0.3030548095703125</v>
      </c>
      <c r="F11" s="933"/>
    </row>
    <row r="12" spans="1:17" ht="25" customHeight="1" x14ac:dyDescent="0.35">
      <c r="A12" s="629">
        <f>A11+1</f>
        <v>2</v>
      </c>
      <c r="B12" s="934" t="s">
        <v>978</v>
      </c>
      <c r="C12" s="898">
        <f>'General-Budget 2018 - MF'!F10+'General-Budget 2018 - MF'!F11</f>
        <v>830400000</v>
      </c>
      <c r="D12" s="898">
        <f>'General-Budget 2018 - MF'!G10+'General-Budget 2018 - MF'!G11</f>
        <v>830400000</v>
      </c>
      <c r="E12" s="933">
        <f t="shared" ref="E12:E15" si="0">C12-D12</f>
        <v>0</v>
      </c>
      <c r="F12" s="933"/>
    </row>
    <row r="13" spans="1:17" ht="25" customHeight="1" x14ac:dyDescent="0.35">
      <c r="A13" s="629">
        <f t="shared" ref="A13:A15" si="1">A12+1</f>
        <v>3</v>
      </c>
      <c r="B13" s="934" t="s">
        <v>979</v>
      </c>
      <c r="C13" s="898">
        <f>'General-Budget 2018 - MF'!F18</f>
        <v>0</v>
      </c>
      <c r="D13" s="898">
        <f>'General-Budget 2018 - MF'!G18</f>
        <v>0</v>
      </c>
      <c r="E13" s="933">
        <f t="shared" si="0"/>
        <v>0</v>
      </c>
      <c r="F13" s="933"/>
    </row>
    <row r="14" spans="1:17" ht="25" customHeight="1" x14ac:dyDescent="0.35">
      <c r="A14" s="629">
        <f t="shared" si="1"/>
        <v>4</v>
      </c>
      <c r="B14" s="934" t="s">
        <v>980</v>
      </c>
      <c r="C14" s="898">
        <f>'General-Budget 2018 - MF'!F23</f>
        <v>10576539.363636363</v>
      </c>
      <c r="D14" s="898">
        <f>'General-Budget 2018 - MF'!G23</f>
        <v>0</v>
      </c>
      <c r="E14" s="933">
        <f t="shared" si="0"/>
        <v>10576539.363636363</v>
      </c>
      <c r="F14" s="933"/>
    </row>
    <row r="15" spans="1:17" ht="25" customHeight="1" x14ac:dyDescent="0.35">
      <c r="A15" s="629">
        <f t="shared" si="1"/>
        <v>5</v>
      </c>
      <c r="B15" s="934" t="s">
        <v>1018</v>
      </c>
      <c r="C15" s="898">
        <f>'General-Budget 2018 - MF'!F26-SUM(Reconciliation!C11:C14)</f>
        <v>3974028016.8181839</v>
      </c>
      <c r="D15" s="898">
        <f>'General-Budget 2018 - MF'!G12+'General-Budget 2018 - MF'!G13+'General-Budget 2018 - MF'!G14+'General-Budget 2018 - MF'!G15+'General-Budget 2018 - MF'!G16+'General-Budget 2018 - MF'!G17+'General-Budget 2018 - MF'!G19+'General-Budget 2018 - MF'!G20+'General-Budget 2018 - MF'!G21+'General-Budget 2018 - MF'!G22+'General-Budget 2018 - MF'!G24</f>
        <v>3554555630.3030252</v>
      </c>
      <c r="E15" s="933">
        <f t="shared" si="0"/>
        <v>419472386.51515865</v>
      </c>
      <c r="F15" s="933"/>
    </row>
    <row r="16" spans="1:17" ht="25" customHeight="1" x14ac:dyDescent="0.35">
      <c r="A16" s="906"/>
      <c r="B16" s="904" t="s">
        <v>982</v>
      </c>
      <c r="C16" s="902">
        <f>SUM(C11:C15)</f>
        <v>26784232556.484852</v>
      </c>
      <c r="D16" s="902">
        <f>SUM(D11:D15)</f>
        <v>26354183630.303001</v>
      </c>
      <c r="E16" s="902">
        <f>SUM(E11:E15)</f>
        <v>430048926.18184984</v>
      </c>
      <c r="F16" s="902">
        <f>SUM(F11:F15)</f>
        <v>0</v>
      </c>
    </row>
    <row r="17" spans="1:7" ht="25" customHeight="1" x14ac:dyDescent="0.35">
      <c r="A17" s="942"/>
      <c r="B17" s="943"/>
      <c r="C17" s="1164"/>
      <c r="D17" s="1164"/>
      <c r="E17" s="1164"/>
      <c r="F17" s="1164"/>
    </row>
    <row r="18" spans="1:7" ht="25" customHeight="1" x14ac:dyDescent="0.35">
      <c r="A18" s="947"/>
      <c r="B18" s="948"/>
      <c r="C18" s="949"/>
      <c r="D18" s="949"/>
      <c r="E18" s="949"/>
      <c r="F18" s="949"/>
    </row>
    <row r="19" spans="1:7" ht="25" customHeight="1" x14ac:dyDescent="0.35">
      <c r="A19" s="944"/>
      <c r="B19" s="945"/>
      <c r="C19" s="946"/>
      <c r="D19" s="946"/>
      <c r="E19" s="946"/>
      <c r="F19" s="946"/>
    </row>
    <row r="20" spans="1:7" ht="25" customHeight="1" x14ac:dyDescent="0.35">
      <c r="A20" s="906" t="s">
        <v>986</v>
      </c>
      <c r="B20" s="904" t="s">
        <v>983</v>
      </c>
      <c r="C20" s="903"/>
      <c r="D20" s="903"/>
      <c r="E20" s="933"/>
      <c r="F20" s="933"/>
    </row>
    <row r="21" spans="1:7" ht="25" customHeight="1" x14ac:dyDescent="0.35">
      <c r="A21" s="629">
        <v>1</v>
      </c>
      <c r="B21" s="935" t="s">
        <v>901</v>
      </c>
      <c r="C21" s="903">
        <f>'General-Budget 2018 - MF'!F53</f>
        <v>8632814115.0432739</v>
      </c>
      <c r="D21" s="903">
        <f>'General-Budget 2018 - MF'!G53</f>
        <v>8983298001.3333359</v>
      </c>
      <c r="E21" s="933">
        <f>C21-D21</f>
        <v>-350483886.29006195</v>
      </c>
      <c r="F21" s="933"/>
      <c r="G21" s="630"/>
    </row>
    <row r="22" spans="1:7" ht="25" customHeight="1" x14ac:dyDescent="0.35">
      <c r="A22" s="629">
        <v>2</v>
      </c>
      <c r="B22" s="935" t="s">
        <v>902</v>
      </c>
      <c r="C22" s="903">
        <f>'General-Budget 2018 - MF'!F77</f>
        <v>7333060038.3896103</v>
      </c>
      <c r="D22" s="903">
        <f>'General-Budget 2018 - MF'!G77</f>
        <v>7827185249.9047613</v>
      </c>
      <c r="E22" s="933">
        <f t="shared" ref="E22:E24" si="2">C22-D22</f>
        <v>-494125211.51515102</v>
      </c>
      <c r="F22" s="933"/>
      <c r="G22" s="630"/>
    </row>
    <row r="23" spans="1:7" ht="25" customHeight="1" x14ac:dyDescent="0.35">
      <c r="A23" s="629">
        <v>3</v>
      </c>
      <c r="B23" s="935" t="s">
        <v>903</v>
      </c>
      <c r="C23" s="903">
        <f>'General-Budget 2018 - MF'!F112</f>
        <v>3515928899.7909088</v>
      </c>
      <c r="D23" s="903">
        <f>'General-Budget 2018 - MF'!G112</f>
        <v>5938119333.333333</v>
      </c>
      <c r="E23" s="933">
        <f t="shared" si="2"/>
        <v>-2422190433.5424242</v>
      </c>
      <c r="F23" s="933"/>
      <c r="G23" s="630"/>
    </row>
    <row r="24" spans="1:7" ht="25" customHeight="1" x14ac:dyDescent="0.35">
      <c r="A24" s="629">
        <v>4</v>
      </c>
      <c r="B24" s="935" t="s">
        <v>904</v>
      </c>
      <c r="C24" s="903">
        <f>'General-Budget 2018 - MF'!F120</f>
        <v>7250579298.747036</v>
      </c>
      <c r="D24" s="903">
        <f>'General-Budget 2018 - MF'!G120</f>
        <v>7474865841.9488964</v>
      </c>
      <c r="E24" s="933">
        <f t="shared" si="2"/>
        <v>-224286543.20186043</v>
      </c>
      <c r="F24" s="933"/>
      <c r="G24" s="630"/>
    </row>
    <row r="25" spans="1:7" ht="25" customHeight="1" x14ac:dyDescent="0.35">
      <c r="A25" s="906"/>
      <c r="B25" s="936" t="s">
        <v>984</v>
      </c>
      <c r="C25" s="905">
        <f>SUM(C21:C24)</f>
        <v>26732382351.970829</v>
      </c>
      <c r="D25" s="905">
        <f>SUM(D21:D24)</f>
        <v>30223468426.520325</v>
      </c>
      <c r="E25" s="937">
        <f>SUM(E21:E24)</f>
        <v>-3491086074.5494976</v>
      </c>
      <c r="F25" s="937"/>
    </row>
    <row r="26" spans="1:7" ht="25" customHeight="1" x14ac:dyDescent="0.35">
      <c r="A26" s="630"/>
      <c r="B26" s="630"/>
      <c r="C26" s="630"/>
      <c r="D26" s="963"/>
      <c r="E26" s="963"/>
      <c r="F26" s="963"/>
    </row>
    <row r="27" spans="1:7" ht="25" customHeight="1" x14ac:dyDescent="0.35"/>
    <row r="28" spans="1:7" ht="25" customHeight="1" x14ac:dyDescent="0.35">
      <c r="D28" s="938"/>
      <c r="E28" s="938"/>
      <c r="F28" s="938"/>
    </row>
    <row r="29" spans="1:7" ht="25" customHeight="1" x14ac:dyDescent="0.35">
      <c r="A29" s="906" t="s">
        <v>987</v>
      </c>
      <c r="B29" s="936" t="s">
        <v>988</v>
      </c>
      <c r="C29" s="902">
        <f>C16-C25</f>
        <v>51850204.514022827</v>
      </c>
      <c r="D29" s="902">
        <f>D16-D25</f>
        <v>-3869284796.2173233</v>
      </c>
      <c r="E29" s="937">
        <f>E16-E25</f>
        <v>3921135000.7313476</v>
      </c>
      <c r="F29" s="937"/>
      <c r="G29" s="630"/>
    </row>
    <row r="30" spans="1:7" ht="25" customHeight="1" x14ac:dyDescent="0.35">
      <c r="G30" s="630"/>
    </row>
    <row r="31" spans="1:7" ht="25" customHeight="1" x14ac:dyDescent="0.35">
      <c r="A31" s="939" t="s">
        <v>989</v>
      </c>
      <c r="B31" s="904" t="s">
        <v>990</v>
      </c>
      <c r="C31" s="940">
        <v>19000</v>
      </c>
      <c r="D31" s="940">
        <v>19000</v>
      </c>
      <c r="E31" s="941"/>
      <c r="F31" s="941"/>
    </row>
    <row r="32" spans="1:7" ht="25" customHeight="1" x14ac:dyDescent="0.35">
      <c r="A32" s="939" t="s">
        <v>991</v>
      </c>
      <c r="B32" s="904" t="s">
        <v>992</v>
      </c>
      <c r="C32" s="940">
        <v>19500</v>
      </c>
      <c r="D32" s="940">
        <v>19500</v>
      </c>
      <c r="E32" s="941"/>
      <c r="F32" s="941"/>
    </row>
    <row r="35" spans="1:17" s="918" customFormat="1" ht="20.25" customHeight="1" x14ac:dyDescent="0.35">
      <c r="A35" s="952"/>
      <c r="B35" s="952"/>
      <c r="C35" s="952"/>
      <c r="D35" s="952"/>
      <c r="E35" s="1041"/>
      <c r="F35" s="920"/>
      <c r="G35" s="920"/>
      <c r="H35" s="952"/>
      <c r="I35" s="952"/>
      <c r="J35" s="952"/>
      <c r="K35" s="952"/>
      <c r="L35" s="952"/>
      <c r="M35" s="952"/>
      <c r="N35" s="952"/>
      <c r="O35" s="952"/>
      <c r="P35" s="952"/>
      <c r="Q35" s="952"/>
    </row>
    <row r="36" spans="1:17" ht="14.25" customHeight="1" x14ac:dyDescent="0.35">
      <c r="A36" s="952"/>
      <c r="B36" s="919" t="s">
        <v>1015</v>
      </c>
      <c r="C36" s="920" t="s">
        <v>1015</v>
      </c>
      <c r="D36" s="920"/>
      <c r="E36" s="920"/>
      <c r="F36" s="952"/>
      <c r="G36" s="957" t="s">
        <v>1015</v>
      </c>
      <c r="H36" s="957"/>
      <c r="I36" s="957"/>
      <c r="J36" s="957"/>
      <c r="K36" s="920"/>
      <c r="L36" s="920"/>
      <c r="M36" s="952"/>
      <c r="N36" s="957" t="s">
        <v>1015</v>
      </c>
      <c r="O36" s="957"/>
      <c r="P36" s="957"/>
      <c r="Q36" s="952"/>
    </row>
    <row r="37" spans="1:17" ht="14.25" customHeight="1" x14ac:dyDescent="0.35">
      <c r="A37" s="952"/>
      <c r="B37" s="952"/>
      <c r="C37" s="952"/>
      <c r="D37" s="952"/>
      <c r="E37" s="952"/>
      <c r="F37" s="952"/>
      <c r="G37" s="920"/>
      <c r="H37" s="920"/>
      <c r="I37" s="920"/>
      <c r="J37" s="920"/>
      <c r="K37" s="920"/>
      <c r="L37" s="920"/>
      <c r="M37" s="952"/>
      <c r="N37" s="920"/>
      <c r="O37" s="920"/>
      <c r="P37" s="920"/>
      <c r="Q37" s="952"/>
    </row>
    <row r="38" spans="1:17" ht="14.25" customHeight="1" x14ac:dyDescent="0.35">
      <c r="A38" s="952"/>
      <c r="B38" s="952"/>
      <c r="C38" s="952"/>
      <c r="D38" s="952"/>
      <c r="E38" s="952"/>
      <c r="F38" s="952"/>
      <c r="G38" s="920"/>
      <c r="H38" s="920"/>
      <c r="I38" s="920"/>
      <c r="J38" s="920"/>
      <c r="K38" s="920"/>
      <c r="L38" s="920"/>
      <c r="M38" s="952"/>
      <c r="N38" s="920"/>
      <c r="O38" s="920"/>
      <c r="P38" s="920"/>
      <c r="Q38" s="952"/>
    </row>
    <row r="39" spans="1:17" ht="14.25" customHeight="1" x14ac:dyDescent="0.35">
      <c r="A39" s="952"/>
      <c r="B39" s="952"/>
      <c r="C39" s="952"/>
      <c r="D39" s="952"/>
      <c r="E39" s="952"/>
      <c r="F39" s="952"/>
      <c r="G39" s="920"/>
      <c r="H39" s="920"/>
      <c r="I39" s="920"/>
      <c r="J39" s="920"/>
      <c r="K39" s="920"/>
      <c r="L39" s="920"/>
      <c r="M39" s="952"/>
      <c r="N39" s="920"/>
      <c r="O39" s="920"/>
      <c r="P39" s="920"/>
      <c r="Q39" s="952"/>
    </row>
    <row r="40" spans="1:17" ht="14.25" customHeight="1" x14ac:dyDescent="0.35">
      <c r="A40" s="952"/>
      <c r="B40" s="952"/>
      <c r="C40" s="952"/>
      <c r="D40" s="952"/>
      <c r="E40" s="952"/>
      <c r="F40" s="952"/>
      <c r="G40" s="920"/>
      <c r="H40" s="920"/>
      <c r="I40" s="920"/>
      <c r="J40" s="920"/>
      <c r="K40" s="920"/>
      <c r="L40" s="920"/>
      <c r="M40" s="952"/>
      <c r="N40" s="920"/>
      <c r="O40" s="920"/>
      <c r="P40" s="920"/>
      <c r="Q40" s="952"/>
    </row>
    <row r="41" spans="1:17" ht="14.25" customHeight="1" x14ac:dyDescent="0.35">
      <c r="A41" s="952"/>
      <c r="B41" s="953" t="s">
        <v>994</v>
      </c>
      <c r="C41" s="958" t="s">
        <v>995</v>
      </c>
      <c r="D41" s="957"/>
      <c r="E41" s="957"/>
      <c r="F41" s="952"/>
      <c r="G41" s="958" t="s">
        <v>996</v>
      </c>
      <c r="H41" s="958"/>
      <c r="I41" s="920"/>
      <c r="J41" s="920"/>
      <c r="K41" s="920"/>
      <c r="L41" s="920"/>
      <c r="M41" s="952"/>
      <c r="N41" s="958" t="s">
        <v>997</v>
      </c>
      <c r="O41" s="958"/>
      <c r="P41" s="920"/>
      <c r="Q41" s="952"/>
    </row>
    <row r="42" spans="1:17" ht="14.25" customHeight="1" x14ac:dyDescent="0.35">
      <c r="A42" s="952"/>
      <c r="B42" s="952"/>
      <c r="C42" s="952"/>
      <c r="D42" s="952"/>
      <c r="E42" s="952"/>
      <c r="F42" s="952"/>
      <c r="G42" s="952"/>
      <c r="H42" s="952"/>
      <c r="I42" s="952"/>
      <c r="J42" s="952"/>
      <c r="K42" s="952"/>
      <c r="L42" s="952"/>
      <c r="M42" s="952"/>
      <c r="N42" s="952"/>
      <c r="O42" s="952"/>
      <c r="P42" s="952"/>
      <c r="Q42" s="952"/>
    </row>
    <row r="43" spans="1:17" ht="14.25" customHeight="1" x14ac:dyDescent="0.35">
      <c r="A43" s="952"/>
      <c r="B43" s="919" t="s">
        <v>1015</v>
      </c>
      <c r="C43" s="952"/>
      <c r="D43" s="952"/>
      <c r="E43" s="920" t="s">
        <v>1015</v>
      </c>
      <c r="F43" s="920"/>
      <c r="G43" s="920"/>
      <c r="H43" s="952"/>
      <c r="I43" s="952"/>
      <c r="J43" s="952"/>
      <c r="K43" s="952"/>
      <c r="L43" s="952"/>
      <c r="M43" s="952"/>
      <c r="N43" s="957" t="s">
        <v>1015</v>
      </c>
      <c r="O43" s="920"/>
      <c r="P43" s="920"/>
      <c r="Q43" s="952"/>
    </row>
    <row r="44" spans="1:17" ht="14.25" customHeight="1" x14ac:dyDescent="0.35">
      <c r="A44" s="952"/>
      <c r="B44" s="952"/>
      <c r="C44" s="952"/>
      <c r="D44" s="952"/>
      <c r="E44" s="952"/>
      <c r="F44" s="952"/>
      <c r="G44" s="952"/>
      <c r="H44" s="952"/>
      <c r="I44" s="952"/>
      <c r="J44" s="952"/>
      <c r="K44" s="952"/>
      <c r="L44" s="952"/>
      <c r="M44" s="952"/>
      <c r="N44" s="952"/>
      <c r="O44" s="952"/>
      <c r="P44" s="952"/>
      <c r="Q44" s="952"/>
    </row>
    <row r="45" spans="1:17" s="918" customFormat="1" ht="15.75" customHeight="1" x14ac:dyDescent="0.35">
      <c r="A45" s="952"/>
      <c r="B45" s="952"/>
      <c r="C45" s="952"/>
      <c r="D45" s="952"/>
      <c r="E45" s="920"/>
      <c r="F45" s="920"/>
      <c r="G45" s="920"/>
      <c r="H45" s="952"/>
      <c r="I45" s="952"/>
      <c r="J45" s="952"/>
      <c r="K45" s="952"/>
      <c r="L45" s="952"/>
      <c r="M45" s="952"/>
      <c r="N45" s="952"/>
      <c r="O45" s="952"/>
      <c r="P45" s="952"/>
      <c r="Q45" s="952"/>
    </row>
    <row r="46" spans="1:17" ht="14.25" customHeight="1" x14ac:dyDescent="0.35">
      <c r="A46" s="952"/>
      <c r="B46" s="952"/>
      <c r="C46" s="952"/>
      <c r="D46" s="952"/>
      <c r="E46" s="952"/>
      <c r="F46" s="952"/>
      <c r="G46" s="952"/>
      <c r="H46" s="952"/>
      <c r="I46" s="952"/>
      <c r="J46" s="952"/>
      <c r="K46" s="952"/>
      <c r="L46" s="952"/>
      <c r="M46" s="952"/>
      <c r="N46" s="952"/>
      <c r="O46" s="952"/>
      <c r="P46" s="952"/>
      <c r="Q46" s="952"/>
    </row>
    <row r="47" spans="1:17" ht="14.25" customHeight="1" x14ac:dyDescent="0.35">
      <c r="A47" s="952"/>
      <c r="B47" s="952"/>
      <c r="C47" s="952"/>
      <c r="D47" s="952"/>
      <c r="E47" s="952"/>
      <c r="F47" s="952"/>
      <c r="G47" s="952"/>
      <c r="H47" s="952"/>
      <c r="I47" s="952"/>
      <c r="J47" s="952"/>
      <c r="K47" s="952"/>
      <c r="L47" s="952"/>
      <c r="M47" s="952"/>
      <c r="N47" s="952"/>
      <c r="O47" s="952"/>
      <c r="P47" s="952"/>
      <c r="Q47" s="952"/>
    </row>
    <row r="48" spans="1:17" ht="14.25" customHeight="1" x14ac:dyDescent="0.35">
      <c r="A48" s="952"/>
      <c r="B48" s="921" t="s">
        <v>1001</v>
      </c>
      <c r="C48" s="952"/>
      <c r="D48" s="952"/>
      <c r="E48" s="958" t="s">
        <v>1002</v>
      </c>
      <c r="F48" s="920"/>
      <c r="G48" s="920"/>
      <c r="H48" s="952"/>
      <c r="I48" s="952"/>
      <c r="J48" s="952"/>
      <c r="K48" s="952"/>
      <c r="L48" s="952"/>
      <c r="M48" s="952"/>
      <c r="N48" s="958" t="s">
        <v>1000</v>
      </c>
      <c r="O48" s="959"/>
      <c r="P48" s="959"/>
      <c r="Q48" s="952"/>
    </row>
    <row r="49" spans="1:21" ht="14.25" customHeight="1" x14ac:dyDescent="0.35">
      <c r="A49" s="952"/>
      <c r="B49" s="952"/>
      <c r="C49" s="952"/>
      <c r="D49" s="952"/>
      <c r="E49" s="952"/>
      <c r="F49" s="952"/>
      <c r="G49" s="952"/>
      <c r="H49" s="952"/>
      <c r="I49" s="952"/>
      <c r="J49" s="952"/>
      <c r="K49" s="952"/>
      <c r="L49" s="952"/>
      <c r="M49" s="952"/>
      <c r="N49" s="952"/>
      <c r="O49" s="952"/>
      <c r="P49" s="952"/>
      <c r="Q49" s="952"/>
    </row>
    <row r="50" spans="1:21" s="918" customFormat="1" ht="17.25" customHeight="1" x14ac:dyDescent="0.35">
      <c r="A50" s="952"/>
      <c r="B50" s="952"/>
      <c r="C50" s="952"/>
      <c r="D50" s="952"/>
      <c r="E50" s="1040"/>
      <c r="F50" s="920"/>
      <c r="G50" s="957"/>
      <c r="H50" s="952"/>
      <c r="I50" s="952"/>
      <c r="J50" s="952"/>
      <c r="K50" s="952"/>
      <c r="L50" s="952"/>
      <c r="M50" s="952"/>
      <c r="N50" s="952"/>
      <c r="O50" s="952"/>
      <c r="P50" s="952"/>
      <c r="Q50" s="952"/>
      <c r="U50" s="954"/>
    </row>
    <row r="51" spans="1:21" ht="14.25" customHeight="1" x14ac:dyDescent="0.35">
      <c r="A51" s="952"/>
      <c r="B51" s="919" t="s">
        <v>1016</v>
      </c>
      <c r="C51" s="952"/>
      <c r="D51" s="952"/>
      <c r="E51" s="920" t="s">
        <v>1015</v>
      </c>
      <c r="F51" s="920"/>
      <c r="G51" s="920"/>
      <c r="H51" s="952"/>
      <c r="I51" s="952"/>
      <c r="J51" s="952"/>
      <c r="K51" s="952"/>
      <c r="L51" s="952"/>
      <c r="M51" s="952"/>
      <c r="N51" s="920" t="s">
        <v>1017</v>
      </c>
      <c r="O51" s="920"/>
      <c r="P51" s="920"/>
      <c r="Q51" s="952"/>
    </row>
    <row r="52" spans="1:21" ht="14.25" customHeight="1" x14ac:dyDescent="0.35">
      <c r="A52" s="952"/>
      <c r="B52" s="952"/>
      <c r="C52" s="952"/>
      <c r="D52" s="952"/>
      <c r="E52" s="952"/>
      <c r="F52" s="952"/>
      <c r="G52" s="952"/>
      <c r="H52" s="952"/>
      <c r="I52" s="952"/>
      <c r="J52" s="952"/>
      <c r="K52" s="952"/>
      <c r="L52" s="952"/>
      <c r="M52" s="952"/>
      <c r="N52" s="952"/>
      <c r="O52" s="952"/>
      <c r="P52" s="952"/>
      <c r="Q52" s="952"/>
    </row>
    <row r="53" spans="1:21" ht="14.25" customHeight="1" x14ac:dyDescent="0.35">
      <c r="A53" s="952"/>
      <c r="B53" s="952"/>
      <c r="C53" s="952"/>
      <c r="D53" s="952"/>
      <c r="E53" s="952"/>
      <c r="F53" s="952"/>
      <c r="G53" s="952"/>
      <c r="H53" s="952"/>
      <c r="I53" s="952"/>
      <c r="J53" s="952"/>
      <c r="K53" s="952"/>
      <c r="L53" s="952"/>
      <c r="M53" s="952"/>
      <c r="N53" s="952"/>
      <c r="O53" s="952"/>
      <c r="P53" s="952"/>
      <c r="Q53" s="952"/>
    </row>
    <row r="54" spans="1:21" ht="14.25" customHeight="1" x14ac:dyDescent="0.35">
      <c r="A54" s="952"/>
      <c r="B54" s="952"/>
      <c r="C54" s="952"/>
      <c r="D54" s="952"/>
      <c r="E54" s="952"/>
      <c r="F54" s="952"/>
      <c r="G54" s="952"/>
      <c r="H54" s="952"/>
      <c r="I54" s="952"/>
      <c r="J54" s="952"/>
      <c r="K54" s="952"/>
      <c r="L54" s="952"/>
      <c r="M54" s="952"/>
      <c r="N54" s="952"/>
      <c r="O54" s="952"/>
      <c r="P54" s="952"/>
      <c r="Q54" s="952"/>
    </row>
    <row r="55" spans="1:21" ht="14.25" customHeight="1" x14ac:dyDescent="0.35">
      <c r="A55" s="952"/>
      <c r="B55" s="952"/>
      <c r="C55" s="952"/>
      <c r="D55" s="952"/>
      <c r="E55" s="952"/>
      <c r="F55" s="952"/>
      <c r="G55" s="952"/>
      <c r="H55" s="952"/>
      <c r="I55" s="952"/>
      <c r="J55" s="952"/>
      <c r="K55" s="952"/>
      <c r="L55" s="952"/>
      <c r="M55" s="952"/>
      <c r="N55" s="952"/>
      <c r="O55" s="952"/>
      <c r="P55" s="952"/>
      <c r="Q55" s="952"/>
    </row>
    <row r="56" spans="1:21" ht="25" customHeight="1" x14ac:dyDescent="0.35">
      <c r="A56" s="952"/>
      <c r="B56" s="921" t="s">
        <v>999</v>
      </c>
      <c r="C56" s="952"/>
      <c r="D56" s="959" t="s">
        <v>1040</v>
      </c>
      <c r="E56" s="908"/>
      <c r="F56" s="957"/>
      <c r="G56" s="957"/>
      <c r="H56" s="920"/>
      <c r="I56" s="920"/>
      <c r="J56" s="952"/>
      <c r="K56" s="952"/>
      <c r="L56" s="952"/>
      <c r="M56" s="952"/>
      <c r="N56" s="958" t="s">
        <v>1036</v>
      </c>
      <c r="O56" s="958"/>
      <c r="P56" s="958"/>
      <c r="Q56" s="952"/>
    </row>
    <row r="57" spans="1:21" ht="14.25" customHeight="1" x14ac:dyDescent="0.35">
      <c r="A57" s="921"/>
      <c r="B57" s="922"/>
      <c r="C57" s="922"/>
      <c r="D57" s="922"/>
      <c r="E57" s="922"/>
      <c r="F57" s="922"/>
      <c r="G57" s="926"/>
      <c r="H57" s="918"/>
      <c r="I57" s="918"/>
    </row>
    <row r="60" spans="1:21" ht="14.25" customHeight="1" x14ac:dyDescent="0.35">
      <c r="A60" s="919"/>
      <c r="B60" s="920"/>
      <c r="C60" s="920"/>
      <c r="D60" s="920"/>
      <c r="E60" s="920"/>
      <c r="F60" s="920"/>
      <c r="G60" s="927"/>
    </row>
    <row r="66" spans="2:7" ht="14.25" customHeight="1" x14ac:dyDescent="0.35">
      <c r="B66" s="928"/>
      <c r="G66" s="923"/>
    </row>
    <row r="93" spans="1:17" ht="14.25" customHeight="1" x14ac:dyDescent="0.35">
      <c r="A93" s="1359" t="s">
        <v>993</v>
      </c>
      <c r="B93" s="1359"/>
      <c r="C93" s="1359"/>
      <c r="D93" s="1359"/>
      <c r="E93" s="1359"/>
      <c r="F93" s="1359"/>
      <c r="G93" s="1359"/>
      <c r="H93" s="1359"/>
      <c r="I93" s="1359"/>
      <c r="J93" s="1359"/>
      <c r="K93" s="1359"/>
      <c r="L93" s="1359"/>
      <c r="M93" s="1359"/>
      <c r="N93" s="1359"/>
      <c r="O93" s="1359"/>
      <c r="P93" s="1359"/>
      <c r="Q93" s="1359"/>
    </row>
    <row r="94" spans="1:17" ht="14.25" customHeight="1" x14ac:dyDescent="0.35">
      <c r="A94" s="1359"/>
      <c r="B94" s="1359"/>
      <c r="C94" s="1359"/>
      <c r="D94" s="1359"/>
      <c r="E94" s="1359"/>
      <c r="F94" s="1359"/>
      <c r="G94" s="1359"/>
      <c r="H94" s="1359"/>
      <c r="I94" s="1359"/>
      <c r="J94" s="1359"/>
      <c r="K94" s="1359"/>
      <c r="L94" s="1359"/>
      <c r="M94" s="1359"/>
      <c r="N94" s="1359"/>
      <c r="O94" s="1359"/>
      <c r="P94" s="1359"/>
      <c r="Q94" s="1359"/>
    </row>
    <row r="95" spans="1:17" ht="14.25" customHeight="1" x14ac:dyDescent="0.35">
      <c r="A95" s="1359"/>
      <c r="B95" s="1359"/>
      <c r="C95" s="1359"/>
      <c r="D95" s="1359"/>
      <c r="E95" s="1359"/>
      <c r="F95" s="1359"/>
      <c r="G95" s="1359"/>
      <c r="H95" s="1359"/>
      <c r="I95" s="1359"/>
      <c r="J95" s="1359"/>
      <c r="K95" s="1359"/>
      <c r="L95" s="1359"/>
      <c r="M95" s="1359"/>
      <c r="N95" s="1359"/>
      <c r="O95" s="1359"/>
      <c r="P95" s="1359"/>
      <c r="Q95" s="1359"/>
    </row>
    <row r="96" spans="1:17" ht="14.25" customHeight="1" x14ac:dyDescent="0.35">
      <c r="A96" s="1359"/>
      <c r="B96" s="1359"/>
      <c r="C96" s="1359"/>
      <c r="D96" s="1359"/>
      <c r="E96" s="1359"/>
      <c r="F96" s="1359"/>
      <c r="G96" s="1359"/>
      <c r="H96" s="1359"/>
      <c r="I96" s="1359"/>
      <c r="J96" s="1359"/>
      <c r="K96" s="1359"/>
      <c r="L96" s="1359"/>
      <c r="M96" s="1359"/>
      <c r="N96" s="1359"/>
      <c r="O96" s="1359"/>
      <c r="P96" s="1359"/>
      <c r="Q96" s="1359"/>
    </row>
    <row r="97" spans="1:17" ht="14.25" customHeight="1" x14ac:dyDescent="0.35">
      <c r="A97" s="1359"/>
      <c r="B97" s="1359"/>
      <c r="C97" s="1359"/>
      <c r="D97" s="1359"/>
      <c r="E97" s="1359"/>
      <c r="F97" s="1359"/>
      <c r="G97" s="1359"/>
      <c r="H97" s="1359"/>
      <c r="I97" s="1359"/>
      <c r="J97" s="1359"/>
      <c r="K97" s="1359"/>
      <c r="L97" s="1359"/>
      <c r="M97" s="1359"/>
      <c r="N97" s="1359"/>
      <c r="O97" s="1359"/>
      <c r="P97" s="1359"/>
      <c r="Q97" s="1359"/>
    </row>
    <row r="98" spans="1:17" ht="14.25" customHeight="1" x14ac:dyDescent="0.35">
      <c r="A98" s="1359"/>
      <c r="B98" s="1359"/>
      <c r="C98" s="1359"/>
      <c r="D98" s="1359"/>
      <c r="E98" s="1359"/>
      <c r="F98" s="1359"/>
      <c r="G98" s="1359"/>
      <c r="H98" s="1359"/>
      <c r="I98" s="1359"/>
      <c r="J98" s="1359"/>
      <c r="K98" s="1359"/>
      <c r="L98" s="1359"/>
      <c r="M98" s="1359"/>
      <c r="N98" s="1359"/>
      <c r="O98" s="1359"/>
      <c r="P98" s="1359"/>
      <c r="Q98" s="1359"/>
    </row>
    <row r="99" spans="1:17" ht="14.25" customHeight="1" x14ac:dyDescent="0.35">
      <c r="A99" s="1359"/>
      <c r="B99" s="1359"/>
      <c r="C99" s="1359"/>
      <c r="D99" s="1359"/>
      <c r="E99" s="1359"/>
      <c r="F99" s="1359"/>
      <c r="G99" s="1359"/>
      <c r="H99" s="1359"/>
      <c r="I99" s="1359"/>
      <c r="J99" s="1359"/>
      <c r="K99" s="1359"/>
      <c r="L99" s="1359"/>
      <c r="M99" s="1359"/>
      <c r="N99" s="1359"/>
      <c r="O99" s="1359"/>
      <c r="P99" s="1359"/>
      <c r="Q99" s="1359"/>
    </row>
    <row r="100" spans="1:17" ht="14.25" customHeight="1" x14ac:dyDescent="0.35">
      <c r="A100" s="1359"/>
      <c r="B100" s="1359"/>
      <c r="C100" s="1359"/>
      <c r="D100" s="1359"/>
      <c r="E100" s="1359"/>
      <c r="F100" s="1359"/>
      <c r="G100" s="1359"/>
      <c r="H100" s="1359"/>
      <c r="I100" s="1359"/>
      <c r="J100" s="1359"/>
      <c r="K100" s="1359"/>
      <c r="L100" s="1359"/>
      <c r="M100" s="1359"/>
      <c r="N100" s="1359"/>
      <c r="O100" s="1359"/>
      <c r="P100" s="1359"/>
      <c r="Q100" s="1359"/>
    </row>
    <row r="101" spans="1:17" ht="14.25" customHeight="1" x14ac:dyDescent="0.35">
      <c r="A101" s="1359"/>
      <c r="B101" s="1359"/>
      <c r="C101" s="1359"/>
      <c r="D101" s="1359"/>
      <c r="E101" s="1359"/>
      <c r="F101" s="1359"/>
      <c r="G101" s="1359"/>
      <c r="H101" s="1359"/>
      <c r="I101" s="1359"/>
      <c r="J101" s="1359"/>
      <c r="K101" s="1359"/>
      <c r="L101" s="1359"/>
      <c r="M101" s="1359"/>
      <c r="N101" s="1359"/>
      <c r="O101" s="1359"/>
      <c r="P101" s="1359"/>
      <c r="Q101" s="1359"/>
    </row>
    <row r="102" spans="1:17" ht="14.25" customHeight="1" x14ac:dyDescent="0.35">
      <c r="A102" s="1359"/>
      <c r="B102" s="1359"/>
      <c r="C102" s="1359"/>
      <c r="D102" s="1359"/>
      <c r="E102" s="1359"/>
      <c r="F102" s="1359"/>
      <c r="G102" s="1359"/>
      <c r="H102" s="1359"/>
      <c r="I102" s="1359"/>
      <c r="J102" s="1359"/>
      <c r="K102" s="1359"/>
      <c r="L102" s="1359"/>
      <c r="M102" s="1359"/>
      <c r="N102" s="1359"/>
      <c r="O102" s="1359"/>
      <c r="P102" s="1359"/>
      <c r="Q102" s="1359"/>
    </row>
    <row r="103" spans="1:17" ht="14.25" customHeight="1" x14ac:dyDescent="0.35">
      <c r="A103" s="1359"/>
      <c r="B103" s="1359"/>
      <c r="C103" s="1359"/>
      <c r="D103" s="1359"/>
      <c r="E103" s="1359"/>
      <c r="F103" s="1359"/>
      <c r="G103" s="1359"/>
      <c r="H103" s="1359"/>
      <c r="I103" s="1359"/>
      <c r="J103" s="1359"/>
      <c r="K103" s="1359"/>
      <c r="L103" s="1359"/>
      <c r="M103" s="1359"/>
      <c r="N103" s="1359"/>
      <c r="O103" s="1359"/>
      <c r="P103" s="1359"/>
      <c r="Q103" s="1359"/>
    </row>
    <row r="104" spans="1:17" ht="14.25" customHeight="1" x14ac:dyDescent="0.35">
      <c r="A104" s="1359"/>
      <c r="B104" s="1359"/>
      <c r="C104" s="1359"/>
      <c r="D104" s="1359"/>
      <c r="E104" s="1359"/>
      <c r="F104" s="1359"/>
      <c r="G104" s="1359"/>
      <c r="H104" s="1359"/>
      <c r="I104" s="1359"/>
      <c r="J104" s="1359"/>
      <c r="K104" s="1359"/>
      <c r="L104" s="1359"/>
      <c r="M104" s="1359"/>
      <c r="N104" s="1359"/>
      <c r="O104" s="1359"/>
      <c r="P104" s="1359"/>
      <c r="Q104" s="1359"/>
    </row>
    <row r="105" spans="1:17" ht="14.25" customHeight="1" x14ac:dyDescent="0.35">
      <c r="A105" s="1359"/>
      <c r="B105" s="1359"/>
      <c r="C105" s="1359"/>
      <c r="D105" s="1359"/>
      <c r="E105" s="1359"/>
      <c r="F105" s="1359"/>
      <c r="G105" s="1359"/>
      <c r="H105" s="1359"/>
      <c r="I105" s="1359"/>
      <c r="J105" s="1359"/>
      <c r="K105" s="1359"/>
      <c r="L105" s="1359"/>
      <c r="M105" s="1359"/>
      <c r="N105" s="1359"/>
      <c r="O105" s="1359"/>
      <c r="P105" s="1359"/>
      <c r="Q105" s="1359"/>
    </row>
    <row r="106" spans="1:17" ht="14.25" customHeight="1" x14ac:dyDescent="0.35">
      <c r="A106" s="1359"/>
      <c r="B106" s="1359"/>
      <c r="C106" s="1359"/>
      <c r="D106" s="1359"/>
      <c r="E106" s="1359"/>
      <c r="F106" s="1359"/>
      <c r="G106" s="1359"/>
      <c r="H106" s="1359"/>
      <c r="I106" s="1359"/>
      <c r="J106" s="1359"/>
      <c r="K106" s="1359"/>
      <c r="L106" s="1359"/>
      <c r="M106" s="1359"/>
      <c r="N106" s="1359"/>
      <c r="O106" s="1359"/>
      <c r="P106" s="1359"/>
      <c r="Q106" s="1359"/>
    </row>
    <row r="107" spans="1:17" ht="14.25" customHeight="1" x14ac:dyDescent="0.35">
      <c r="A107" s="1359"/>
      <c r="B107" s="1359"/>
      <c r="C107" s="1359"/>
      <c r="D107" s="1359"/>
      <c r="E107" s="1359"/>
      <c r="F107" s="1359"/>
      <c r="G107" s="1359"/>
      <c r="H107" s="1359"/>
      <c r="I107" s="1359"/>
      <c r="J107" s="1359"/>
      <c r="K107" s="1359"/>
      <c r="L107" s="1359"/>
      <c r="M107" s="1359"/>
      <c r="N107" s="1359"/>
      <c r="O107" s="1359"/>
      <c r="P107" s="1359"/>
      <c r="Q107" s="1359"/>
    </row>
    <row r="108" spans="1:17" ht="14.25" customHeight="1" x14ac:dyDescent="0.35">
      <c r="A108" s="1359"/>
      <c r="B108" s="1359"/>
      <c r="C108" s="1359"/>
      <c r="D108" s="1359"/>
      <c r="E108" s="1359"/>
      <c r="F108" s="1359"/>
      <c r="G108" s="1359"/>
      <c r="H108" s="1359"/>
      <c r="I108" s="1359"/>
      <c r="J108" s="1359"/>
      <c r="K108" s="1359"/>
      <c r="L108" s="1359"/>
      <c r="M108" s="1359"/>
      <c r="N108" s="1359"/>
      <c r="O108" s="1359"/>
      <c r="P108" s="1359"/>
      <c r="Q108" s="1359"/>
    </row>
    <row r="109" spans="1:17" ht="14.25" customHeight="1" x14ac:dyDescent="0.35">
      <c r="A109" s="1359"/>
      <c r="B109" s="1359"/>
      <c r="C109" s="1359"/>
      <c r="D109" s="1359"/>
      <c r="E109" s="1359"/>
      <c r="F109" s="1359"/>
      <c r="G109" s="1359"/>
      <c r="H109" s="1359"/>
      <c r="I109" s="1359"/>
      <c r="J109" s="1359"/>
      <c r="K109" s="1359"/>
      <c r="L109" s="1359"/>
      <c r="M109" s="1359"/>
      <c r="N109" s="1359"/>
      <c r="O109" s="1359"/>
      <c r="P109" s="1359"/>
      <c r="Q109" s="1359"/>
    </row>
    <row r="110" spans="1:17" ht="14.25" customHeight="1" x14ac:dyDescent="0.35">
      <c r="A110" s="1359"/>
      <c r="B110" s="1359"/>
      <c r="C110" s="1359"/>
      <c r="D110" s="1359"/>
      <c r="E110" s="1359"/>
      <c r="F110" s="1359"/>
      <c r="G110" s="1359"/>
      <c r="H110" s="1359"/>
      <c r="I110" s="1359"/>
      <c r="J110" s="1359"/>
      <c r="K110" s="1359"/>
      <c r="L110" s="1359"/>
      <c r="M110" s="1359"/>
      <c r="N110" s="1359"/>
      <c r="O110" s="1359"/>
      <c r="P110" s="1359"/>
      <c r="Q110" s="1359"/>
    </row>
    <row r="111" spans="1:17" ht="14.25" customHeight="1" x14ac:dyDescent="0.35">
      <c r="A111" s="1359"/>
      <c r="B111" s="1359"/>
      <c r="C111" s="1359"/>
      <c r="D111" s="1359"/>
      <c r="E111" s="1359"/>
      <c r="F111" s="1359"/>
      <c r="G111" s="1359"/>
      <c r="H111" s="1359"/>
      <c r="I111" s="1359"/>
      <c r="J111" s="1359"/>
      <c r="K111" s="1359"/>
      <c r="L111" s="1359"/>
      <c r="M111" s="1359"/>
      <c r="N111" s="1359"/>
      <c r="O111" s="1359"/>
      <c r="P111" s="1359"/>
      <c r="Q111" s="1359"/>
    </row>
    <row r="112" spans="1:17" ht="14.25" customHeight="1" x14ac:dyDescent="0.35">
      <c r="A112" s="1359"/>
      <c r="B112" s="1359"/>
      <c r="C112" s="1359"/>
      <c r="D112" s="1359"/>
      <c r="E112" s="1359"/>
      <c r="F112" s="1359"/>
      <c r="G112" s="1359"/>
      <c r="H112" s="1359"/>
      <c r="I112" s="1359"/>
      <c r="J112" s="1359"/>
      <c r="K112" s="1359"/>
      <c r="L112" s="1359"/>
      <c r="M112" s="1359"/>
      <c r="N112" s="1359"/>
      <c r="O112" s="1359"/>
      <c r="P112" s="1359"/>
      <c r="Q112" s="1359"/>
    </row>
    <row r="113" spans="1:17" ht="14.25" customHeight="1" x14ac:dyDescent="0.35">
      <c r="A113" s="1359"/>
      <c r="B113" s="1359"/>
      <c r="C113" s="1359"/>
      <c r="D113" s="1359"/>
      <c r="E113" s="1359"/>
      <c r="F113" s="1359"/>
      <c r="G113" s="1359"/>
      <c r="H113" s="1359"/>
      <c r="I113" s="1359"/>
      <c r="J113" s="1359"/>
      <c r="K113" s="1359"/>
      <c r="L113" s="1359"/>
      <c r="M113" s="1359"/>
      <c r="N113" s="1359"/>
      <c r="O113" s="1359"/>
      <c r="P113" s="1359"/>
      <c r="Q113" s="1359"/>
    </row>
    <row r="114" spans="1:17" ht="14.25" customHeight="1" x14ac:dyDescent="0.35">
      <c r="A114" s="1359"/>
      <c r="B114" s="1359"/>
      <c r="C114" s="1359"/>
      <c r="D114" s="1359"/>
      <c r="E114" s="1359"/>
      <c r="F114" s="1359"/>
      <c r="G114" s="1359"/>
      <c r="H114" s="1359"/>
      <c r="I114" s="1359"/>
      <c r="J114" s="1359"/>
      <c r="K114" s="1359"/>
      <c r="L114" s="1359"/>
      <c r="M114" s="1359"/>
      <c r="N114" s="1359"/>
      <c r="O114" s="1359"/>
      <c r="P114" s="1359"/>
      <c r="Q114" s="1359"/>
    </row>
    <row r="115" spans="1:17" ht="14.25" customHeight="1" x14ac:dyDescent="0.35">
      <c r="A115" s="1359"/>
      <c r="B115" s="1359"/>
      <c r="C115" s="1359"/>
      <c r="D115" s="1359"/>
      <c r="E115" s="1359"/>
      <c r="F115" s="1359"/>
      <c r="G115" s="1359"/>
      <c r="H115" s="1359"/>
      <c r="I115" s="1359"/>
      <c r="J115" s="1359"/>
      <c r="K115" s="1359"/>
      <c r="L115" s="1359"/>
      <c r="M115" s="1359"/>
      <c r="N115" s="1359"/>
      <c r="O115" s="1359"/>
      <c r="P115" s="1359"/>
      <c r="Q115" s="1359"/>
    </row>
    <row r="116" spans="1:17" ht="14.25" customHeight="1" x14ac:dyDescent="0.35">
      <c r="A116" s="1359"/>
      <c r="B116" s="1359"/>
      <c r="C116" s="1359"/>
      <c r="D116" s="1359"/>
      <c r="E116" s="1359"/>
      <c r="F116" s="1359"/>
      <c r="G116" s="1359"/>
      <c r="H116" s="1359"/>
      <c r="I116" s="1359"/>
      <c r="J116" s="1359"/>
      <c r="K116" s="1359"/>
      <c r="L116" s="1359"/>
      <c r="M116" s="1359"/>
      <c r="N116" s="1359"/>
      <c r="O116" s="1359"/>
      <c r="P116" s="1359"/>
      <c r="Q116" s="1359"/>
    </row>
  </sheetData>
  <mergeCells count="1">
    <mergeCell ref="A93:Q116"/>
  </mergeCells>
  <printOptions horizontalCentered="1" verticalCentered="1"/>
  <pageMargins left="0.4" right="0.4" top="0.2" bottom="0.3" header="0.2" footer="0.2"/>
  <pageSetup paperSize="8" scale="73" orientation="landscape" r:id="rId1"/>
  <headerFooter>
    <oddFooter>&amp;L&amp;F, &amp;A&amp;RPage &amp;P</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Y178"/>
  <sheetViews>
    <sheetView topLeftCell="A106" zoomScale="70" zoomScaleNormal="70" workbookViewId="0">
      <selection activeCell="J50" sqref="J50"/>
    </sheetView>
  </sheetViews>
  <sheetFormatPr defaultColWidth="9.1796875" defaultRowHeight="13" x14ac:dyDescent="0.35"/>
  <cols>
    <col min="1" max="1" width="5.54296875" style="359" customWidth="1"/>
    <col min="2" max="2" width="13.7265625" style="17" hidden="1" customWidth="1"/>
    <col min="3" max="3" width="49.7265625" style="639" customWidth="1"/>
    <col min="4" max="4" width="15" style="197" customWidth="1"/>
    <col min="5" max="5" width="14.81640625" style="639" hidden="1" customWidth="1"/>
    <col min="6" max="6" width="14.81640625" style="197" customWidth="1"/>
    <col min="7" max="7" width="14.81640625" style="105" customWidth="1"/>
    <col min="8" max="8" width="14.54296875" style="1318" customWidth="1"/>
    <col min="9" max="9" width="7.81640625" style="651" customWidth="1"/>
    <col min="10" max="18" width="13.7265625" style="105" customWidth="1"/>
    <col min="19" max="20" width="13.7265625" style="3" customWidth="1"/>
    <col min="21" max="21" width="13.7265625" style="21" customWidth="1"/>
    <col min="22" max="22" width="42.81640625" style="1321" customWidth="1"/>
    <col min="23" max="23" width="14.26953125" style="21" hidden="1" customWidth="1"/>
    <col min="24" max="24" width="15" style="21" bestFit="1" customWidth="1"/>
    <col min="25" max="25" width="11.26953125" style="21" bestFit="1" customWidth="1"/>
    <col min="26" max="16384" width="9.1796875" style="21"/>
  </cols>
  <sheetData>
    <row r="1" spans="1:23" ht="14.25" customHeight="1" x14ac:dyDescent="0.35">
      <c r="A1" s="631"/>
      <c r="B1" s="632"/>
      <c r="C1" s="633"/>
      <c r="D1" s="634"/>
      <c r="E1" s="633"/>
      <c r="F1" s="634"/>
      <c r="G1" s="647"/>
      <c r="H1" s="1296"/>
      <c r="I1" s="635"/>
      <c r="J1" s="647"/>
      <c r="K1" s="647"/>
      <c r="L1" s="647"/>
      <c r="M1" s="647"/>
      <c r="N1" s="647"/>
      <c r="O1" s="647"/>
      <c r="P1" s="647"/>
      <c r="Q1" s="647"/>
      <c r="R1" s="647"/>
      <c r="S1" s="636"/>
      <c r="T1" s="636"/>
    </row>
    <row r="2" spans="1:23" ht="25.5" customHeight="1" x14ac:dyDescent="0.35">
      <c r="A2" s="960" t="s">
        <v>1041</v>
      </c>
      <c r="B2" s="961"/>
      <c r="C2" s="633"/>
      <c r="D2" s="634"/>
      <c r="E2" s="633"/>
      <c r="F2" s="634"/>
      <c r="G2" s="647"/>
      <c r="H2" s="1296"/>
      <c r="I2" s="635"/>
      <c r="J2" s="647"/>
      <c r="K2" s="647"/>
      <c r="L2" s="647"/>
      <c r="M2" s="647"/>
      <c r="N2" s="647"/>
      <c r="O2" s="647"/>
      <c r="P2" s="647"/>
      <c r="Q2" s="647"/>
      <c r="R2" s="647"/>
      <c r="S2" s="636"/>
      <c r="T2" s="636"/>
      <c r="U2" s="709"/>
      <c r="V2" s="1322"/>
    </row>
    <row r="3" spans="1:23" ht="14.25" customHeight="1" x14ac:dyDescent="0.35">
      <c r="A3" s="631"/>
      <c r="B3" s="632"/>
      <c r="C3" s="633"/>
      <c r="D3" s="634"/>
      <c r="E3" s="633"/>
      <c r="F3" s="634"/>
      <c r="G3" s="647"/>
      <c r="H3" s="1296"/>
      <c r="I3" s="635"/>
      <c r="J3" s="647"/>
      <c r="K3" s="647"/>
      <c r="L3" s="647"/>
      <c r="M3" s="647"/>
      <c r="N3" s="647"/>
      <c r="O3" s="647"/>
      <c r="P3" s="647"/>
      <c r="Q3" s="647"/>
      <c r="R3" s="647"/>
      <c r="S3" s="636"/>
      <c r="T3" s="636"/>
    </row>
    <row r="4" spans="1:23" s="646" customFormat="1" ht="4.5" customHeight="1" x14ac:dyDescent="0.35">
      <c r="A4" s="710"/>
      <c r="B4" s="720"/>
      <c r="C4" s="641"/>
      <c r="D4" s="642"/>
      <c r="E4" s="641"/>
      <c r="F4" s="642"/>
      <c r="G4" s="643"/>
      <c r="H4" s="1297"/>
      <c r="I4" s="644"/>
      <c r="J4" s="652"/>
      <c r="K4" s="652"/>
      <c r="L4" s="652"/>
      <c r="M4" s="652"/>
      <c r="N4" s="652"/>
      <c r="O4" s="652"/>
      <c r="P4" s="652"/>
      <c r="Q4" s="652"/>
      <c r="R4" s="652"/>
      <c r="S4" s="645"/>
      <c r="T4" s="645"/>
      <c r="U4" s="712"/>
      <c r="V4" s="1321"/>
    </row>
    <row r="5" spans="1:23" s="646" customFormat="1" ht="20.149999999999999" customHeight="1" x14ac:dyDescent="0.35">
      <c r="A5" s="710"/>
      <c r="B5" s="711"/>
      <c r="C5" s="641"/>
      <c r="D5" s="642"/>
      <c r="E5" s="641"/>
      <c r="F5" s="642"/>
      <c r="G5" s="643"/>
      <c r="H5" s="1297"/>
      <c r="I5" s="644"/>
      <c r="J5" s="652"/>
      <c r="K5" s="652"/>
      <c r="L5" s="652"/>
      <c r="M5" s="652"/>
      <c r="N5" s="652"/>
      <c r="O5" s="652"/>
      <c r="P5" s="652"/>
      <c r="Q5" s="652"/>
      <c r="R5" s="652"/>
      <c r="S5" s="645"/>
      <c r="T5" s="645"/>
      <c r="U5" s="712"/>
      <c r="V5" s="1321"/>
    </row>
    <row r="6" spans="1:23" s="109" customFormat="1" ht="31.5" customHeight="1" x14ac:dyDescent="0.35">
      <c r="A6" s="1360" t="s">
        <v>214</v>
      </c>
      <c r="B6" s="979"/>
      <c r="C6" s="1360" t="s">
        <v>213</v>
      </c>
      <c r="D6" s="1362">
        <v>2017</v>
      </c>
      <c r="E6" s="1363"/>
      <c r="F6" s="1364"/>
      <c r="G6" s="1365" t="s">
        <v>900</v>
      </c>
      <c r="H6" s="1367"/>
      <c r="I6" s="1366"/>
      <c r="J6" s="965"/>
      <c r="K6" s="966"/>
      <c r="L6" s="966"/>
      <c r="M6" s="966"/>
      <c r="N6" s="966"/>
      <c r="O6" s="966"/>
      <c r="P6" s="967"/>
      <c r="Q6" s="966"/>
      <c r="R6" s="966"/>
      <c r="S6" s="966"/>
      <c r="T6" s="966"/>
      <c r="U6" s="968"/>
      <c r="V6" s="1323"/>
    </row>
    <row r="7" spans="1:23" s="109" customFormat="1" ht="48" customHeight="1" x14ac:dyDescent="0.35">
      <c r="A7" s="1361"/>
      <c r="B7" s="980"/>
      <c r="C7" s="1361"/>
      <c r="D7" s="340" t="s">
        <v>527</v>
      </c>
      <c r="E7" s="338" t="s">
        <v>856</v>
      </c>
      <c r="F7" s="339" t="s">
        <v>1057</v>
      </c>
      <c r="G7" s="208" t="s">
        <v>619</v>
      </c>
      <c r="H7" s="1319" t="s">
        <v>1074</v>
      </c>
      <c r="I7" s="208" t="s">
        <v>1075</v>
      </c>
      <c r="J7" s="981" t="s">
        <v>211</v>
      </c>
      <c r="K7" s="981" t="s">
        <v>210</v>
      </c>
      <c r="L7" s="981" t="s">
        <v>209</v>
      </c>
      <c r="M7" s="981" t="s">
        <v>208</v>
      </c>
      <c r="N7" s="981" t="s">
        <v>207</v>
      </c>
      <c r="O7" s="981" t="s">
        <v>206</v>
      </c>
      <c r="P7" s="981" t="s">
        <v>205</v>
      </c>
      <c r="Q7" s="981" t="s">
        <v>204</v>
      </c>
      <c r="R7" s="981" t="s">
        <v>203</v>
      </c>
      <c r="S7" s="981" t="s">
        <v>202</v>
      </c>
      <c r="T7" s="981" t="s">
        <v>201</v>
      </c>
      <c r="U7" s="981" t="s">
        <v>200</v>
      </c>
      <c r="V7" s="1324" t="s">
        <v>1076</v>
      </c>
      <c r="W7" s="5"/>
    </row>
    <row r="8" spans="1:23" s="39" customFormat="1" ht="25" customHeight="1" x14ac:dyDescent="0.35">
      <c r="A8" s="992" t="s">
        <v>199</v>
      </c>
      <c r="B8" s="993"/>
      <c r="C8" s="994" t="s">
        <v>1003</v>
      </c>
      <c r="D8" s="336"/>
      <c r="E8" s="46"/>
      <c r="F8" s="348"/>
      <c r="G8" s="349"/>
      <c r="H8" s="1298"/>
      <c r="I8" s="349"/>
      <c r="J8" s="108"/>
      <c r="K8" s="108"/>
      <c r="L8" s="108"/>
      <c r="M8" s="108"/>
      <c r="N8" s="108"/>
      <c r="O8" s="108"/>
      <c r="P8" s="108"/>
      <c r="Q8" s="108"/>
      <c r="R8" s="108"/>
      <c r="S8" s="101"/>
      <c r="T8" s="101"/>
      <c r="U8" s="101"/>
      <c r="V8" s="1325"/>
      <c r="W8" s="638"/>
    </row>
    <row r="9" spans="1:23" s="77" customFormat="1" ht="25" customHeight="1" x14ac:dyDescent="0.25">
      <c r="A9" s="352" t="s">
        <v>198</v>
      </c>
      <c r="B9" s="82">
        <v>5111</v>
      </c>
      <c r="C9" s="107" t="s">
        <v>197</v>
      </c>
      <c r="D9" s="341">
        <v>22256532300</v>
      </c>
      <c r="E9" s="188">
        <v>18307690000.303032</v>
      </c>
      <c r="F9" s="347">
        <v>21969228000.303032</v>
      </c>
      <c r="G9" s="209">
        <f>SUM(J9:U9)</f>
        <v>21969227999.999977</v>
      </c>
      <c r="H9" s="1299">
        <f t="shared" ref="H9:H24" si="0">G9-F9</f>
        <v>-0.3030548095703125</v>
      </c>
      <c r="I9" s="210">
        <f>IF(F9=0,"",(G9-F9)/F9)</f>
        <v>-1.3794513378719193E-11</v>
      </c>
      <c r="J9" s="83">
        <f>'Detail Revenue'!$G$10</f>
        <v>1830768999.9999981</v>
      </c>
      <c r="K9" s="83">
        <f>'Detail Revenue'!$G$10</f>
        <v>1830768999.9999981</v>
      </c>
      <c r="L9" s="83">
        <f>'Detail Revenue'!$G$10</f>
        <v>1830768999.9999981</v>
      </c>
      <c r="M9" s="83">
        <f>'Detail Revenue'!$G$10</f>
        <v>1830768999.9999981</v>
      </c>
      <c r="N9" s="83">
        <f>'Detail Revenue'!$G$10</f>
        <v>1830768999.9999981</v>
      </c>
      <c r="O9" s="83">
        <f>'Detail Revenue'!$G$10</f>
        <v>1830768999.9999981</v>
      </c>
      <c r="P9" s="83">
        <f>'Detail Revenue'!$G$10</f>
        <v>1830768999.9999981</v>
      </c>
      <c r="Q9" s="83">
        <f>'Detail Revenue'!$G$10</f>
        <v>1830768999.9999981</v>
      </c>
      <c r="R9" s="83">
        <f>'Detail Revenue'!$G$10</f>
        <v>1830768999.9999981</v>
      </c>
      <c r="S9" s="83">
        <f>'Detail Revenue'!$G$10</f>
        <v>1830768999.9999981</v>
      </c>
      <c r="T9" s="73">
        <f>'Detail Revenue'!$G$10</f>
        <v>1830768999.9999981</v>
      </c>
      <c r="U9" s="73">
        <f>'Detail Revenue'!$G$10</f>
        <v>1830768999.9999981</v>
      </c>
      <c r="V9" s="1326" t="s">
        <v>523</v>
      </c>
      <c r="W9" s="105"/>
    </row>
    <row r="10" spans="1:23" s="77" customFormat="1" ht="25" customHeight="1" x14ac:dyDescent="0.35">
      <c r="A10" s="352" t="s">
        <v>196</v>
      </c>
      <c r="B10" s="82">
        <v>5111</v>
      </c>
      <c r="C10" s="107" t="s">
        <v>195</v>
      </c>
      <c r="D10" s="341">
        <v>232314373</v>
      </c>
      <c r="E10" s="188">
        <v>177360000</v>
      </c>
      <c r="F10" s="347">
        <v>198000000</v>
      </c>
      <c r="G10" s="209">
        <f>SUM(J10:U10)</f>
        <v>198000000</v>
      </c>
      <c r="H10" s="1299">
        <f t="shared" si="0"/>
        <v>0</v>
      </c>
      <c r="I10" s="210">
        <f t="shared" ref="I10:I26" si="1">IF(F10=0,"",(G10-F10)/F10)</f>
        <v>0</v>
      </c>
      <c r="J10" s="83">
        <v>16500000</v>
      </c>
      <c r="K10" s="83">
        <f>J10</f>
        <v>16500000</v>
      </c>
      <c r="L10" s="83">
        <f t="shared" ref="L10:U10" si="2">K10</f>
        <v>16500000</v>
      </c>
      <c r="M10" s="83">
        <f t="shared" si="2"/>
        <v>16500000</v>
      </c>
      <c r="N10" s="83">
        <f t="shared" si="2"/>
        <v>16500000</v>
      </c>
      <c r="O10" s="83">
        <f t="shared" si="2"/>
        <v>16500000</v>
      </c>
      <c r="P10" s="83">
        <f t="shared" si="2"/>
        <v>16500000</v>
      </c>
      <c r="Q10" s="83">
        <f t="shared" si="2"/>
        <v>16500000</v>
      </c>
      <c r="R10" s="83">
        <f t="shared" si="2"/>
        <v>16500000</v>
      </c>
      <c r="S10" s="83">
        <f t="shared" si="2"/>
        <v>16500000</v>
      </c>
      <c r="T10" s="83">
        <f t="shared" si="2"/>
        <v>16500000</v>
      </c>
      <c r="U10" s="83">
        <f t="shared" si="2"/>
        <v>16500000</v>
      </c>
      <c r="V10" s="1327"/>
      <c r="W10" s="105"/>
    </row>
    <row r="11" spans="1:23" s="77" customFormat="1" ht="25" customHeight="1" x14ac:dyDescent="0.35">
      <c r="A11" s="352" t="s">
        <v>194</v>
      </c>
      <c r="B11" s="82">
        <v>5111</v>
      </c>
      <c r="C11" s="107" t="s">
        <v>193</v>
      </c>
      <c r="D11" s="341">
        <v>758868365</v>
      </c>
      <c r="E11" s="188">
        <v>340380000</v>
      </c>
      <c r="F11" s="347">
        <v>632400000</v>
      </c>
      <c r="G11" s="209">
        <f>SUM(J11:U11)</f>
        <v>632400000</v>
      </c>
      <c r="H11" s="1299">
        <f t="shared" si="0"/>
        <v>0</v>
      </c>
      <c r="I11" s="210">
        <f t="shared" si="1"/>
        <v>0</v>
      </c>
      <c r="J11" s="83">
        <v>52700000</v>
      </c>
      <c r="K11" s="83">
        <f>J11</f>
        <v>52700000</v>
      </c>
      <c r="L11" s="83">
        <f t="shared" ref="L11:U11" si="3">K11</f>
        <v>52700000</v>
      </c>
      <c r="M11" s="83">
        <f t="shared" si="3"/>
        <v>52700000</v>
      </c>
      <c r="N11" s="83">
        <f t="shared" si="3"/>
        <v>52700000</v>
      </c>
      <c r="O11" s="83">
        <f t="shared" si="3"/>
        <v>52700000</v>
      </c>
      <c r="P11" s="83">
        <f t="shared" si="3"/>
        <v>52700000</v>
      </c>
      <c r="Q11" s="83">
        <f t="shared" si="3"/>
        <v>52700000</v>
      </c>
      <c r="R11" s="83">
        <f t="shared" si="3"/>
        <v>52700000</v>
      </c>
      <c r="S11" s="83">
        <f t="shared" si="3"/>
        <v>52700000</v>
      </c>
      <c r="T11" s="83">
        <f t="shared" si="3"/>
        <v>52700000</v>
      </c>
      <c r="U11" s="83">
        <f t="shared" si="3"/>
        <v>52700000</v>
      </c>
      <c r="V11" s="1327"/>
      <c r="W11" s="105"/>
    </row>
    <row r="12" spans="1:23" s="77" customFormat="1" ht="25" customHeight="1" x14ac:dyDescent="0.35">
      <c r="A12" s="352" t="s">
        <v>192</v>
      </c>
      <c r="B12" s="82">
        <v>5113</v>
      </c>
      <c r="C12" s="107" t="s">
        <v>191</v>
      </c>
      <c r="D12" s="341">
        <v>198000000</v>
      </c>
      <c r="E12" s="188">
        <v>134545456</v>
      </c>
      <c r="F12" s="347">
        <v>179545456</v>
      </c>
      <c r="G12" s="209">
        <f t="shared" ref="G12:G24" si="4">SUM(J12:U12)</f>
        <v>180000000</v>
      </c>
      <c r="H12" s="1299">
        <f t="shared" si="0"/>
        <v>454544</v>
      </c>
      <c r="I12" s="210">
        <f t="shared" si="1"/>
        <v>2.5316374478449623E-3</v>
      </c>
      <c r="J12" s="83">
        <v>15000000</v>
      </c>
      <c r="K12" s="83">
        <v>15000000</v>
      </c>
      <c r="L12" s="83">
        <v>15000000</v>
      </c>
      <c r="M12" s="83">
        <v>15000000</v>
      </c>
      <c r="N12" s="83">
        <v>15000000</v>
      </c>
      <c r="O12" s="83">
        <v>15000000</v>
      </c>
      <c r="P12" s="83">
        <v>15000000</v>
      </c>
      <c r="Q12" s="83">
        <v>15000000</v>
      </c>
      <c r="R12" s="83">
        <v>15000000</v>
      </c>
      <c r="S12" s="83">
        <v>15000000</v>
      </c>
      <c r="T12" s="83">
        <v>15000000</v>
      </c>
      <c r="U12" s="83">
        <v>15000000</v>
      </c>
      <c r="V12" s="1327" t="s">
        <v>524</v>
      </c>
      <c r="W12" s="105"/>
    </row>
    <row r="13" spans="1:23" s="77" customFormat="1" ht="25" customHeight="1" x14ac:dyDescent="0.35">
      <c r="A13" s="352" t="s">
        <v>190</v>
      </c>
      <c r="B13" s="82">
        <v>5117</v>
      </c>
      <c r="C13" s="107" t="s">
        <v>189</v>
      </c>
      <c r="D13" s="341">
        <v>36000000</v>
      </c>
      <c r="E13" s="187">
        <v>0</v>
      </c>
      <c r="F13" s="198">
        <v>0</v>
      </c>
      <c r="G13" s="209">
        <f>SUM(J13:U13)</f>
        <v>0</v>
      </c>
      <c r="H13" s="1299">
        <f t="shared" si="0"/>
        <v>0</v>
      </c>
      <c r="I13" s="210" t="str">
        <f t="shared" si="1"/>
        <v/>
      </c>
      <c r="J13" s="83"/>
      <c r="K13" s="83"/>
      <c r="L13" s="83"/>
      <c r="M13" s="83"/>
      <c r="N13" s="83"/>
      <c r="O13" s="106"/>
      <c r="P13" s="106"/>
      <c r="Q13" s="83"/>
      <c r="R13" s="106"/>
      <c r="S13" s="83"/>
      <c r="T13" s="83"/>
      <c r="U13" s="83"/>
      <c r="V13" s="1327"/>
      <c r="W13" s="105"/>
    </row>
    <row r="14" spans="1:23" s="77" customFormat="1" ht="25" customHeight="1" x14ac:dyDescent="0.35">
      <c r="A14" s="352" t="s">
        <v>188</v>
      </c>
      <c r="B14" s="82" t="s">
        <v>187</v>
      </c>
      <c r="C14" s="107" t="s">
        <v>186</v>
      </c>
      <c r="D14" s="341">
        <v>180000000</v>
      </c>
      <c r="E14" s="188">
        <v>122840877.72727272</v>
      </c>
      <c r="F14" s="347">
        <v>170513605</v>
      </c>
      <c r="G14" s="209">
        <f>SUM(J14:U14)</f>
        <v>160000000</v>
      </c>
      <c r="H14" s="1299">
        <f t="shared" si="0"/>
        <v>-10513605</v>
      </c>
      <c r="I14" s="210">
        <f t="shared" si="1"/>
        <v>-6.1658452414984716E-2</v>
      </c>
      <c r="J14" s="106">
        <v>10000000</v>
      </c>
      <c r="K14" s="106">
        <v>20000000</v>
      </c>
      <c r="L14" s="106">
        <v>9000000</v>
      </c>
      <c r="M14" s="106">
        <v>12000000</v>
      </c>
      <c r="N14" s="106">
        <v>20000000</v>
      </c>
      <c r="O14" s="106">
        <f t="shared" ref="O14:S14" si="5">$J$14</f>
        <v>10000000</v>
      </c>
      <c r="P14" s="106">
        <v>9000000</v>
      </c>
      <c r="Q14" s="83">
        <f t="shared" si="5"/>
        <v>10000000</v>
      </c>
      <c r="R14" s="106">
        <f t="shared" si="5"/>
        <v>10000000</v>
      </c>
      <c r="S14" s="73">
        <f t="shared" si="5"/>
        <v>10000000</v>
      </c>
      <c r="T14" s="73">
        <v>20000000</v>
      </c>
      <c r="U14" s="73">
        <v>20000000</v>
      </c>
      <c r="V14" s="1327"/>
      <c r="W14" s="105"/>
    </row>
    <row r="15" spans="1:23" s="77" customFormat="1" ht="25" customHeight="1" x14ac:dyDescent="0.35">
      <c r="A15" s="352" t="s">
        <v>185</v>
      </c>
      <c r="B15" s="82">
        <v>5151</v>
      </c>
      <c r="C15" s="107" t="s">
        <v>184</v>
      </c>
      <c r="D15" s="341">
        <v>18000000</v>
      </c>
      <c r="E15" s="188">
        <v>9287913</v>
      </c>
      <c r="F15" s="347">
        <v>10318662</v>
      </c>
      <c r="G15" s="209">
        <f>SUM(J15:U15)</f>
        <v>11000000</v>
      </c>
      <c r="H15" s="1299">
        <f t="shared" si="0"/>
        <v>681338</v>
      </c>
      <c r="I15" s="210">
        <f t="shared" si="1"/>
        <v>6.6029684856428086E-2</v>
      </c>
      <c r="J15" s="106">
        <f>11000000/12</f>
        <v>916666.66666666663</v>
      </c>
      <c r="K15" s="106">
        <f>$J$15</f>
        <v>916666.66666666663</v>
      </c>
      <c r="L15" s="106">
        <f t="shared" ref="L15:U15" si="6">$J$15</f>
        <v>916666.66666666663</v>
      </c>
      <c r="M15" s="106">
        <f t="shared" si="6"/>
        <v>916666.66666666663</v>
      </c>
      <c r="N15" s="106">
        <f t="shared" si="6"/>
        <v>916666.66666666663</v>
      </c>
      <c r="O15" s="106">
        <f t="shared" si="6"/>
        <v>916666.66666666663</v>
      </c>
      <c r="P15" s="106">
        <f t="shared" si="6"/>
        <v>916666.66666666663</v>
      </c>
      <c r="Q15" s="83">
        <f t="shared" si="6"/>
        <v>916666.66666666663</v>
      </c>
      <c r="R15" s="106">
        <f t="shared" si="6"/>
        <v>916666.66666666663</v>
      </c>
      <c r="S15" s="73">
        <f t="shared" si="6"/>
        <v>916666.66666666663</v>
      </c>
      <c r="T15" s="73">
        <f t="shared" si="6"/>
        <v>916666.66666666663</v>
      </c>
      <c r="U15" s="73">
        <f t="shared" si="6"/>
        <v>916666.66666666663</v>
      </c>
      <c r="V15" s="1327"/>
      <c r="W15" s="105"/>
    </row>
    <row r="16" spans="1:23" s="77" customFormat="1" ht="25" customHeight="1" x14ac:dyDescent="0.35">
      <c r="A16" s="352" t="s">
        <v>183</v>
      </c>
      <c r="B16" s="82">
        <v>5115</v>
      </c>
      <c r="C16" s="107" t="s">
        <v>182</v>
      </c>
      <c r="D16" s="341">
        <v>130909092</v>
      </c>
      <c r="E16" s="188">
        <v>95363603.090909079</v>
      </c>
      <c r="F16" s="347">
        <v>120445421.27272727</v>
      </c>
      <c r="G16" s="209">
        <f t="shared" si="4"/>
        <v>113333288.96969694</v>
      </c>
      <c r="H16" s="1299">
        <f t="shared" si="0"/>
        <v>-7112132.303030327</v>
      </c>
      <c r="I16" s="210">
        <f t="shared" si="1"/>
        <v>-5.9048590040846519E-2</v>
      </c>
      <c r="J16" s="106">
        <v>9444440.7474747449</v>
      </c>
      <c r="K16" s="106">
        <v>9444440.7474747449</v>
      </c>
      <c r="L16" s="106">
        <v>9444440.7474747449</v>
      </c>
      <c r="M16" s="106">
        <v>9444440.7474747449</v>
      </c>
      <c r="N16" s="106">
        <v>9444440.7474747449</v>
      </c>
      <c r="O16" s="106">
        <v>9444440.7474747449</v>
      </c>
      <c r="P16" s="106">
        <v>9444440.7474747449</v>
      </c>
      <c r="Q16" s="83">
        <v>9444440.7474747449</v>
      </c>
      <c r="R16" s="106">
        <v>9444440.7474747449</v>
      </c>
      <c r="S16" s="73">
        <v>9444440.7474747449</v>
      </c>
      <c r="T16" s="73">
        <v>9444440.7474747449</v>
      </c>
      <c r="U16" s="73">
        <v>9444440.7474747449</v>
      </c>
      <c r="V16" s="1327" t="s">
        <v>525</v>
      </c>
      <c r="W16" s="105"/>
    </row>
    <row r="17" spans="1:23" s="77" customFormat="1" ht="25" customHeight="1" x14ac:dyDescent="0.35">
      <c r="A17" s="352" t="s">
        <v>181</v>
      </c>
      <c r="B17" s="82">
        <v>5116</v>
      </c>
      <c r="C17" s="107" t="s">
        <v>180</v>
      </c>
      <c r="D17" s="341">
        <v>182160000</v>
      </c>
      <c r="E17" s="188">
        <v>8980707</v>
      </c>
      <c r="F17" s="347">
        <v>278702657.90909088</v>
      </c>
      <c r="G17" s="209">
        <f>SUM(J17:U17)</f>
        <v>64999999.999999993</v>
      </c>
      <c r="H17" s="1299">
        <f t="shared" si="0"/>
        <v>-213702657.90909088</v>
      </c>
      <c r="I17" s="210">
        <f t="shared" si="1"/>
        <v>-0.76677653350115471</v>
      </c>
      <c r="J17" s="106">
        <f>65000000/12</f>
        <v>5416666.666666667</v>
      </c>
      <c r="K17" s="106">
        <f>J17</f>
        <v>5416666.666666667</v>
      </c>
      <c r="L17" s="106">
        <f t="shared" ref="L17:U19" si="7">K17</f>
        <v>5416666.666666667</v>
      </c>
      <c r="M17" s="106">
        <f t="shared" si="7"/>
        <v>5416666.666666667</v>
      </c>
      <c r="N17" s="106">
        <f t="shared" si="7"/>
        <v>5416666.666666667</v>
      </c>
      <c r="O17" s="106">
        <f t="shared" si="7"/>
        <v>5416666.666666667</v>
      </c>
      <c r="P17" s="106">
        <f t="shared" si="7"/>
        <v>5416666.666666667</v>
      </c>
      <c r="Q17" s="83">
        <f t="shared" si="7"/>
        <v>5416666.666666667</v>
      </c>
      <c r="R17" s="106">
        <f t="shared" si="7"/>
        <v>5416666.666666667</v>
      </c>
      <c r="S17" s="73">
        <f t="shared" si="7"/>
        <v>5416666.666666667</v>
      </c>
      <c r="T17" s="73">
        <f t="shared" si="7"/>
        <v>5416666.666666667</v>
      </c>
      <c r="U17" s="73">
        <f t="shared" si="7"/>
        <v>5416666.666666667</v>
      </c>
      <c r="V17" s="1327"/>
      <c r="W17" s="105"/>
    </row>
    <row r="18" spans="1:23" s="77" customFormat="1" ht="25" customHeight="1" x14ac:dyDescent="0.35">
      <c r="A18" s="352" t="s">
        <v>179</v>
      </c>
      <c r="B18" s="82">
        <v>5118</v>
      </c>
      <c r="C18" s="107" t="s">
        <v>178</v>
      </c>
      <c r="D18" s="341">
        <v>1245000000</v>
      </c>
      <c r="E18" s="188">
        <v>0</v>
      </c>
      <c r="F18" s="347">
        <v>0</v>
      </c>
      <c r="G18" s="209">
        <f>SUM(J18:U18)</f>
        <v>0</v>
      </c>
      <c r="H18" s="1299">
        <f t="shared" si="0"/>
        <v>0</v>
      </c>
      <c r="I18" s="210" t="str">
        <f t="shared" si="1"/>
        <v/>
      </c>
      <c r="J18" s="106"/>
      <c r="K18" s="106">
        <f>J18</f>
        <v>0</v>
      </c>
      <c r="L18" s="106">
        <f t="shared" si="7"/>
        <v>0</v>
      </c>
      <c r="M18" s="106">
        <f t="shared" si="7"/>
        <v>0</v>
      </c>
      <c r="N18" s="106">
        <f t="shared" si="7"/>
        <v>0</v>
      </c>
      <c r="O18" s="106">
        <f t="shared" si="7"/>
        <v>0</v>
      </c>
      <c r="P18" s="106">
        <f t="shared" si="7"/>
        <v>0</v>
      </c>
      <c r="Q18" s="83">
        <f t="shared" si="7"/>
        <v>0</v>
      </c>
      <c r="R18" s="106">
        <f t="shared" si="7"/>
        <v>0</v>
      </c>
      <c r="S18" s="73">
        <f t="shared" si="7"/>
        <v>0</v>
      </c>
      <c r="T18" s="73">
        <f t="shared" si="7"/>
        <v>0</v>
      </c>
      <c r="U18" s="73">
        <f>T18</f>
        <v>0</v>
      </c>
      <c r="V18" s="1327"/>
      <c r="W18" s="105"/>
    </row>
    <row r="19" spans="1:23" s="77" customFormat="1" ht="25" customHeight="1" x14ac:dyDescent="0.35">
      <c r="A19" s="352" t="s">
        <v>177</v>
      </c>
      <c r="B19" s="82" t="s">
        <v>215</v>
      </c>
      <c r="C19" s="107" t="s">
        <v>176</v>
      </c>
      <c r="D19" s="341">
        <v>42000000</v>
      </c>
      <c r="E19" s="188">
        <v>68951152.272727281</v>
      </c>
      <c r="F19" s="347">
        <v>110003996.27272728</v>
      </c>
      <c r="G19" s="209">
        <f t="shared" si="4"/>
        <v>72000000</v>
      </c>
      <c r="H19" s="1299">
        <f t="shared" si="0"/>
        <v>-38003996.272727281</v>
      </c>
      <c r="I19" s="210">
        <f t="shared" si="1"/>
        <v>-0.34547832406475415</v>
      </c>
      <c r="J19" s="106">
        <v>6000000</v>
      </c>
      <c r="K19" s="106">
        <f>J19</f>
        <v>6000000</v>
      </c>
      <c r="L19" s="106">
        <f t="shared" si="7"/>
        <v>6000000</v>
      </c>
      <c r="M19" s="106">
        <f t="shared" si="7"/>
        <v>6000000</v>
      </c>
      <c r="N19" s="106">
        <f t="shared" si="7"/>
        <v>6000000</v>
      </c>
      <c r="O19" s="106">
        <f t="shared" si="7"/>
        <v>6000000</v>
      </c>
      <c r="P19" s="106">
        <f t="shared" si="7"/>
        <v>6000000</v>
      </c>
      <c r="Q19" s="83">
        <f t="shared" si="7"/>
        <v>6000000</v>
      </c>
      <c r="R19" s="106">
        <f t="shared" si="7"/>
        <v>6000000</v>
      </c>
      <c r="S19" s="73">
        <f t="shared" si="7"/>
        <v>6000000</v>
      </c>
      <c r="T19" s="73">
        <f t="shared" si="7"/>
        <v>6000000</v>
      </c>
      <c r="U19" s="73">
        <f t="shared" ref="U19" si="8">T19</f>
        <v>6000000</v>
      </c>
      <c r="V19" s="1327"/>
      <c r="W19" s="105"/>
    </row>
    <row r="20" spans="1:23" s="77" customFormat="1" ht="25" customHeight="1" x14ac:dyDescent="0.35">
      <c r="A20" s="352" t="s">
        <v>175</v>
      </c>
      <c r="B20" s="82">
        <v>5118</v>
      </c>
      <c r="C20" s="107" t="s">
        <v>174</v>
      </c>
      <c r="D20" s="341">
        <v>75600000</v>
      </c>
      <c r="E20" s="188">
        <v>0</v>
      </c>
      <c r="F20" s="347">
        <v>200467557.36363634</v>
      </c>
      <c r="G20" s="209">
        <f t="shared" si="4"/>
        <v>60000000</v>
      </c>
      <c r="H20" s="1299">
        <f t="shared" si="0"/>
        <v>-140467557.36363634</v>
      </c>
      <c r="I20" s="210">
        <f t="shared" si="1"/>
        <v>-0.70069970029532747</v>
      </c>
      <c r="J20" s="106">
        <v>5000000</v>
      </c>
      <c r="K20" s="106">
        <f>J20</f>
        <v>5000000</v>
      </c>
      <c r="L20" s="106">
        <f t="shared" ref="L20:U20" si="9">K20</f>
        <v>5000000</v>
      </c>
      <c r="M20" s="106">
        <f t="shared" si="9"/>
        <v>5000000</v>
      </c>
      <c r="N20" s="106">
        <f t="shared" si="9"/>
        <v>5000000</v>
      </c>
      <c r="O20" s="106">
        <f t="shared" si="9"/>
        <v>5000000</v>
      </c>
      <c r="P20" s="106">
        <f t="shared" si="9"/>
        <v>5000000</v>
      </c>
      <c r="Q20" s="83">
        <f t="shared" si="9"/>
        <v>5000000</v>
      </c>
      <c r="R20" s="106">
        <f t="shared" si="9"/>
        <v>5000000</v>
      </c>
      <c r="S20" s="73">
        <f t="shared" si="9"/>
        <v>5000000</v>
      </c>
      <c r="T20" s="73">
        <f t="shared" si="9"/>
        <v>5000000</v>
      </c>
      <c r="U20" s="73">
        <f t="shared" si="9"/>
        <v>5000000</v>
      </c>
      <c r="V20" s="1327"/>
      <c r="W20" s="105"/>
    </row>
    <row r="21" spans="1:23" s="77" customFormat="1" ht="25" customHeight="1" x14ac:dyDescent="0.35">
      <c r="A21" s="352" t="s">
        <v>173</v>
      </c>
      <c r="B21" s="82">
        <v>5118</v>
      </c>
      <c r="C21" s="107" t="s">
        <v>172</v>
      </c>
      <c r="D21" s="341">
        <v>24000000</v>
      </c>
      <c r="E21" s="188">
        <v>0</v>
      </c>
      <c r="F21" s="347">
        <v>22580645</v>
      </c>
      <c r="G21" s="209">
        <f>SUM(J21:U21)</f>
        <v>24000000</v>
      </c>
      <c r="H21" s="1299">
        <f t="shared" si="0"/>
        <v>1419355</v>
      </c>
      <c r="I21" s="210">
        <f t="shared" si="1"/>
        <v>6.2857150448979646E-2</v>
      </c>
      <c r="J21" s="106">
        <v>2000000</v>
      </c>
      <c r="K21" s="106">
        <v>2000000</v>
      </c>
      <c r="L21" s="106">
        <v>2000000</v>
      </c>
      <c r="M21" s="106">
        <v>2000000</v>
      </c>
      <c r="N21" s="106">
        <v>2000000</v>
      </c>
      <c r="O21" s="106">
        <v>2000000</v>
      </c>
      <c r="P21" s="106">
        <v>2000000</v>
      </c>
      <c r="Q21" s="83">
        <v>2000000</v>
      </c>
      <c r="R21" s="106">
        <v>2000000</v>
      </c>
      <c r="S21" s="73">
        <v>2000000</v>
      </c>
      <c r="T21" s="73">
        <v>2000000</v>
      </c>
      <c r="U21" s="73">
        <v>2000000</v>
      </c>
      <c r="V21" s="1327"/>
      <c r="W21" s="105"/>
    </row>
    <row r="22" spans="1:23" s="77" customFormat="1" ht="25" customHeight="1" x14ac:dyDescent="0.35">
      <c r="A22" s="352" t="s">
        <v>171</v>
      </c>
      <c r="B22" s="82">
        <v>5118</v>
      </c>
      <c r="C22" s="107" t="s">
        <v>170</v>
      </c>
      <c r="D22" s="341">
        <v>105000000</v>
      </c>
      <c r="E22" s="188">
        <v>12573470</v>
      </c>
      <c r="F22" s="347">
        <v>31760287</v>
      </c>
      <c r="G22" s="209">
        <f>SUM(J22:U22)</f>
        <v>30999999.999999996</v>
      </c>
      <c r="H22" s="1299">
        <f t="shared" si="0"/>
        <v>-760287.00000000373</v>
      </c>
      <c r="I22" s="210">
        <f t="shared" si="1"/>
        <v>-2.393829123773358E-2</v>
      </c>
      <c r="J22" s="106">
        <f>31000000/12</f>
        <v>2583333.3333333335</v>
      </c>
      <c r="K22" s="106">
        <f>J22</f>
        <v>2583333.3333333335</v>
      </c>
      <c r="L22" s="106">
        <f t="shared" ref="L22:U23" si="10">K22</f>
        <v>2583333.3333333335</v>
      </c>
      <c r="M22" s="106">
        <f t="shared" si="10"/>
        <v>2583333.3333333335</v>
      </c>
      <c r="N22" s="106">
        <f t="shared" si="10"/>
        <v>2583333.3333333335</v>
      </c>
      <c r="O22" s="106">
        <f t="shared" si="10"/>
        <v>2583333.3333333335</v>
      </c>
      <c r="P22" s="106">
        <f t="shared" si="10"/>
        <v>2583333.3333333335</v>
      </c>
      <c r="Q22" s="83">
        <f t="shared" si="10"/>
        <v>2583333.3333333335</v>
      </c>
      <c r="R22" s="106">
        <f t="shared" si="10"/>
        <v>2583333.3333333335</v>
      </c>
      <c r="S22" s="73">
        <f t="shared" si="10"/>
        <v>2583333.3333333335</v>
      </c>
      <c r="T22" s="73">
        <f t="shared" si="10"/>
        <v>2583333.3333333335</v>
      </c>
      <c r="U22" s="73">
        <f t="shared" si="10"/>
        <v>2583333.3333333335</v>
      </c>
      <c r="V22" s="1327"/>
      <c r="W22" s="105"/>
    </row>
    <row r="23" spans="1:23" s="77" customFormat="1" ht="25" customHeight="1" x14ac:dyDescent="0.35">
      <c r="A23" s="352" t="s">
        <v>169</v>
      </c>
      <c r="B23" s="82">
        <v>5118</v>
      </c>
      <c r="C23" s="107" t="s">
        <v>168</v>
      </c>
      <c r="D23" s="341">
        <v>309166667</v>
      </c>
      <c r="E23" s="188">
        <v>10576539.363636363</v>
      </c>
      <c r="F23" s="347">
        <v>10576539.363636363</v>
      </c>
      <c r="G23" s="209">
        <f t="shared" si="4"/>
        <v>0</v>
      </c>
      <c r="H23" s="1299">
        <f t="shared" si="0"/>
        <v>-10576539.363636363</v>
      </c>
      <c r="I23" s="210">
        <f t="shared" si="1"/>
        <v>-1</v>
      </c>
      <c r="J23" s="106">
        <v>0</v>
      </c>
      <c r="K23" s="106">
        <v>0</v>
      </c>
      <c r="L23" s="106">
        <v>0</v>
      </c>
      <c r="M23" s="106">
        <f>L23</f>
        <v>0</v>
      </c>
      <c r="N23" s="106">
        <f t="shared" si="10"/>
        <v>0</v>
      </c>
      <c r="O23" s="106">
        <f t="shared" si="10"/>
        <v>0</v>
      </c>
      <c r="P23" s="106">
        <f t="shared" si="10"/>
        <v>0</v>
      </c>
      <c r="Q23" s="83">
        <f t="shared" si="10"/>
        <v>0</v>
      </c>
      <c r="R23" s="106">
        <f t="shared" si="10"/>
        <v>0</v>
      </c>
      <c r="S23" s="73">
        <f t="shared" si="10"/>
        <v>0</v>
      </c>
      <c r="T23" s="73">
        <f t="shared" si="10"/>
        <v>0</v>
      </c>
      <c r="U23" s="73">
        <f t="shared" si="10"/>
        <v>0</v>
      </c>
      <c r="V23" s="1327"/>
      <c r="W23" s="105"/>
    </row>
    <row r="24" spans="1:23" s="77" customFormat="1" ht="25" customHeight="1" x14ac:dyDescent="0.35">
      <c r="A24" s="352" t="s">
        <v>167</v>
      </c>
      <c r="B24" s="82">
        <v>5112</v>
      </c>
      <c r="C24" s="107" t="s">
        <v>166</v>
      </c>
      <c r="D24" s="341">
        <v>2711515410</v>
      </c>
      <c r="E24" s="188">
        <v>2363572196</v>
      </c>
      <c r="F24" s="347">
        <v>2849689729</v>
      </c>
      <c r="G24" s="209">
        <f t="shared" si="4"/>
        <v>2838222341.3333282</v>
      </c>
      <c r="H24" s="1299">
        <f t="shared" si="0"/>
        <v>-11467387.666671753</v>
      </c>
      <c r="I24" s="210">
        <f t="shared" si="1"/>
        <v>-4.0240828852254858E-3</v>
      </c>
      <c r="J24" s="106">
        <v>236518528.444444</v>
      </c>
      <c r="K24" s="106">
        <f>$J$24</f>
        <v>236518528.444444</v>
      </c>
      <c r="L24" s="106">
        <f t="shared" ref="L24:U24" si="11">$J$24</f>
        <v>236518528.444444</v>
      </c>
      <c r="M24" s="106">
        <f t="shared" si="11"/>
        <v>236518528.444444</v>
      </c>
      <c r="N24" s="106">
        <f t="shared" si="11"/>
        <v>236518528.444444</v>
      </c>
      <c r="O24" s="106">
        <f t="shared" si="11"/>
        <v>236518528.444444</v>
      </c>
      <c r="P24" s="106">
        <f t="shared" si="11"/>
        <v>236518528.444444</v>
      </c>
      <c r="Q24" s="83">
        <f t="shared" si="11"/>
        <v>236518528.444444</v>
      </c>
      <c r="R24" s="106">
        <f t="shared" si="11"/>
        <v>236518528.444444</v>
      </c>
      <c r="S24" s="73">
        <f t="shared" si="11"/>
        <v>236518528.444444</v>
      </c>
      <c r="T24" s="73">
        <f t="shared" si="11"/>
        <v>236518528.444444</v>
      </c>
      <c r="U24" s="73">
        <f t="shared" si="11"/>
        <v>236518528.444444</v>
      </c>
      <c r="V24" s="1327" t="s">
        <v>526</v>
      </c>
      <c r="W24" s="105"/>
    </row>
    <row r="25" spans="1:23" s="99" customFormat="1" ht="5.15" customHeight="1" x14ac:dyDescent="0.35">
      <c r="A25" s="353"/>
      <c r="B25" s="104"/>
      <c r="C25" s="103"/>
      <c r="D25" s="988"/>
      <c r="E25" s="989"/>
      <c r="F25" s="990"/>
      <c r="G25" s="102"/>
      <c r="H25" s="1300"/>
      <c r="I25" s="991"/>
      <c r="J25" s="102"/>
      <c r="K25" s="102"/>
      <c r="L25" s="102"/>
      <c r="M25" s="102"/>
      <c r="N25" s="102"/>
      <c r="O25" s="102"/>
      <c r="P25" s="102"/>
      <c r="Q25" s="102"/>
      <c r="R25" s="102"/>
      <c r="S25" s="101"/>
      <c r="T25" s="101"/>
      <c r="U25" s="101"/>
      <c r="V25" s="1325"/>
      <c r="W25" s="100"/>
    </row>
    <row r="26" spans="1:23" ht="25" customHeight="1" x14ac:dyDescent="0.35">
      <c r="A26" s="982"/>
      <c r="B26" s="983"/>
      <c r="C26" s="984" t="s">
        <v>165</v>
      </c>
      <c r="D26" s="940">
        <v>28505066207</v>
      </c>
      <c r="E26" s="52">
        <v>21652121914.757576</v>
      </c>
      <c r="F26" s="985">
        <f>SUM(F9:F25)</f>
        <v>26784232556.484852</v>
      </c>
      <c r="G26" s="52">
        <f>SUM(G9:G25)</f>
        <v>26354183630.303001</v>
      </c>
      <c r="H26" s="985">
        <f>SUM(H9:H25)</f>
        <v>-430048926.18184775</v>
      </c>
      <c r="I26" s="986">
        <f t="shared" si="1"/>
        <v>-1.605604809751136E-2</v>
      </c>
      <c r="J26" s="52">
        <f>SUM(J9:J25)</f>
        <v>2192848635.8585835</v>
      </c>
      <c r="K26" s="52">
        <f t="shared" ref="K26:P26" si="12">SUM(K9:K25)</f>
        <v>2202848635.8585835</v>
      </c>
      <c r="L26" s="52">
        <f t="shared" si="12"/>
        <v>2191848635.8585835</v>
      </c>
      <c r="M26" s="52">
        <f t="shared" si="12"/>
        <v>2194848635.8585835</v>
      </c>
      <c r="N26" s="52">
        <f t="shared" si="12"/>
        <v>2202848635.8585835</v>
      </c>
      <c r="O26" s="52">
        <f t="shared" si="12"/>
        <v>2192848635.8585835</v>
      </c>
      <c r="P26" s="52">
        <f t="shared" si="12"/>
        <v>2191848635.8585835</v>
      </c>
      <c r="Q26" s="987">
        <f>SUM(Q9:Q25)</f>
        <v>2192848635.8585835</v>
      </c>
      <c r="R26" s="52">
        <f>SUM(R9:R25)</f>
        <v>2192848635.8585835</v>
      </c>
      <c r="S26" s="52">
        <f>SUM(S9:S25)</f>
        <v>2192848635.8585835</v>
      </c>
      <c r="T26" s="52">
        <f>SUM(T9:T25)</f>
        <v>2202848635.8585835</v>
      </c>
      <c r="U26" s="52">
        <f>SUM(U9:U25)</f>
        <v>2202848635.8585835</v>
      </c>
      <c r="V26" s="1328"/>
      <c r="W26" s="98"/>
    </row>
    <row r="27" spans="1:23" s="39" customFormat="1" ht="5.15" customHeight="1" x14ac:dyDescent="0.35">
      <c r="A27" s="355"/>
      <c r="B27" s="97"/>
      <c r="C27" s="96"/>
      <c r="D27" s="190"/>
      <c r="E27" s="96"/>
      <c r="F27" s="190"/>
      <c r="G27" s="95"/>
      <c r="H27" s="1301"/>
      <c r="I27" s="204"/>
      <c r="J27" s="95"/>
      <c r="K27" s="95"/>
      <c r="L27" s="95"/>
      <c r="M27" s="95"/>
      <c r="N27" s="95"/>
      <c r="O27" s="95"/>
      <c r="P27" s="95"/>
      <c r="Q27" s="95"/>
      <c r="R27" s="95"/>
      <c r="S27" s="648"/>
      <c r="T27" s="648"/>
      <c r="U27" s="648"/>
      <c r="V27" s="1329"/>
      <c r="W27" s="638"/>
    </row>
    <row r="28" spans="1:23" s="39" customFormat="1" ht="25" customHeight="1" x14ac:dyDescent="0.35">
      <c r="A28" s="995" t="s">
        <v>164</v>
      </c>
      <c r="B28" s="996"/>
      <c r="C28" s="997" t="s">
        <v>1004</v>
      </c>
      <c r="D28" s="191"/>
      <c r="E28" s="92"/>
      <c r="F28" s="191"/>
      <c r="G28" s="91"/>
      <c r="H28" s="1302"/>
      <c r="I28" s="205"/>
      <c r="J28" s="90"/>
      <c r="K28" s="90"/>
      <c r="L28" s="90"/>
      <c r="M28" s="90"/>
      <c r="N28" s="90"/>
      <c r="O28" s="90"/>
      <c r="P28" s="90"/>
      <c r="Q28" s="90"/>
      <c r="R28" s="90"/>
      <c r="S28" s="649"/>
      <c r="T28" s="649"/>
      <c r="U28" s="649"/>
      <c r="V28" s="1330"/>
      <c r="W28" s="638"/>
    </row>
    <row r="29" spans="1:23" s="58" customFormat="1" ht="25" customHeight="1" x14ac:dyDescent="0.35">
      <c r="A29" s="982" t="s">
        <v>163</v>
      </c>
      <c r="B29" s="998"/>
      <c r="C29" s="984" t="s">
        <v>1005</v>
      </c>
      <c r="D29" s="343"/>
      <c r="E29" s="186"/>
      <c r="F29" s="199"/>
      <c r="G29" s="213"/>
      <c r="H29" s="1303"/>
      <c r="I29" s="214"/>
      <c r="J29" s="32"/>
      <c r="K29" s="32"/>
      <c r="L29" s="32"/>
      <c r="M29" s="32"/>
      <c r="N29" s="32"/>
      <c r="O29" s="32"/>
      <c r="P29" s="32"/>
      <c r="Q29" s="32"/>
      <c r="R29" s="32"/>
      <c r="S29" s="31"/>
      <c r="T29" s="31"/>
      <c r="U29" s="31"/>
      <c r="V29" s="1331"/>
      <c r="W29" s="87"/>
    </row>
    <row r="30" spans="1:23" s="84" customFormat="1" ht="25" customHeight="1" x14ac:dyDescent="0.25">
      <c r="A30" s="352" t="s">
        <v>162</v>
      </c>
      <c r="B30" s="86" t="s">
        <v>161</v>
      </c>
      <c r="C30" s="85" t="s">
        <v>160</v>
      </c>
      <c r="D30" s="1275">
        <f>SUM(D31:D35)</f>
        <v>8496395742</v>
      </c>
      <c r="E30" s="188">
        <v>6719951523.7679996</v>
      </c>
      <c r="F30" s="1274">
        <f>SUM(F31:F35)</f>
        <v>8027334241.816</v>
      </c>
      <c r="G30" s="215">
        <f>SUM(G31:G35)</f>
        <v>8303000000</v>
      </c>
      <c r="H30" s="1304">
        <f>G30-F30</f>
        <v>275665758.18400002</v>
      </c>
      <c r="I30" s="216">
        <f t="shared" ref="I30:I53" si="13">IF(F30=0,"",(G30-F30)/F30)</f>
        <v>3.4340884517801887E-2</v>
      </c>
      <c r="J30" s="79">
        <f>SUM(J31:J35)</f>
        <v>693000000</v>
      </c>
      <c r="K30" s="79">
        <f>SUM(K31:K35)</f>
        <v>708000000</v>
      </c>
      <c r="L30" s="79">
        <f t="shared" ref="L30:P30" si="14">SUM(L31:L35)</f>
        <v>687000000</v>
      </c>
      <c r="M30" s="79">
        <f t="shared" si="14"/>
        <v>687000000</v>
      </c>
      <c r="N30" s="79">
        <f t="shared" si="14"/>
        <v>708000000</v>
      </c>
      <c r="O30" s="79">
        <f t="shared" si="14"/>
        <v>687000000</v>
      </c>
      <c r="P30" s="79">
        <f t="shared" si="14"/>
        <v>687000000</v>
      </c>
      <c r="Q30" s="79">
        <f>SUM(Q31:Q35)</f>
        <v>687000000</v>
      </c>
      <c r="R30" s="79">
        <f>SUM(R31:R35)</f>
        <v>698000000</v>
      </c>
      <c r="S30" s="79">
        <f>SUM(S31:S35)</f>
        <v>687000000</v>
      </c>
      <c r="T30" s="79">
        <f>SUM(T31:T35)</f>
        <v>687000000</v>
      </c>
      <c r="U30" s="79">
        <f>SUM(U31:U35)</f>
        <v>687000000</v>
      </c>
      <c r="V30" s="1332"/>
      <c r="W30" s="78"/>
    </row>
    <row r="31" spans="1:23" s="84" customFormat="1" ht="25" customHeight="1" x14ac:dyDescent="0.35">
      <c r="A31" s="352" t="s">
        <v>1006</v>
      </c>
      <c r="B31" s="82"/>
      <c r="C31" s="81" t="s">
        <v>159</v>
      </c>
      <c r="D31" s="341">
        <f>1525193132/1.1</f>
        <v>1386539210.9090908</v>
      </c>
      <c r="E31" s="188">
        <v>1129395510.24</v>
      </c>
      <c r="F31" s="200">
        <v>1354769683.9200001</v>
      </c>
      <c r="G31" s="217">
        <f t="shared" ref="G31:G46" si="15">SUM(J31:U31)</f>
        <v>1380000000</v>
      </c>
      <c r="H31" s="1305">
        <f>G31-F31</f>
        <v>25230316.079999924</v>
      </c>
      <c r="I31" s="218">
        <f t="shared" si="13"/>
        <v>1.8623324967677522E-2</v>
      </c>
      <c r="J31" s="80">
        <f>J33*0.08+75000000</f>
        <v>115000000</v>
      </c>
      <c r="K31" s="80">
        <f>$J$31</f>
        <v>115000000</v>
      </c>
      <c r="L31" s="80">
        <f>$J$31</f>
        <v>115000000</v>
      </c>
      <c r="M31" s="80">
        <f t="shared" ref="M31:T31" si="16">$J$31</f>
        <v>115000000</v>
      </c>
      <c r="N31" s="80">
        <f t="shared" si="16"/>
        <v>115000000</v>
      </c>
      <c r="O31" s="80">
        <f t="shared" si="16"/>
        <v>115000000</v>
      </c>
      <c r="P31" s="80">
        <f t="shared" si="16"/>
        <v>115000000</v>
      </c>
      <c r="Q31" s="80">
        <f t="shared" si="16"/>
        <v>115000000</v>
      </c>
      <c r="R31" s="80">
        <f t="shared" si="16"/>
        <v>115000000</v>
      </c>
      <c r="S31" s="80">
        <f t="shared" si="16"/>
        <v>115000000</v>
      </c>
      <c r="T31" s="80">
        <f t="shared" si="16"/>
        <v>115000000</v>
      </c>
      <c r="U31" s="80">
        <f>$J$31</f>
        <v>115000000</v>
      </c>
      <c r="V31" s="1327"/>
      <c r="W31" s="78"/>
    </row>
    <row r="32" spans="1:23" s="77" customFormat="1" ht="25" customHeight="1" x14ac:dyDescent="0.35">
      <c r="A32" s="352" t="s">
        <v>1007</v>
      </c>
      <c r="B32" s="82"/>
      <c r="C32" s="81" t="s">
        <v>158</v>
      </c>
      <c r="D32" s="341">
        <v>0</v>
      </c>
      <c r="E32" s="188">
        <v>0</v>
      </c>
      <c r="F32" s="200">
        <v>0</v>
      </c>
      <c r="G32" s="217">
        <f t="shared" si="15"/>
        <v>0</v>
      </c>
      <c r="H32" s="1305">
        <f t="shared" ref="H32:H51" si="17">G32-F32</f>
        <v>0</v>
      </c>
      <c r="I32" s="218" t="str">
        <f t="shared" si="13"/>
        <v/>
      </c>
      <c r="J32" s="80">
        <v>0</v>
      </c>
      <c r="K32" s="80">
        <v>0</v>
      </c>
      <c r="L32" s="80">
        <v>0</v>
      </c>
      <c r="M32" s="80">
        <v>0</v>
      </c>
      <c r="N32" s="80">
        <v>0</v>
      </c>
      <c r="O32" s="80">
        <v>0</v>
      </c>
      <c r="P32" s="80">
        <v>0</v>
      </c>
      <c r="Q32" s="80">
        <v>0</v>
      </c>
      <c r="R32" s="80">
        <v>0</v>
      </c>
      <c r="S32" s="80">
        <v>0</v>
      </c>
      <c r="T32" s="80">
        <v>0</v>
      </c>
      <c r="U32" s="80">
        <v>0</v>
      </c>
      <c r="V32" s="1327"/>
      <c r="W32" s="78"/>
    </row>
    <row r="33" spans="1:23" s="77" customFormat="1" ht="25" customHeight="1" x14ac:dyDescent="0.35">
      <c r="A33" s="352" t="s">
        <v>1008</v>
      </c>
      <c r="B33" s="82"/>
      <c r="C33" s="81" t="s">
        <v>157</v>
      </c>
      <c r="D33" s="341">
        <f>6971202610/1.1-D35</f>
        <v>6162949226.181818</v>
      </c>
      <c r="E33" s="188">
        <v>4742443889.6399994</v>
      </c>
      <c r="F33" s="200">
        <v>5684621060.6399994</v>
      </c>
      <c r="G33" s="211">
        <f t="shared" si="15"/>
        <v>6000000000</v>
      </c>
      <c r="H33" s="1306">
        <f t="shared" si="17"/>
        <v>315378939.36000061</v>
      </c>
      <c r="I33" s="218">
        <f t="shared" si="13"/>
        <v>5.5479325006141021E-2</v>
      </c>
      <c r="J33" s="80">
        <v>500000000</v>
      </c>
      <c r="K33" s="80">
        <f>$J$33</f>
        <v>500000000</v>
      </c>
      <c r="L33" s="80">
        <f t="shared" ref="L33:U33" si="18">$J$33</f>
        <v>500000000</v>
      </c>
      <c r="M33" s="80">
        <f t="shared" si="18"/>
        <v>500000000</v>
      </c>
      <c r="N33" s="80">
        <f t="shared" si="18"/>
        <v>500000000</v>
      </c>
      <c r="O33" s="80">
        <f t="shared" si="18"/>
        <v>500000000</v>
      </c>
      <c r="P33" s="80">
        <f t="shared" si="18"/>
        <v>500000000</v>
      </c>
      <c r="Q33" s="80">
        <f t="shared" si="18"/>
        <v>500000000</v>
      </c>
      <c r="R33" s="80">
        <f t="shared" si="18"/>
        <v>500000000</v>
      </c>
      <c r="S33" s="80">
        <f t="shared" si="18"/>
        <v>500000000</v>
      </c>
      <c r="T33" s="80">
        <f t="shared" si="18"/>
        <v>500000000</v>
      </c>
      <c r="U33" s="80">
        <f t="shared" si="18"/>
        <v>500000000</v>
      </c>
      <c r="V33" s="1327"/>
      <c r="W33" s="78"/>
    </row>
    <row r="34" spans="1:23" s="77" customFormat="1" ht="25" customHeight="1" x14ac:dyDescent="0.35">
      <c r="A34" s="352" t="s">
        <v>1009</v>
      </c>
      <c r="B34" s="82"/>
      <c r="C34" s="81" t="s">
        <v>156</v>
      </c>
      <c r="D34" s="341">
        <f>(D31+D33+D35)*0.1</f>
        <v>772399612.909091</v>
      </c>
      <c r="E34" s="188">
        <v>610904683.88800001</v>
      </c>
      <c r="F34" s="200">
        <v>729757658.25600004</v>
      </c>
      <c r="G34" s="211">
        <f t="shared" si="15"/>
        <v>756000000</v>
      </c>
      <c r="H34" s="1306">
        <f t="shared" si="17"/>
        <v>26242341.743999958</v>
      </c>
      <c r="I34" s="218">
        <f t="shared" si="13"/>
        <v>3.5960351285267506E-2</v>
      </c>
      <c r="J34" s="80">
        <f>(J33+J31+J35)*0.1</f>
        <v>63000000</v>
      </c>
      <c r="K34" s="80">
        <f>$J$34</f>
        <v>63000000</v>
      </c>
      <c r="L34" s="80">
        <f t="shared" ref="L34:U34" si="19">$J$34</f>
        <v>63000000</v>
      </c>
      <c r="M34" s="80">
        <f t="shared" si="19"/>
        <v>63000000</v>
      </c>
      <c r="N34" s="80">
        <f t="shared" si="19"/>
        <v>63000000</v>
      </c>
      <c r="O34" s="80">
        <f t="shared" si="19"/>
        <v>63000000</v>
      </c>
      <c r="P34" s="80">
        <f t="shared" si="19"/>
        <v>63000000</v>
      </c>
      <c r="Q34" s="80">
        <f t="shared" si="19"/>
        <v>63000000</v>
      </c>
      <c r="R34" s="80">
        <f t="shared" si="19"/>
        <v>63000000</v>
      </c>
      <c r="S34" s="80">
        <f t="shared" si="19"/>
        <v>63000000</v>
      </c>
      <c r="T34" s="80">
        <f t="shared" si="19"/>
        <v>63000000</v>
      </c>
      <c r="U34" s="80">
        <f t="shared" si="19"/>
        <v>63000000</v>
      </c>
      <c r="V34" s="1327"/>
      <c r="W34" s="78"/>
    </row>
    <row r="35" spans="1:23" s="77" customFormat="1" ht="25" customHeight="1" x14ac:dyDescent="0.35">
      <c r="A35" s="352" t="s">
        <v>1010</v>
      </c>
      <c r="B35" s="82"/>
      <c r="C35" s="81" t="s">
        <v>155</v>
      </c>
      <c r="D35" s="341">
        <v>174507692</v>
      </c>
      <c r="E35" s="188">
        <v>237207440</v>
      </c>
      <c r="F35" s="200">
        <v>258185839</v>
      </c>
      <c r="G35" s="219">
        <f t="shared" si="15"/>
        <v>167000000</v>
      </c>
      <c r="H35" s="1307">
        <f t="shared" si="17"/>
        <v>-91185839</v>
      </c>
      <c r="I35" s="218">
        <f t="shared" si="13"/>
        <v>-0.35317908740920528</v>
      </c>
      <c r="J35" s="80">
        <v>15000000</v>
      </c>
      <c r="K35" s="80">
        <v>30000000</v>
      </c>
      <c r="L35" s="80">
        <v>9000000</v>
      </c>
      <c r="M35" s="80">
        <v>9000000</v>
      </c>
      <c r="N35" s="80">
        <v>30000000</v>
      </c>
      <c r="O35" s="80">
        <v>9000000</v>
      </c>
      <c r="P35" s="80">
        <v>9000000</v>
      </c>
      <c r="Q35" s="80">
        <v>9000000</v>
      </c>
      <c r="R35" s="80">
        <v>20000000</v>
      </c>
      <c r="S35" s="80">
        <v>9000000</v>
      </c>
      <c r="T35" s="80">
        <v>9000000</v>
      </c>
      <c r="U35" s="80">
        <v>9000000</v>
      </c>
      <c r="V35" s="1327"/>
      <c r="W35" s="78"/>
    </row>
    <row r="36" spans="1:23" ht="25" customHeight="1" x14ac:dyDescent="0.35">
      <c r="A36" s="25" t="s">
        <v>151</v>
      </c>
      <c r="B36" s="72">
        <v>642811</v>
      </c>
      <c r="C36" s="64" t="s">
        <v>150</v>
      </c>
      <c r="D36" s="345">
        <v>9000000</v>
      </c>
      <c r="E36" s="188">
        <v>7268083</v>
      </c>
      <c r="F36" s="202">
        <v>10031784.50000003</v>
      </c>
      <c r="G36" s="219">
        <f t="shared" si="15"/>
        <v>8528196</v>
      </c>
      <c r="H36" s="1307">
        <f t="shared" si="17"/>
        <v>-1503588.5000000298</v>
      </c>
      <c r="I36" s="218">
        <f t="shared" si="13"/>
        <v>-0.14988245610738801</v>
      </c>
      <c r="J36" s="27">
        <v>710683</v>
      </c>
      <c r="K36" s="27">
        <v>710683</v>
      </c>
      <c r="L36" s="27">
        <v>710683</v>
      </c>
      <c r="M36" s="27">
        <v>710683</v>
      </c>
      <c r="N36" s="27">
        <v>710683</v>
      </c>
      <c r="O36" s="27">
        <v>710683</v>
      </c>
      <c r="P36" s="27">
        <v>710683</v>
      </c>
      <c r="Q36" s="27">
        <v>710683</v>
      </c>
      <c r="R36" s="27">
        <v>710683</v>
      </c>
      <c r="S36" s="27">
        <v>710683</v>
      </c>
      <c r="T36" s="27">
        <v>710683</v>
      </c>
      <c r="U36" s="27">
        <v>710683</v>
      </c>
      <c r="V36" s="1333"/>
      <c r="W36" s="3" t="s">
        <v>530</v>
      </c>
    </row>
    <row r="37" spans="1:23" ht="25" customHeight="1" x14ac:dyDescent="0.25">
      <c r="A37" s="25" t="s">
        <v>149</v>
      </c>
      <c r="B37" s="72">
        <v>642107</v>
      </c>
      <c r="C37" s="64" t="s">
        <v>148</v>
      </c>
      <c r="D37" s="345">
        <v>38700000</v>
      </c>
      <c r="E37" s="188">
        <v>9200000</v>
      </c>
      <c r="F37" s="202">
        <v>9200000</v>
      </c>
      <c r="G37" s="219">
        <f t="shared" si="15"/>
        <v>24150000</v>
      </c>
      <c r="H37" s="1307">
        <f t="shared" si="17"/>
        <v>14950000</v>
      </c>
      <c r="I37" s="218">
        <f t="shared" si="13"/>
        <v>1.625</v>
      </c>
      <c r="J37" s="27">
        <f>'Training Staffs'!$E$7/12</f>
        <v>2012500</v>
      </c>
      <c r="K37" s="27">
        <f>J37</f>
        <v>2012500</v>
      </c>
      <c r="L37" s="27">
        <f>K37</f>
        <v>2012500</v>
      </c>
      <c r="M37" s="27">
        <f t="shared" ref="M37:U37" si="20">L37</f>
        <v>2012500</v>
      </c>
      <c r="N37" s="27">
        <f t="shared" si="20"/>
        <v>2012500</v>
      </c>
      <c r="O37" s="27">
        <f t="shared" si="20"/>
        <v>2012500</v>
      </c>
      <c r="P37" s="27">
        <f t="shared" si="20"/>
        <v>2012500</v>
      </c>
      <c r="Q37" s="27">
        <f t="shared" si="20"/>
        <v>2012500</v>
      </c>
      <c r="R37" s="27">
        <f t="shared" si="20"/>
        <v>2012500</v>
      </c>
      <c r="S37" s="27">
        <f t="shared" si="20"/>
        <v>2012500</v>
      </c>
      <c r="T37" s="27">
        <f t="shared" si="20"/>
        <v>2012500</v>
      </c>
      <c r="U37" s="27">
        <f t="shared" si="20"/>
        <v>2012500</v>
      </c>
      <c r="V37" s="1332" t="s">
        <v>520</v>
      </c>
      <c r="W37" s="3" t="s">
        <v>533</v>
      </c>
    </row>
    <row r="38" spans="1:23" ht="25" customHeight="1" x14ac:dyDescent="0.35">
      <c r="A38" s="25" t="s">
        <v>153</v>
      </c>
      <c r="B38" s="72"/>
      <c r="C38" s="64" t="s">
        <v>152</v>
      </c>
      <c r="D38" s="345">
        <v>90000000</v>
      </c>
      <c r="E38" s="188">
        <v>0</v>
      </c>
      <c r="F38" s="202">
        <v>80000000</v>
      </c>
      <c r="G38" s="221">
        <f t="shared" si="15"/>
        <v>100000000</v>
      </c>
      <c r="H38" s="1308">
        <f t="shared" si="17"/>
        <v>20000000</v>
      </c>
      <c r="I38" s="222">
        <f t="shared" si="13"/>
        <v>0.25</v>
      </c>
      <c r="J38" s="27">
        <v>0</v>
      </c>
      <c r="K38" s="27">
        <v>0</v>
      </c>
      <c r="L38" s="27">
        <v>0</v>
      </c>
      <c r="M38" s="27">
        <v>0</v>
      </c>
      <c r="N38" s="27">
        <v>0</v>
      </c>
      <c r="O38" s="27">
        <v>0</v>
      </c>
      <c r="P38" s="27">
        <v>0</v>
      </c>
      <c r="Q38" s="27">
        <v>0</v>
      </c>
      <c r="R38" s="27">
        <v>0</v>
      </c>
      <c r="S38" s="27">
        <v>0</v>
      </c>
      <c r="T38" s="27">
        <v>0</v>
      </c>
      <c r="U38" s="27">
        <v>100000000</v>
      </c>
      <c r="V38" s="1333"/>
      <c r="W38" s="3" t="s">
        <v>530</v>
      </c>
    </row>
    <row r="39" spans="1:23" ht="25" customHeight="1" x14ac:dyDescent="0.35">
      <c r="A39" s="25" t="s">
        <v>139</v>
      </c>
      <c r="B39" s="72">
        <v>642803</v>
      </c>
      <c r="C39" s="64" t="s">
        <v>138</v>
      </c>
      <c r="D39" s="345">
        <v>39600000</v>
      </c>
      <c r="E39" s="188">
        <v>24319114.09090909</v>
      </c>
      <c r="F39" s="202">
        <v>32697231.818181816</v>
      </c>
      <c r="G39" s="225">
        <f t="shared" si="15"/>
        <v>31476701.333333332</v>
      </c>
      <c r="H39" s="1309">
        <f t="shared" si="17"/>
        <v>-1220530.4848484844</v>
      </c>
      <c r="I39" s="222">
        <f t="shared" si="13"/>
        <v>-3.7328251261007021E-2</v>
      </c>
      <c r="J39" s="27">
        <v>2623058.4444444445</v>
      </c>
      <c r="K39" s="27">
        <v>2623058.4444444445</v>
      </c>
      <c r="L39" s="27">
        <v>2623058.4444444445</v>
      </c>
      <c r="M39" s="27">
        <v>2623058.4444444445</v>
      </c>
      <c r="N39" s="27">
        <v>2623058.4444444445</v>
      </c>
      <c r="O39" s="27">
        <v>2623058.4444444445</v>
      </c>
      <c r="P39" s="27">
        <v>2623058.4444444445</v>
      </c>
      <c r="Q39" s="27">
        <v>2623058.4444444445</v>
      </c>
      <c r="R39" s="27">
        <v>2623058.4444444445</v>
      </c>
      <c r="S39" s="27">
        <v>2623058.4444444445</v>
      </c>
      <c r="T39" s="27">
        <v>2623058.4444444445</v>
      </c>
      <c r="U39" s="27">
        <v>2623058.4444444445</v>
      </c>
      <c r="V39" s="1333"/>
      <c r="W39" s="3" t="s">
        <v>530</v>
      </c>
    </row>
    <row r="40" spans="1:23" ht="25" customHeight="1" x14ac:dyDescent="0.35">
      <c r="A40" s="25" t="s">
        <v>133</v>
      </c>
      <c r="B40" s="72">
        <v>64221</v>
      </c>
      <c r="C40" s="64" t="s">
        <v>132</v>
      </c>
      <c r="D40" s="345">
        <v>30798000</v>
      </c>
      <c r="E40" s="188">
        <v>24547200</v>
      </c>
      <c r="F40" s="202">
        <v>28903800</v>
      </c>
      <c r="G40" s="225">
        <f t="shared" si="15"/>
        <v>36000000</v>
      </c>
      <c r="H40" s="1309">
        <f t="shared" si="17"/>
        <v>7096200</v>
      </c>
      <c r="I40" s="222">
        <f t="shared" si="13"/>
        <v>0.24551097087580179</v>
      </c>
      <c r="J40" s="27">
        <v>3000000</v>
      </c>
      <c r="K40" s="27">
        <f>J40</f>
        <v>3000000</v>
      </c>
      <c r="L40" s="27">
        <f t="shared" ref="L40:U40" si="21">K40</f>
        <v>3000000</v>
      </c>
      <c r="M40" s="27">
        <f t="shared" si="21"/>
        <v>3000000</v>
      </c>
      <c r="N40" s="27">
        <f t="shared" si="21"/>
        <v>3000000</v>
      </c>
      <c r="O40" s="27">
        <f t="shared" si="21"/>
        <v>3000000</v>
      </c>
      <c r="P40" s="27">
        <f t="shared" si="21"/>
        <v>3000000</v>
      </c>
      <c r="Q40" s="27">
        <f t="shared" si="21"/>
        <v>3000000</v>
      </c>
      <c r="R40" s="27">
        <f t="shared" si="21"/>
        <v>3000000</v>
      </c>
      <c r="S40" s="27">
        <f t="shared" si="21"/>
        <v>3000000</v>
      </c>
      <c r="T40" s="27">
        <f t="shared" si="21"/>
        <v>3000000</v>
      </c>
      <c r="U40" s="27">
        <f t="shared" si="21"/>
        <v>3000000</v>
      </c>
      <c r="V40" s="1333"/>
      <c r="W40" s="3" t="s">
        <v>531</v>
      </c>
    </row>
    <row r="41" spans="1:23" ht="25" customHeight="1" x14ac:dyDescent="0.35">
      <c r="A41" s="25" t="s">
        <v>127</v>
      </c>
      <c r="B41" s="72">
        <v>642807</v>
      </c>
      <c r="C41" s="64" t="s">
        <v>126</v>
      </c>
      <c r="D41" s="345">
        <v>38640000</v>
      </c>
      <c r="E41" s="188">
        <v>44094856.36363636</v>
      </c>
      <c r="F41" s="202">
        <v>51188635.909090906</v>
      </c>
      <c r="G41" s="225">
        <f t="shared" si="15"/>
        <v>50995806.666666657</v>
      </c>
      <c r="H41" s="1309">
        <f t="shared" si="17"/>
        <v>-192829.24242424965</v>
      </c>
      <c r="I41" s="222">
        <f t="shared" si="13"/>
        <v>-3.7670322523676377E-3</v>
      </c>
      <c r="J41" s="27">
        <v>4249650.555555556</v>
      </c>
      <c r="K41" s="27">
        <v>4249650.555555556</v>
      </c>
      <c r="L41" s="27">
        <v>4249650.555555556</v>
      </c>
      <c r="M41" s="27">
        <v>4249650.555555556</v>
      </c>
      <c r="N41" s="27">
        <v>4249650.555555556</v>
      </c>
      <c r="O41" s="27">
        <v>4249650.555555556</v>
      </c>
      <c r="P41" s="27">
        <v>4249650.555555556</v>
      </c>
      <c r="Q41" s="27">
        <v>4249650.555555556</v>
      </c>
      <c r="R41" s="27">
        <v>4249650.555555556</v>
      </c>
      <c r="S41" s="27">
        <v>4249650.555555556</v>
      </c>
      <c r="T41" s="27">
        <v>4249650.555555556</v>
      </c>
      <c r="U41" s="27">
        <v>4249650.555555556</v>
      </c>
      <c r="V41" s="1333"/>
      <c r="W41" s="3" t="s">
        <v>530</v>
      </c>
    </row>
    <row r="42" spans="1:23" ht="25" customHeight="1" x14ac:dyDescent="0.25">
      <c r="A42" s="25" t="s">
        <v>125</v>
      </c>
      <c r="B42" s="72"/>
      <c r="C42" s="64" t="s">
        <v>124</v>
      </c>
      <c r="D42" s="345">
        <v>0</v>
      </c>
      <c r="E42" s="188">
        <v>0</v>
      </c>
      <c r="F42" s="202">
        <v>0</v>
      </c>
      <c r="G42" s="225">
        <f t="shared" si="15"/>
        <v>8000000</v>
      </c>
      <c r="H42" s="1309">
        <f t="shared" si="17"/>
        <v>8000000</v>
      </c>
      <c r="I42" s="222" t="str">
        <f t="shared" si="13"/>
        <v/>
      </c>
      <c r="J42" s="27">
        <v>0</v>
      </c>
      <c r="K42" s="27">
        <f>J42</f>
        <v>0</v>
      </c>
      <c r="L42" s="27">
        <f>K42</f>
        <v>0</v>
      </c>
      <c r="M42" s="27">
        <f>L42</f>
        <v>0</v>
      </c>
      <c r="N42" s="27">
        <f t="shared" ref="N42:T42" si="22">M42</f>
        <v>0</v>
      </c>
      <c r="O42" s="27">
        <f t="shared" si="22"/>
        <v>0</v>
      </c>
      <c r="P42" s="27">
        <f t="shared" si="22"/>
        <v>0</v>
      </c>
      <c r="Q42" s="27">
        <f t="shared" si="22"/>
        <v>0</v>
      </c>
      <c r="R42" s="27">
        <f t="shared" si="22"/>
        <v>0</v>
      </c>
      <c r="S42" s="27">
        <f t="shared" si="22"/>
        <v>0</v>
      </c>
      <c r="T42" s="27">
        <f t="shared" si="22"/>
        <v>0</v>
      </c>
      <c r="U42" s="27">
        <f>'Social Relationship'!$E$8</f>
        <v>8000000</v>
      </c>
      <c r="V42" s="1332"/>
      <c r="W42" s="3"/>
    </row>
    <row r="43" spans="1:23" ht="25" customHeight="1" x14ac:dyDescent="0.35">
      <c r="A43" s="25" t="s">
        <v>137</v>
      </c>
      <c r="B43" s="72">
        <v>642804</v>
      </c>
      <c r="C43" s="64" t="s">
        <v>136</v>
      </c>
      <c r="D43" s="345">
        <v>8400000</v>
      </c>
      <c r="E43" s="188">
        <v>3685000</v>
      </c>
      <c r="F43" s="202">
        <v>3685000</v>
      </c>
      <c r="G43" s="225">
        <f t="shared" si="15"/>
        <v>6000000</v>
      </c>
      <c r="H43" s="1309">
        <f t="shared" si="17"/>
        <v>2315000</v>
      </c>
      <c r="I43" s="222">
        <f t="shared" si="13"/>
        <v>0.62822252374491183</v>
      </c>
      <c r="J43" s="27">
        <v>0</v>
      </c>
      <c r="K43" s="27">
        <v>0</v>
      </c>
      <c r="L43" s="27">
        <v>1500000</v>
      </c>
      <c r="M43" s="27">
        <v>0</v>
      </c>
      <c r="N43" s="27">
        <v>0</v>
      </c>
      <c r="O43" s="27">
        <v>1500000</v>
      </c>
      <c r="P43" s="27">
        <v>0</v>
      </c>
      <c r="Q43" s="27">
        <v>0</v>
      </c>
      <c r="R43" s="27">
        <v>1500000</v>
      </c>
      <c r="S43" s="27">
        <v>0</v>
      </c>
      <c r="T43" s="27">
        <v>0</v>
      </c>
      <c r="U43" s="27">
        <v>1500000</v>
      </c>
      <c r="V43" s="1333"/>
      <c r="W43" s="3" t="s">
        <v>530</v>
      </c>
    </row>
    <row r="44" spans="1:23" ht="25" customHeight="1" x14ac:dyDescent="0.35">
      <c r="A44" s="25" t="s">
        <v>121</v>
      </c>
      <c r="B44" s="72">
        <v>642810</v>
      </c>
      <c r="C44" s="64" t="s">
        <v>120</v>
      </c>
      <c r="D44" s="345">
        <v>14400000</v>
      </c>
      <c r="E44" s="188">
        <v>8932590</v>
      </c>
      <c r="F44" s="202">
        <v>15202034</v>
      </c>
      <c r="G44" s="225">
        <f t="shared" si="15"/>
        <v>11910120</v>
      </c>
      <c r="H44" s="1309">
        <f t="shared" si="17"/>
        <v>-3291914</v>
      </c>
      <c r="I44" s="222">
        <f t="shared" si="13"/>
        <v>-0.21654431242556094</v>
      </c>
      <c r="J44" s="27">
        <v>992510</v>
      </c>
      <c r="K44" s="27">
        <v>992510</v>
      </c>
      <c r="L44" s="27">
        <v>992510</v>
      </c>
      <c r="M44" s="27">
        <v>992510</v>
      </c>
      <c r="N44" s="27">
        <v>992510</v>
      </c>
      <c r="O44" s="27">
        <v>992510</v>
      </c>
      <c r="P44" s="27">
        <v>992510</v>
      </c>
      <c r="Q44" s="27">
        <v>992510</v>
      </c>
      <c r="R44" s="27">
        <v>992510</v>
      </c>
      <c r="S44" s="27">
        <v>992510</v>
      </c>
      <c r="T44" s="27">
        <v>992510</v>
      </c>
      <c r="U44" s="27">
        <v>992510</v>
      </c>
      <c r="V44" s="1333" t="s">
        <v>519</v>
      </c>
      <c r="W44" s="3" t="s">
        <v>533</v>
      </c>
    </row>
    <row r="45" spans="1:23" ht="25" customHeight="1" x14ac:dyDescent="0.35">
      <c r="A45" s="25" t="s">
        <v>147</v>
      </c>
      <c r="B45" s="72">
        <v>642105</v>
      </c>
      <c r="C45" s="64" t="s">
        <v>146</v>
      </c>
      <c r="D45" s="345">
        <v>6000000</v>
      </c>
      <c r="E45" s="188">
        <v>3824149</v>
      </c>
      <c r="F45" s="202">
        <v>3824149</v>
      </c>
      <c r="G45" s="219">
        <f t="shared" si="15"/>
        <v>0</v>
      </c>
      <c r="H45" s="1307">
        <f t="shared" si="17"/>
        <v>-3824149</v>
      </c>
      <c r="I45" s="218">
        <f t="shared" si="13"/>
        <v>-1</v>
      </c>
      <c r="J45" s="27">
        <v>0</v>
      </c>
      <c r="K45" s="27">
        <f>J45</f>
        <v>0</v>
      </c>
      <c r="L45" s="27">
        <f t="shared" ref="L45:U45" si="23">K45</f>
        <v>0</v>
      </c>
      <c r="M45" s="27">
        <f t="shared" si="23"/>
        <v>0</v>
      </c>
      <c r="N45" s="27">
        <f t="shared" si="23"/>
        <v>0</v>
      </c>
      <c r="O45" s="27">
        <f t="shared" si="23"/>
        <v>0</v>
      </c>
      <c r="P45" s="27">
        <f t="shared" si="23"/>
        <v>0</v>
      </c>
      <c r="Q45" s="27">
        <f t="shared" si="23"/>
        <v>0</v>
      </c>
      <c r="R45" s="27">
        <f t="shared" si="23"/>
        <v>0</v>
      </c>
      <c r="S45" s="27">
        <f t="shared" si="23"/>
        <v>0</v>
      </c>
      <c r="T45" s="27">
        <f t="shared" si="23"/>
        <v>0</v>
      </c>
      <c r="U45" s="27">
        <f t="shared" si="23"/>
        <v>0</v>
      </c>
      <c r="V45" s="1333"/>
      <c r="W45" s="3" t="s">
        <v>533</v>
      </c>
    </row>
    <row r="46" spans="1:23" ht="25" customHeight="1" x14ac:dyDescent="0.35">
      <c r="A46" s="25" t="s">
        <v>145</v>
      </c>
      <c r="B46" s="72">
        <v>642108</v>
      </c>
      <c r="C46" s="64" t="s">
        <v>144</v>
      </c>
      <c r="D46" s="345">
        <v>50630000</v>
      </c>
      <c r="E46" s="188">
        <v>43750908</v>
      </c>
      <c r="F46" s="202">
        <v>43750908</v>
      </c>
      <c r="G46" s="219">
        <f t="shared" si="15"/>
        <v>0</v>
      </c>
      <c r="H46" s="1307">
        <f t="shared" si="17"/>
        <v>-43750908</v>
      </c>
      <c r="I46" s="218">
        <f t="shared" si="13"/>
        <v>-1</v>
      </c>
      <c r="J46" s="27">
        <v>0</v>
      </c>
      <c r="K46" s="27">
        <v>0</v>
      </c>
      <c r="L46" s="27">
        <v>0</v>
      </c>
      <c r="M46" s="27">
        <v>0</v>
      </c>
      <c r="N46" s="27">
        <v>0</v>
      </c>
      <c r="O46" s="27">
        <v>0</v>
      </c>
      <c r="P46" s="27">
        <v>0</v>
      </c>
      <c r="Q46" s="27">
        <v>0</v>
      </c>
      <c r="R46" s="27">
        <v>0</v>
      </c>
      <c r="S46" s="27">
        <v>0</v>
      </c>
      <c r="T46" s="27">
        <v>0</v>
      </c>
      <c r="U46" s="27">
        <v>0</v>
      </c>
      <c r="V46" s="1333"/>
      <c r="W46" s="3" t="s">
        <v>533</v>
      </c>
    </row>
    <row r="47" spans="1:23" ht="25" customHeight="1" x14ac:dyDescent="0.35">
      <c r="A47" s="26" t="s">
        <v>141</v>
      </c>
      <c r="B47" s="72">
        <v>6423</v>
      </c>
      <c r="C47" s="64" t="s">
        <v>140</v>
      </c>
      <c r="D47" s="345">
        <v>13400000</v>
      </c>
      <c r="E47" s="188">
        <v>8726365</v>
      </c>
      <c r="F47" s="202">
        <v>8726365</v>
      </c>
      <c r="G47" s="225">
        <f t="shared" ref="G47:G52" si="24">SUM(J47:U47)</f>
        <v>11635153.333333336</v>
      </c>
      <c r="H47" s="1309">
        <f t="shared" si="17"/>
        <v>2908788.3333333358</v>
      </c>
      <c r="I47" s="222">
        <f t="shared" si="13"/>
        <v>0.33333333333333359</v>
      </c>
      <c r="J47" s="27">
        <v>969596.11111111112</v>
      </c>
      <c r="K47" s="27">
        <v>969596.11111111112</v>
      </c>
      <c r="L47" s="27">
        <v>969596.11111111112</v>
      </c>
      <c r="M47" s="27">
        <v>969596.11111111112</v>
      </c>
      <c r="N47" s="27">
        <v>969596.11111111112</v>
      </c>
      <c r="O47" s="27">
        <v>969596.11111111112</v>
      </c>
      <c r="P47" s="27">
        <v>969596.11111111112</v>
      </c>
      <c r="Q47" s="27">
        <v>969596.11111111112</v>
      </c>
      <c r="R47" s="27">
        <v>969596.11111111112</v>
      </c>
      <c r="S47" s="27">
        <v>969596.11111111112</v>
      </c>
      <c r="T47" s="27">
        <v>969596.11111111112</v>
      </c>
      <c r="U47" s="27">
        <v>969596.11111111112</v>
      </c>
      <c r="V47" s="1333"/>
      <c r="W47" s="3" t="s">
        <v>530</v>
      </c>
    </row>
    <row r="48" spans="1:23" ht="25" customHeight="1" x14ac:dyDescent="0.35">
      <c r="A48" s="25" t="s">
        <v>135</v>
      </c>
      <c r="B48" s="72">
        <v>64222</v>
      </c>
      <c r="C48" s="64" t="s">
        <v>134</v>
      </c>
      <c r="D48" s="345">
        <v>7200000</v>
      </c>
      <c r="E48" s="188">
        <v>5020000</v>
      </c>
      <c r="F48" s="202">
        <v>5520000</v>
      </c>
      <c r="G48" s="225">
        <f t="shared" si="24"/>
        <v>6693333.3333333349</v>
      </c>
      <c r="H48" s="1309">
        <f t="shared" si="17"/>
        <v>1173333.3333333349</v>
      </c>
      <c r="I48" s="222">
        <f t="shared" si="13"/>
        <v>0.21256038647343023</v>
      </c>
      <c r="J48" s="27">
        <v>557777.77777777775</v>
      </c>
      <c r="K48" s="27">
        <v>557777.77777777775</v>
      </c>
      <c r="L48" s="27">
        <v>557777.77777777775</v>
      </c>
      <c r="M48" s="27">
        <v>557777.77777777775</v>
      </c>
      <c r="N48" s="27">
        <v>557777.77777777775</v>
      </c>
      <c r="O48" s="27">
        <v>557777.77777777775</v>
      </c>
      <c r="P48" s="27">
        <v>557777.77777777775</v>
      </c>
      <c r="Q48" s="27">
        <v>557777.77777777775</v>
      </c>
      <c r="R48" s="27">
        <v>557777.77777777775</v>
      </c>
      <c r="S48" s="27">
        <v>557777.77777777775</v>
      </c>
      <c r="T48" s="27">
        <v>557777.77777777775</v>
      </c>
      <c r="U48" s="27">
        <v>557777.77777777775</v>
      </c>
      <c r="V48" s="1333"/>
      <c r="W48" s="3" t="s">
        <v>531</v>
      </c>
    </row>
    <row r="49" spans="1:25" ht="25" customHeight="1" x14ac:dyDescent="0.35">
      <c r="A49" s="25" t="s">
        <v>131</v>
      </c>
      <c r="B49" s="72">
        <v>642805</v>
      </c>
      <c r="C49" s="64" t="s">
        <v>130</v>
      </c>
      <c r="D49" s="345">
        <v>4200000</v>
      </c>
      <c r="E49" s="188">
        <v>2797009</v>
      </c>
      <c r="F49" s="202">
        <v>2815409</v>
      </c>
      <c r="G49" s="225">
        <f t="shared" si="24"/>
        <v>3729345.333333334</v>
      </c>
      <c r="H49" s="1309">
        <f t="shared" si="17"/>
        <v>913936.33333333395</v>
      </c>
      <c r="I49" s="222">
        <f t="shared" si="13"/>
        <v>0.32461938330570583</v>
      </c>
      <c r="J49" s="27">
        <v>310778.77777777775</v>
      </c>
      <c r="K49" s="27">
        <v>310778.77777777775</v>
      </c>
      <c r="L49" s="27">
        <v>310778.77777777775</v>
      </c>
      <c r="M49" s="27">
        <v>310778.77777777775</v>
      </c>
      <c r="N49" s="27">
        <v>310778.77777777775</v>
      </c>
      <c r="O49" s="27">
        <v>310778.77777777775</v>
      </c>
      <c r="P49" s="27">
        <v>310778.77777777775</v>
      </c>
      <c r="Q49" s="27">
        <v>310778.77777777775</v>
      </c>
      <c r="R49" s="27">
        <v>310778.77777777775</v>
      </c>
      <c r="S49" s="27">
        <v>310778.77777777775</v>
      </c>
      <c r="T49" s="27">
        <v>310778.77777777775</v>
      </c>
      <c r="U49" s="27">
        <v>310778.77777777775</v>
      </c>
      <c r="V49" s="1333"/>
      <c r="W49" s="3" t="s">
        <v>530</v>
      </c>
    </row>
    <row r="50" spans="1:25" ht="25" customHeight="1" x14ac:dyDescent="0.35">
      <c r="A50" s="25" t="s">
        <v>129</v>
      </c>
      <c r="B50" s="72">
        <v>642806</v>
      </c>
      <c r="C50" s="64" t="s">
        <v>128</v>
      </c>
      <c r="D50" s="345">
        <v>18000000</v>
      </c>
      <c r="E50" s="188">
        <v>15953100</v>
      </c>
      <c r="F50" s="202">
        <v>18893100</v>
      </c>
      <c r="G50" s="225">
        <f t="shared" si="24"/>
        <v>19748800</v>
      </c>
      <c r="H50" s="1309">
        <f t="shared" si="17"/>
        <v>855700</v>
      </c>
      <c r="I50" s="222">
        <f t="shared" si="13"/>
        <v>4.5291667328283873E-2</v>
      </c>
      <c r="J50" s="27">
        <v>1645733.3333333333</v>
      </c>
      <c r="K50" s="27">
        <v>1645733.3333333333</v>
      </c>
      <c r="L50" s="27">
        <v>1645733.3333333333</v>
      </c>
      <c r="M50" s="27">
        <v>1645733.3333333333</v>
      </c>
      <c r="N50" s="27">
        <v>1645733.3333333333</v>
      </c>
      <c r="O50" s="27">
        <v>1645733.3333333333</v>
      </c>
      <c r="P50" s="27">
        <v>1645733.3333333333</v>
      </c>
      <c r="Q50" s="27">
        <v>1645733.3333333333</v>
      </c>
      <c r="R50" s="27">
        <v>1645733.3333333333</v>
      </c>
      <c r="S50" s="27">
        <v>1645733.3333333333</v>
      </c>
      <c r="T50" s="27">
        <v>1645733.3333333333</v>
      </c>
      <c r="U50" s="27">
        <v>1645733.3333333333</v>
      </c>
      <c r="V50" s="1333" t="s">
        <v>515</v>
      </c>
      <c r="W50" s="3" t="s">
        <v>530</v>
      </c>
    </row>
    <row r="51" spans="1:25" ht="25" customHeight="1" x14ac:dyDescent="0.35">
      <c r="A51" s="25" t="s">
        <v>143</v>
      </c>
      <c r="B51" s="72">
        <v>642106</v>
      </c>
      <c r="C51" s="64" t="s">
        <v>142</v>
      </c>
      <c r="D51" s="345">
        <v>22770000</v>
      </c>
      <c r="E51" s="188">
        <v>19968546</v>
      </c>
      <c r="F51" s="202">
        <v>19968546</v>
      </c>
      <c r="G51" s="225">
        <f>SUM(J51:U51)</f>
        <v>0</v>
      </c>
      <c r="H51" s="1309">
        <f t="shared" si="17"/>
        <v>-19968546</v>
      </c>
      <c r="I51" s="222">
        <f t="shared" si="13"/>
        <v>-1</v>
      </c>
      <c r="J51" s="27">
        <v>0</v>
      </c>
      <c r="K51" s="27">
        <v>0</v>
      </c>
      <c r="L51" s="27">
        <v>0</v>
      </c>
      <c r="M51" s="27">
        <v>0</v>
      </c>
      <c r="N51" s="27">
        <v>0</v>
      </c>
      <c r="O51" s="27">
        <v>0</v>
      </c>
      <c r="P51" s="27">
        <v>0</v>
      </c>
      <c r="Q51" s="27">
        <v>0</v>
      </c>
      <c r="R51" s="27">
        <v>0</v>
      </c>
      <c r="S51" s="27">
        <v>0</v>
      </c>
      <c r="T51" s="27">
        <v>0</v>
      </c>
      <c r="U51" s="27">
        <v>0</v>
      </c>
      <c r="V51" s="1333"/>
      <c r="W51" s="3" t="s">
        <v>533</v>
      </c>
    </row>
    <row r="52" spans="1:25" ht="25" customHeight="1" x14ac:dyDescent="0.35">
      <c r="A52" s="25" t="s">
        <v>123</v>
      </c>
      <c r="B52" s="72">
        <v>642813</v>
      </c>
      <c r="C52" s="64" t="s">
        <v>122</v>
      </c>
      <c r="D52" s="345">
        <f>308187200</f>
        <v>308187200</v>
      </c>
      <c r="E52" s="188">
        <v>271072909</v>
      </c>
      <c r="F52" s="202">
        <v>271072910</v>
      </c>
      <c r="G52" s="219">
        <f t="shared" si="24"/>
        <v>361430545.33333331</v>
      </c>
      <c r="H52" s="1307">
        <f>G52-F52</f>
        <v>90357635.333333313</v>
      </c>
      <c r="I52" s="218">
        <f t="shared" si="13"/>
        <v>0.33333332841460739</v>
      </c>
      <c r="J52" s="27">
        <v>26039140.484848477</v>
      </c>
      <c r="K52" s="27">
        <v>26039140.484848477</v>
      </c>
      <c r="L52" s="27">
        <v>75000000</v>
      </c>
      <c r="M52" s="27">
        <v>26039140.484848477</v>
      </c>
      <c r="N52" s="27">
        <v>26039140.484848477</v>
      </c>
      <c r="O52" s="27">
        <v>26039140.484848477</v>
      </c>
      <c r="P52" s="27">
        <v>26039140.484848477</v>
      </c>
      <c r="Q52" s="27">
        <v>26039140.484848477</v>
      </c>
      <c r="R52" s="27">
        <v>26039140.484848477</v>
      </c>
      <c r="S52" s="27">
        <v>26039140.484848477</v>
      </c>
      <c r="T52" s="27">
        <v>26039140.484848477</v>
      </c>
      <c r="U52" s="27">
        <v>26039140.484848477</v>
      </c>
      <c r="V52" s="1333" t="s">
        <v>513</v>
      </c>
      <c r="W52" s="3" t="s">
        <v>534</v>
      </c>
    </row>
    <row r="53" spans="1:25" ht="25" customHeight="1" x14ac:dyDescent="0.35">
      <c r="A53" s="52"/>
      <c r="B53" s="51"/>
      <c r="C53" s="50" t="s">
        <v>119</v>
      </c>
      <c r="D53" s="999">
        <f>SUM(D31:D52)</f>
        <v>9196320942</v>
      </c>
      <c r="E53" s="49">
        <v>7213111353.2225447</v>
      </c>
      <c r="F53" s="999">
        <f>SUM(F31:F52)</f>
        <v>8632814115.0432739</v>
      </c>
      <c r="G53" s="49">
        <f>SUM(G31:G52)</f>
        <v>8983298001.3333359</v>
      </c>
      <c r="H53" s="1310">
        <f>SUM(H31:H52)</f>
        <v>350483886.290061</v>
      </c>
      <c r="I53" s="986">
        <f t="shared" si="13"/>
        <v>4.0599030816535202E-2</v>
      </c>
      <c r="J53" s="49">
        <f t="shared" ref="J53:U53" si="25">SUM(J31:J52)</f>
        <v>736111428.48484862</v>
      </c>
      <c r="K53" s="49">
        <f t="shared" si="25"/>
        <v>751111428.48484862</v>
      </c>
      <c r="L53" s="49">
        <f t="shared" si="25"/>
        <v>780572288.00000012</v>
      </c>
      <c r="M53" s="49">
        <f t="shared" si="25"/>
        <v>730111428.48484862</v>
      </c>
      <c r="N53" s="49">
        <f t="shared" si="25"/>
        <v>751111428.48484862</v>
      </c>
      <c r="O53" s="49">
        <f t="shared" si="25"/>
        <v>731611428.48484862</v>
      </c>
      <c r="P53" s="49">
        <f t="shared" si="25"/>
        <v>730111428.48484862</v>
      </c>
      <c r="Q53" s="49">
        <f t="shared" si="25"/>
        <v>730111428.48484862</v>
      </c>
      <c r="R53" s="49">
        <f t="shared" si="25"/>
        <v>742611428.48484862</v>
      </c>
      <c r="S53" s="49">
        <f t="shared" si="25"/>
        <v>730111428.48484862</v>
      </c>
      <c r="T53" s="49">
        <f t="shared" si="25"/>
        <v>730111428.48484862</v>
      </c>
      <c r="U53" s="49">
        <f t="shared" si="25"/>
        <v>839611428.48484862</v>
      </c>
      <c r="V53" s="1328"/>
      <c r="W53" s="3"/>
    </row>
    <row r="54" spans="1:25" s="39" customFormat="1" ht="5.15" customHeight="1" x14ac:dyDescent="0.35">
      <c r="A54" s="41"/>
      <c r="B54" s="48"/>
      <c r="C54" s="71"/>
      <c r="D54" s="192"/>
      <c r="E54" s="71"/>
      <c r="F54" s="192">
        <v>0</v>
      </c>
      <c r="G54" s="46"/>
      <c r="H54" s="348"/>
      <c r="I54" s="206"/>
      <c r="J54" s="59"/>
      <c r="K54" s="59"/>
      <c r="L54" s="59"/>
      <c r="M54" s="59"/>
      <c r="N54" s="59"/>
      <c r="O54" s="59"/>
      <c r="P54" s="59"/>
      <c r="Q54" s="59"/>
      <c r="R54" s="59"/>
      <c r="S54" s="59"/>
      <c r="T54" s="59"/>
      <c r="U54" s="59"/>
      <c r="V54" s="1334"/>
      <c r="W54" s="40"/>
    </row>
    <row r="55" spans="1:25" s="58" customFormat="1" ht="25" customHeight="1" x14ac:dyDescent="0.35">
      <c r="A55" s="982" t="s">
        <v>118</v>
      </c>
      <c r="B55" s="998"/>
      <c r="C55" s="984" t="s">
        <v>1012</v>
      </c>
      <c r="D55" s="1000"/>
      <c r="E55" s="23"/>
      <c r="F55" s="1000"/>
      <c r="G55" s="31"/>
      <c r="H55" s="1311"/>
      <c r="I55" s="1001"/>
      <c r="J55" s="32"/>
      <c r="K55" s="32"/>
      <c r="L55" s="32"/>
      <c r="M55" s="32"/>
      <c r="N55" s="32"/>
      <c r="O55" s="32"/>
      <c r="P55" s="32"/>
      <c r="Q55" s="32"/>
      <c r="R55" s="32"/>
      <c r="S55" s="31"/>
      <c r="T55" s="31"/>
      <c r="U55" s="31"/>
      <c r="V55" s="1331"/>
      <c r="W55" s="3"/>
    </row>
    <row r="56" spans="1:25" ht="25" customHeight="1" x14ac:dyDescent="0.35">
      <c r="A56" s="356" t="s">
        <v>117</v>
      </c>
      <c r="B56" s="30">
        <v>6427201</v>
      </c>
      <c r="C56" s="29" t="s">
        <v>116</v>
      </c>
      <c r="D56" s="345">
        <v>2522700000</v>
      </c>
      <c r="E56" s="188">
        <v>2033500000</v>
      </c>
      <c r="F56" s="202">
        <v>2405500000</v>
      </c>
      <c r="G56" s="225">
        <f>SUM(J56:U56)</f>
        <v>2425350000</v>
      </c>
      <c r="H56" s="1309">
        <f t="shared" ref="H56:H75" si="26">G56-F56</f>
        <v>19850000</v>
      </c>
      <c r="I56" s="222">
        <f t="shared" ref="I56:I77" si="27">IF(F56=0,"",(G56-F56)/F56)</f>
        <v>8.2519226771980876E-3</v>
      </c>
      <c r="J56" s="27">
        <v>196650000</v>
      </c>
      <c r="K56" s="27">
        <f>J56+65550000</f>
        <v>262200000</v>
      </c>
      <c r="L56" s="27">
        <f>J56</f>
        <v>196650000</v>
      </c>
      <c r="M56" s="27">
        <f t="shared" ref="M56:U57" si="28">L56</f>
        <v>196650000</v>
      </c>
      <c r="N56" s="27">
        <f t="shared" si="28"/>
        <v>196650000</v>
      </c>
      <c r="O56" s="27">
        <f t="shared" si="28"/>
        <v>196650000</v>
      </c>
      <c r="P56" s="27">
        <f t="shared" si="28"/>
        <v>196650000</v>
      </c>
      <c r="Q56" s="27">
        <f t="shared" si="28"/>
        <v>196650000</v>
      </c>
      <c r="R56" s="27">
        <f t="shared" si="28"/>
        <v>196650000</v>
      </c>
      <c r="S56" s="27">
        <f t="shared" si="28"/>
        <v>196650000</v>
      </c>
      <c r="T56" s="27">
        <f t="shared" si="28"/>
        <v>196650000</v>
      </c>
      <c r="U56" s="27">
        <f t="shared" si="28"/>
        <v>196650000</v>
      </c>
      <c r="V56" s="1333" t="s">
        <v>1043</v>
      </c>
      <c r="W56" s="3">
        <v>2522700000</v>
      </c>
      <c r="X56" s="22"/>
      <c r="Y56" s="22"/>
    </row>
    <row r="57" spans="1:25" ht="25" customHeight="1" x14ac:dyDescent="0.35">
      <c r="A57" s="356" t="s">
        <v>115</v>
      </c>
      <c r="B57" s="30">
        <v>6427202</v>
      </c>
      <c r="C57" s="29" t="s">
        <v>114</v>
      </c>
      <c r="D57" s="345">
        <v>3189200000</v>
      </c>
      <c r="E57" s="188">
        <v>2242000000</v>
      </c>
      <c r="F57" s="202">
        <v>2690400000</v>
      </c>
      <c r="G57" s="225">
        <f>SUM(J57:U57)</f>
        <v>2756500000</v>
      </c>
      <c r="H57" s="1309">
        <f t="shared" si="26"/>
        <v>66100000</v>
      </c>
      <c r="I57" s="222">
        <f t="shared" si="27"/>
        <v>2.4568837347606304E-2</v>
      </c>
      <c r="J57" s="27">
        <v>224200000</v>
      </c>
      <c r="K57" s="27">
        <f>220200000+22020000</f>
        <v>242220000</v>
      </c>
      <c r="L57" s="27">
        <v>220200000</v>
      </c>
      <c r="M57" s="27">
        <f>L57+22020000*2</f>
        <v>264240000</v>
      </c>
      <c r="N57" s="27">
        <f>220200000+22020000*1</f>
        <v>242220000</v>
      </c>
      <c r="O57" s="27">
        <v>220200000</v>
      </c>
      <c r="P57" s="27">
        <f t="shared" si="28"/>
        <v>220200000</v>
      </c>
      <c r="Q57" s="27">
        <f t="shared" si="28"/>
        <v>220200000</v>
      </c>
      <c r="R57" s="27">
        <f t="shared" si="28"/>
        <v>220200000</v>
      </c>
      <c r="S57" s="27">
        <f>R57+22020000</f>
        <v>242220000</v>
      </c>
      <c r="T57" s="27">
        <v>220200000</v>
      </c>
      <c r="U57" s="27">
        <v>220200000</v>
      </c>
      <c r="V57" s="1333" t="s">
        <v>1042</v>
      </c>
      <c r="W57" s="3">
        <v>3189200000</v>
      </c>
      <c r="X57" s="860"/>
    </row>
    <row r="58" spans="1:25" ht="25" customHeight="1" x14ac:dyDescent="0.35">
      <c r="A58" s="356" t="s">
        <v>107</v>
      </c>
      <c r="B58" s="30"/>
      <c r="C58" s="29" t="s">
        <v>106</v>
      </c>
      <c r="D58" s="345">
        <f>SUM(D59:D60)</f>
        <v>93600000</v>
      </c>
      <c r="E58" s="188">
        <v>78000000</v>
      </c>
      <c r="F58" s="202">
        <f>SUM(F59:F60)</f>
        <v>93600000</v>
      </c>
      <c r="G58" s="221">
        <f>SUM(G59:G60)</f>
        <v>98280000</v>
      </c>
      <c r="H58" s="1308">
        <f t="shared" si="26"/>
        <v>4680000</v>
      </c>
      <c r="I58" s="222">
        <f t="shared" si="27"/>
        <v>0.05</v>
      </c>
      <c r="J58" s="27">
        <f t="shared" ref="J58:P58" si="29">SUM(J59:J60)</f>
        <v>8190000</v>
      </c>
      <c r="K58" s="27">
        <f t="shared" si="29"/>
        <v>8190000</v>
      </c>
      <c r="L58" s="27">
        <f t="shared" si="29"/>
        <v>8190000</v>
      </c>
      <c r="M58" s="27">
        <f t="shared" si="29"/>
        <v>8190000</v>
      </c>
      <c r="N58" s="27">
        <f t="shared" si="29"/>
        <v>8190000</v>
      </c>
      <c r="O58" s="27">
        <f t="shared" si="29"/>
        <v>8190000</v>
      </c>
      <c r="P58" s="27">
        <f t="shared" si="29"/>
        <v>8190000</v>
      </c>
      <c r="Q58" s="27">
        <f t="shared" ref="Q58:U58" si="30">SUM(Q59:Q60)</f>
        <v>8190000</v>
      </c>
      <c r="R58" s="27">
        <f t="shared" si="30"/>
        <v>8190000</v>
      </c>
      <c r="S58" s="27">
        <f t="shared" si="30"/>
        <v>8190000</v>
      </c>
      <c r="T58" s="27">
        <f t="shared" si="30"/>
        <v>8190000</v>
      </c>
      <c r="U58" s="27">
        <f t="shared" si="30"/>
        <v>8190000</v>
      </c>
      <c r="V58" s="1333"/>
      <c r="W58" s="3" t="s">
        <v>530</v>
      </c>
    </row>
    <row r="59" spans="1:25" ht="25" customHeight="1" x14ac:dyDescent="0.35">
      <c r="A59" s="357" t="s">
        <v>105</v>
      </c>
      <c r="B59" s="57">
        <v>6427203</v>
      </c>
      <c r="C59" s="70" t="s">
        <v>104</v>
      </c>
      <c r="D59" s="346">
        <v>93600000</v>
      </c>
      <c r="E59" s="188">
        <v>78000000</v>
      </c>
      <c r="F59" s="203">
        <v>93600000</v>
      </c>
      <c r="G59" s="226">
        <f>SUM(J59:U59)</f>
        <v>98280000</v>
      </c>
      <c r="H59" s="1312">
        <f t="shared" si="26"/>
        <v>4680000</v>
      </c>
      <c r="I59" s="227">
        <f t="shared" si="27"/>
        <v>0.05</v>
      </c>
      <c r="J59" s="55">
        <f>7800000*1.05</f>
        <v>8190000</v>
      </c>
      <c r="K59" s="55">
        <f>J59</f>
        <v>8190000</v>
      </c>
      <c r="L59" s="55">
        <f>K59</f>
        <v>8190000</v>
      </c>
      <c r="M59" s="55">
        <f>L59</f>
        <v>8190000</v>
      </c>
      <c r="N59" s="55">
        <f>M59</f>
        <v>8190000</v>
      </c>
      <c r="O59" s="55">
        <f t="shared" ref="O59:U59" si="31">N59</f>
        <v>8190000</v>
      </c>
      <c r="P59" s="55">
        <f t="shared" si="31"/>
        <v>8190000</v>
      </c>
      <c r="Q59" s="55">
        <f t="shared" si="31"/>
        <v>8190000</v>
      </c>
      <c r="R59" s="55">
        <f t="shared" si="31"/>
        <v>8190000</v>
      </c>
      <c r="S59" s="55">
        <f t="shared" si="31"/>
        <v>8190000</v>
      </c>
      <c r="T59" s="55">
        <f t="shared" si="31"/>
        <v>8190000</v>
      </c>
      <c r="U59" s="55">
        <f t="shared" si="31"/>
        <v>8190000</v>
      </c>
      <c r="V59" s="1335" t="s">
        <v>514</v>
      </c>
      <c r="W59" s="3"/>
    </row>
    <row r="60" spans="1:25" ht="25" customHeight="1" x14ac:dyDescent="0.35">
      <c r="A60" s="357" t="s">
        <v>103</v>
      </c>
      <c r="B60" s="57">
        <v>6427203</v>
      </c>
      <c r="C60" s="70" t="s">
        <v>102</v>
      </c>
      <c r="D60" s="346">
        <v>0</v>
      </c>
      <c r="E60" s="188">
        <v>0</v>
      </c>
      <c r="F60" s="203">
        <v>0</v>
      </c>
      <c r="G60" s="226">
        <f>SUM(J60:U60)</f>
        <v>0</v>
      </c>
      <c r="H60" s="1312">
        <f t="shared" si="26"/>
        <v>0</v>
      </c>
      <c r="I60" s="227" t="str">
        <f t="shared" si="27"/>
        <v/>
      </c>
      <c r="J60" s="55">
        <v>0</v>
      </c>
      <c r="K60" s="55">
        <v>0</v>
      </c>
      <c r="L60" s="55">
        <v>0</v>
      </c>
      <c r="M60" s="55">
        <v>0</v>
      </c>
      <c r="N60" s="55">
        <v>0</v>
      </c>
      <c r="O60" s="55">
        <v>0</v>
      </c>
      <c r="P60" s="55">
        <v>0</v>
      </c>
      <c r="Q60" s="55">
        <v>0</v>
      </c>
      <c r="R60" s="55">
        <v>0</v>
      </c>
      <c r="S60" s="55">
        <v>0</v>
      </c>
      <c r="T60" s="55">
        <v>0</v>
      </c>
      <c r="U60" s="55">
        <v>0</v>
      </c>
      <c r="V60" s="1335"/>
      <c r="W60" s="3"/>
    </row>
    <row r="61" spans="1:25" ht="25" customHeight="1" x14ac:dyDescent="0.35">
      <c r="A61" s="356" t="s">
        <v>101</v>
      </c>
      <c r="B61" s="30">
        <v>6427204</v>
      </c>
      <c r="C61" s="29" t="s">
        <v>100</v>
      </c>
      <c r="D61" s="345">
        <v>177600000</v>
      </c>
      <c r="E61" s="188">
        <v>146000000</v>
      </c>
      <c r="F61" s="202">
        <v>178000000</v>
      </c>
      <c r="G61" s="225">
        <f>SUM(J61:U61)</f>
        <v>180000000</v>
      </c>
      <c r="H61" s="1309">
        <f t="shared" si="26"/>
        <v>2000000</v>
      </c>
      <c r="I61" s="222">
        <f t="shared" si="27"/>
        <v>1.1235955056179775E-2</v>
      </c>
      <c r="J61" s="27">
        <v>15000000</v>
      </c>
      <c r="K61" s="27">
        <f>J61</f>
        <v>15000000</v>
      </c>
      <c r="L61" s="27">
        <f t="shared" ref="L61:U61" si="32">K61</f>
        <v>15000000</v>
      </c>
      <c r="M61" s="27">
        <f t="shared" si="32"/>
        <v>15000000</v>
      </c>
      <c r="N61" s="27">
        <f t="shared" si="32"/>
        <v>15000000</v>
      </c>
      <c r="O61" s="27">
        <f t="shared" si="32"/>
        <v>15000000</v>
      </c>
      <c r="P61" s="27">
        <f t="shared" si="32"/>
        <v>15000000</v>
      </c>
      <c r="Q61" s="27">
        <f t="shared" si="32"/>
        <v>15000000</v>
      </c>
      <c r="R61" s="27">
        <f t="shared" si="32"/>
        <v>15000000</v>
      </c>
      <c r="S61" s="27">
        <f t="shared" si="32"/>
        <v>15000000</v>
      </c>
      <c r="T61" s="27">
        <f t="shared" si="32"/>
        <v>15000000</v>
      </c>
      <c r="U61" s="27">
        <f t="shared" si="32"/>
        <v>15000000</v>
      </c>
      <c r="V61" s="1333" t="s">
        <v>515</v>
      </c>
      <c r="W61" s="3">
        <v>177600000</v>
      </c>
    </row>
    <row r="62" spans="1:25" ht="25" customHeight="1" x14ac:dyDescent="0.35">
      <c r="A62" s="356" t="s">
        <v>97</v>
      </c>
      <c r="B62" s="30"/>
      <c r="C62" s="29" t="s">
        <v>96</v>
      </c>
      <c r="D62" s="345">
        <f>SUM(D63:D64)</f>
        <v>446363632</v>
      </c>
      <c r="E62" s="188">
        <v>371736360</v>
      </c>
      <c r="F62" s="202">
        <f>SUM(F63:F64)</f>
        <v>444463632.72727299</v>
      </c>
      <c r="G62" s="225">
        <f>SUM(G63:G64)</f>
        <v>592000000</v>
      </c>
      <c r="H62" s="1309">
        <f t="shared" si="26"/>
        <v>147536367.27272701</v>
      </c>
      <c r="I62" s="222">
        <f t="shared" si="27"/>
        <v>0.33194249519905422</v>
      </c>
      <c r="J62" s="28">
        <f t="shared" ref="J62:P62" si="33">SUM(J63:J64)</f>
        <v>41000000</v>
      </c>
      <c r="K62" s="28">
        <f t="shared" si="33"/>
        <v>41000000</v>
      </c>
      <c r="L62" s="28">
        <f t="shared" si="33"/>
        <v>66000000</v>
      </c>
      <c r="M62" s="28">
        <f t="shared" si="33"/>
        <v>41000000</v>
      </c>
      <c r="N62" s="28">
        <f t="shared" si="33"/>
        <v>41000000</v>
      </c>
      <c r="O62" s="28">
        <f t="shared" si="33"/>
        <v>66000000</v>
      </c>
      <c r="P62" s="28">
        <f t="shared" si="33"/>
        <v>41000000</v>
      </c>
      <c r="Q62" s="27">
        <f t="shared" ref="Q62:U62" si="34">SUM(Q63:Q64)</f>
        <v>41000000</v>
      </c>
      <c r="R62" s="28">
        <f t="shared" si="34"/>
        <v>66000000</v>
      </c>
      <c r="S62" s="28">
        <f t="shared" si="34"/>
        <v>41000000</v>
      </c>
      <c r="T62" s="28">
        <f t="shared" si="34"/>
        <v>41000000</v>
      </c>
      <c r="U62" s="28">
        <f t="shared" si="34"/>
        <v>66000000</v>
      </c>
      <c r="V62" s="1333"/>
      <c r="W62" s="3" t="s">
        <v>530</v>
      </c>
    </row>
    <row r="63" spans="1:25" s="53" customFormat="1" ht="25" customHeight="1" x14ac:dyDescent="0.35">
      <c r="A63" s="357" t="s">
        <v>95</v>
      </c>
      <c r="B63" s="57">
        <v>6427205</v>
      </c>
      <c r="C63" s="70" t="s">
        <v>94</v>
      </c>
      <c r="D63" s="346">
        <v>436363632</v>
      </c>
      <c r="E63" s="188">
        <v>363636360</v>
      </c>
      <c r="F63" s="203">
        <v>436363632.72727299</v>
      </c>
      <c r="G63" s="226">
        <f t="shared" ref="G63:G76" si="35">SUM(J63:U63)</f>
        <v>492000000</v>
      </c>
      <c r="H63" s="1312">
        <f t="shared" si="26"/>
        <v>55636367.272727013</v>
      </c>
      <c r="I63" s="227">
        <f t="shared" si="27"/>
        <v>0.12750000939583275</v>
      </c>
      <c r="J63" s="55">
        <v>41000000</v>
      </c>
      <c r="K63" s="55">
        <f>J63</f>
        <v>41000000</v>
      </c>
      <c r="L63" s="55">
        <f t="shared" ref="L63:U63" si="36">K63</f>
        <v>41000000</v>
      </c>
      <c r="M63" s="55">
        <f t="shared" si="36"/>
        <v>41000000</v>
      </c>
      <c r="N63" s="55">
        <f t="shared" si="36"/>
        <v>41000000</v>
      </c>
      <c r="O63" s="55">
        <f t="shared" si="36"/>
        <v>41000000</v>
      </c>
      <c r="P63" s="55">
        <f t="shared" si="36"/>
        <v>41000000</v>
      </c>
      <c r="Q63" s="55">
        <f t="shared" si="36"/>
        <v>41000000</v>
      </c>
      <c r="R63" s="55">
        <f t="shared" si="36"/>
        <v>41000000</v>
      </c>
      <c r="S63" s="55">
        <f t="shared" si="36"/>
        <v>41000000</v>
      </c>
      <c r="T63" s="55">
        <f t="shared" si="36"/>
        <v>41000000</v>
      </c>
      <c r="U63" s="55">
        <f t="shared" si="36"/>
        <v>41000000</v>
      </c>
      <c r="V63" s="1335"/>
      <c r="W63" s="54"/>
    </row>
    <row r="64" spans="1:25" s="53" customFormat="1" ht="25" customHeight="1" x14ac:dyDescent="0.35">
      <c r="A64" s="357" t="s">
        <v>93</v>
      </c>
      <c r="B64" s="57">
        <v>6427205</v>
      </c>
      <c r="C64" s="70" t="s">
        <v>92</v>
      </c>
      <c r="D64" s="346">
        <v>10000000</v>
      </c>
      <c r="E64" s="188">
        <v>8100000</v>
      </c>
      <c r="F64" s="203">
        <v>8100000</v>
      </c>
      <c r="G64" s="226">
        <f t="shared" si="35"/>
        <v>100000000</v>
      </c>
      <c r="H64" s="1312">
        <f t="shared" si="26"/>
        <v>91900000</v>
      </c>
      <c r="I64" s="227">
        <f t="shared" si="27"/>
        <v>11.345679012345679</v>
      </c>
      <c r="J64" s="55">
        <v>0</v>
      </c>
      <c r="K64" s="55">
        <v>0</v>
      </c>
      <c r="L64" s="55">
        <v>25000000</v>
      </c>
      <c r="M64" s="55">
        <v>0</v>
      </c>
      <c r="N64" s="55">
        <v>0</v>
      </c>
      <c r="O64" s="55">
        <v>25000000</v>
      </c>
      <c r="P64" s="55">
        <v>0</v>
      </c>
      <c r="Q64" s="55"/>
      <c r="R64" s="55">
        <v>25000000</v>
      </c>
      <c r="S64" s="55"/>
      <c r="T64" s="55">
        <v>0</v>
      </c>
      <c r="U64" s="55">
        <v>25000000</v>
      </c>
      <c r="V64" s="1335"/>
      <c r="W64" s="54"/>
    </row>
    <row r="65" spans="1:25" ht="25" customHeight="1" x14ac:dyDescent="0.35">
      <c r="A65" s="356" t="s">
        <v>91</v>
      </c>
      <c r="B65" s="30">
        <v>6427206</v>
      </c>
      <c r="C65" s="29" t="s">
        <v>90</v>
      </c>
      <c r="D65" s="345">
        <v>45360000</v>
      </c>
      <c r="E65" s="188">
        <v>37800000</v>
      </c>
      <c r="F65" s="202">
        <v>45360000</v>
      </c>
      <c r="G65" s="225">
        <f>SUM(J65:U65)</f>
        <v>49896000.000000007</v>
      </c>
      <c r="H65" s="1309">
        <f t="shared" si="26"/>
        <v>4536000.0000000075</v>
      </c>
      <c r="I65" s="222">
        <f t="shared" si="27"/>
        <v>0.10000000000000016</v>
      </c>
      <c r="J65" s="27">
        <f>3780000*1.1</f>
        <v>4158000.0000000005</v>
      </c>
      <c r="K65" s="27">
        <f>J65</f>
        <v>4158000.0000000005</v>
      </c>
      <c r="L65" s="27">
        <f t="shared" ref="L65:U65" si="37">K65</f>
        <v>4158000.0000000005</v>
      </c>
      <c r="M65" s="27">
        <f t="shared" si="37"/>
        <v>4158000.0000000005</v>
      </c>
      <c r="N65" s="27">
        <f t="shared" si="37"/>
        <v>4158000.0000000005</v>
      </c>
      <c r="O65" s="27">
        <f t="shared" si="37"/>
        <v>4158000.0000000005</v>
      </c>
      <c r="P65" s="27">
        <f t="shared" si="37"/>
        <v>4158000.0000000005</v>
      </c>
      <c r="Q65" s="27">
        <f t="shared" si="37"/>
        <v>4158000.0000000005</v>
      </c>
      <c r="R65" s="27">
        <f t="shared" si="37"/>
        <v>4158000.0000000005</v>
      </c>
      <c r="S65" s="27">
        <f t="shared" si="37"/>
        <v>4158000.0000000005</v>
      </c>
      <c r="T65" s="27">
        <f t="shared" si="37"/>
        <v>4158000.0000000005</v>
      </c>
      <c r="U65" s="27">
        <f t="shared" si="37"/>
        <v>4158000.0000000005</v>
      </c>
      <c r="V65" s="1333" t="s">
        <v>516</v>
      </c>
      <c r="W65" s="3" t="s">
        <v>530</v>
      </c>
    </row>
    <row r="66" spans="1:25" ht="25" customHeight="1" x14ac:dyDescent="0.35">
      <c r="A66" s="356" t="s">
        <v>89</v>
      </c>
      <c r="B66" s="30">
        <v>642801</v>
      </c>
      <c r="C66" s="29" t="s">
        <v>916</v>
      </c>
      <c r="D66" s="345">
        <v>90000000</v>
      </c>
      <c r="E66" s="188">
        <v>29991000</v>
      </c>
      <c r="F66" s="202">
        <v>34037000</v>
      </c>
      <c r="G66" s="225">
        <f>SUM(J66:U66)</f>
        <v>120000000</v>
      </c>
      <c r="H66" s="1309">
        <f t="shared" si="26"/>
        <v>85963000</v>
      </c>
      <c r="I66" s="222">
        <f t="shared" si="27"/>
        <v>2.5255751094397274</v>
      </c>
      <c r="J66" s="27">
        <v>30000000</v>
      </c>
      <c r="K66" s="27">
        <v>0</v>
      </c>
      <c r="L66" s="27">
        <v>0</v>
      </c>
      <c r="M66" s="27">
        <v>0</v>
      </c>
      <c r="N66" s="27">
        <v>0</v>
      </c>
      <c r="O66" s="27">
        <v>0</v>
      </c>
      <c r="P66" s="27">
        <v>0</v>
      </c>
      <c r="Q66" s="27">
        <v>0</v>
      </c>
      <c r="R66" s="27">
        <v>30000000</v>
      </c>
      <c r="S66" s="27">
        <v>0</v>
      </c>
      <c r="T66" s="27">
        <v>0</v>
      </c>
      <c r="U66" s="27">
        <v>60000000</v>
      </c>
      <c r="V66" s="1333" t="s">
        <v>917</v>
      </c>
      <c r="W66" s="3" t="s">
        <v>530</v>
      </c>
    </row>
    <row r="67" spans="1:25" ht="42.75" customHeight="1" x14ac:dyDescent="0.35">
      <c r="A67" s="356" t="s">
        <v>113</v>
      </c>
      <c r="B67" s="30">
        <v>6427211</v>
      </c>
      <c r="C67" s="29" t="s">
        <v>112</v>
      </c>
      <c r="D67" s="345">
        <v>81170796</v>
      </c>
      <c r="E67" s="188">
        <v>78369592</v>
      </c>
      <c r="F67" s="202">
        <v>90078453.454545498</v>
      </c>
      <c r="G67" s="225">
        <f>SUM(J67:U67)</f>
        <v>99672789.333333328</v>
      </c>
      <c r="H67" s="1309">
        <f t="shared" si="26"/>
        <v>9594335.8787878305</v>
      </c>
      <c r="I67" s="222">
        <f t="shared" si="27"/>
        <v>0.10651088590935046</v>
      </c>
      <c r="J67" s="27">
        <f>74754592/9</f>
        <v>8306065.777777778</v>
      </c>
      <c r="K67" s="27">
        <f t="shared" ref="K67:U67" si="38">$J$67</f>
        <v>8306065.777777778</v>
      </c>
      <c r="L67" s="27">
        <f t="shared" si="38"/>
        <v>8306065.777777778</v>
      </c>
      <c r="M67" s="27">
        <f t="shared" si="38"/>
        <v>8306065.777777778</v>
      </c>
      <c r="N67" s="27">
        <f t="shared" si="38"/>
        <v>8306065.777777778</v>
      </c>
      <c r="O67" s="27">
        <f t="shared" si="38"/>
        <v>8306065.777777778</v>
      </c>
      <c r="P67" s="27">
        <f t="shared" si="38"/>
        <v>8306065.777777778</v>
      </c>
      <c r="Q67" s="27">
        <f t="shared" si="38"/>
        <v>8306065.777777778</v>
      </c>
      <c r="R67" s="27">
        <f t="shared" si="38"/>
        <v>8306065.777777778</v>
      </c>
      <c r="S67" s="27">
        <f t="shared" si="38"/>
        <v>8306065.777777778</v>
      </c>
      <c r="T67" s="27">
        <f t="shared" si="38"/>
        <v>8306065.777777778</v>
      </c>
      <c r="U67" s="27">
        <f t="shared" si="38"/>
        <v>8306065.777777778</v>
      </c>
      <c r="V67" s="1333" t="s">
        <v>517</v>
      </c>
      <c r="W67" s="3" t="s">
        <v>530</v>
      </c>
    </row>
    <row r="68" spans="1:25" ht="25" customHeight="1" x14ac:dyDescent="0.35">
      <c r="A68" s="356" t="s">
        <v>84</v>
      </c>
      <c r="B68" s="30">
        <v>6427209</v>
      </c>
      <c r="C68" s="29" t="s">
        <v>83</v>
      </c>
      <c r="D68" s="345">
        <v>492000000</v>
      </c>
      <c r="E68" s="188">
        <v>410000000</v>
      </c>
      <c r="F68" s="202">
        <v>492000000</v>
      </c>
      <c r="G68" s="225">
        <f t="shared" ref="G68:G73" si="39">SUM(J68:U68)</f>
        <v>468000000</v>
      </c>
      <c r="H68" s="1309">
        <f t="shared" si="26"/>
        <v>-24000000</v>
      </c>
      <c r="I68" s="222">
        <f t="shared" si="27"/>
        <v>-4.878048780487805E-2</v>
      </c>
      <c r="J68" s="27">
        <v>39000000</v>
      </c>
      <c r="K68" s="27">
        <f t="shared" ref="K68:U68" si="40">J68</f>
        <v>39000000</v>
      </c>
      <c r="L68" s="27">
        <f t="shared" si="40"/>
        <v>39000000</v>
      </c>
      <c r="M68" s="27">
        <f t="shared" si="40"/>
        <v>39000000</v>
      </c>
      <c r="N68" s="27">
        <f t="shared" si="40"/>
        <v>39000000</v>
      </c>
      <c r="O68" s="27">
        <f t="shared" si="40"/>
        <v>39000000</v>
      </c>
      <c r="P68" s="27">
        <f t="shared" si="40"/>
        <v>39000000</v>
      </c>
      <c r="Q68" s="27">
        <f t="shared" si="40"/>
        <v>39000000</v>
      </c>
      <c r="R68" s="27">
        <f t="shared" si="40"/>
        <v>39000000</v>
      </c>
      <c r="S68" s="27">
        <f t="shared" si="40"/>
        <v>39000000</v>
      </c>
      <c r="T68" s="27">
        <f t="shared" si="40"/>
        <v>39000000</v>
      </c>
      <c r="U68" s="27">
        <f t="shared" si="40"/>
        <v>39000000</v>
      </c>
      <c r="V68" s="1333"/>
      <c r="W68" s="3" t="s">
        <v>530</v>
      </c>
    </row>
    <row r="69" spans="1:25" ht="25" customHeight="1" x14ac:dyDescent="0.35">
      <c r="A69" s="356" t="s">
        <v>87</v>
      </c>
      <c r="B69" s="30">
        <v>6427207</v>
      </c>
      <c r="C69" s="29" t="s">
        <v>86</v>
      </c>
      <c r="D69" s="345">
        <v>445280000</v>
      </c>
      <c r="E69" s="188">
        <v>316081167.09090906</v>
      </c>
      <c r="F69" s="202">
        <v>387862233.090909</v>
      </c>
      <c r="G69" s="225">
        <f t="shared" si="39"/>
        <v>430686395.14285702</v>
      </c>
      <c r="H69" s="1309">
        <f t="shared" si="26"/>
        <v>42824162.051948011</v>
      </c>
      <c r="I69" s="222">
        <f t="shared" si="27"/>
        <v>0.1104107551557119</v>
      </c>
      <c r="J69" s="27">
        <f>502467461/14</f>
        <v>35890532.928571425</v>
      </c>
      <c r="K69" s="27">
        <f>J69</f>
        <v>35890532.928571425</v>
      </c>
      <c r="L69" s="27">
        <f t="shared" ref="L69:U69" si="41">K69</f>
        <v>35890532.928571425</v>
      </c>
      <c r="M69" s="27">
        <f t="shared" si="41"/>
        <v>35890532.928571425</v>
      </c>
      <c r="N69" s="27">
        <f t="shared" si="41"/>
        <v>35890532.928571425</v>
      </c>
      <c r="O69" s="27">
        <f t="shared" si="41"/>
        <v>35890532.928571425</v>
      </c>
      <c r="P69" s="27">
        <f t="shared" si="41"/>
        <v>35890532.928571425</v>
      </c>
      <c r="Q69" s="27">
        <f t="shared" si="41"/>
        <v>35890532.928571425</v>
      </c>
      <c r="R69" s="27">
        <f t="shared" si="41"/>
        <v>35890532.928571425</v>
      </c>
      <c r="S69" s="27">
        <f t="shared" si="41"/>
        <v>35890532.928571425</v>
      </c>
      <c r="T69" s="27">
        <f t="shared" si="41"/>
        <v>35890532.928571425</v>
      </c>
      <c r="U69" s="27">
        <f t="shared" si="41"/>
        <v>35890532.928571425</v>
      </c>
      <c r="V69" s="1333" t="s">
        <v>518</v>
      </c>
      <c r="W69" s="3" t="s">
        <v>530</v>
      </c>
    </row>
    <row r="70" spans="1:25" ht="25" customHeight="1" x14ac:dyDescent="0.35">
      <c r="A70" s="356" t="s">
        <v>111</v>
      </c>
      <c r="B70" s="30"/>
      <c r="C70" s="29" t="s">
        <v>110</v>
      </c>
      <c r="D70" s="345">
        <v>0</v>
      </c>
      <c r="E70" s="188">
        <v>0</v>
      </c>
      <c r="F70" s="202">
        <v>0</v>
      </c>
      <c r="G70" s="225">
        <f t="shared" si="39"/>
        <v>374000000.00000006</v>
      </c>
      <c r="H70" s="1309">
        <f t="shared" si="26"/>
        <v>374000000.00000006</v>
      </c>
      <c r="I70" s="222" t="str">
        <f t="shared" si="27"/>
        <v/>
      </c>
      <c r="J70" s="27">
        <f>'[84]Budget Fro Aug To Dec2017'!O61/9</f>
        <v>0</v>
      </c>
      <c r="K70" s="27">
        <v>0</v>
      </c>
      <c r="L70" s="27">
        <v>0</v>
      </c>
      <c r="M70" s="27">
        <v>0</v>
      </c>
      <c r="N70" s="27">
        <v>0</v>
      </c>
      <c r="O70" s="27">
        <v>0</v>
      </c>
      <c r="P70" s="27">
        <v>0</v>
      </c>
      <c r="Q70" s="27">
        <v>0</v>
      </c>
      <c r="R70" s="27">
        <v>0</v>
      </c>
      <c r="S70" s="27">
        <v>0</v>
      </c>
      <c r="T70" s="27">
        <v>374000000.00000006</v>
      </c>
      <c r="U70" s="27">
        <v>0</v>
      </c>
      <c r="V70" s="1333"/>
      <c r="W70" s="3" t="s">
        <v>535</v>
      </c>
    </row>
    <row r="71" spans="1:25" ht="25" customHeight="1" x14ac:dyDescent="0.35">
      <c r="A71" s="356" t="s">
        <v>99</v>
      </c>
      <c r="B71" s="30">
        <v>6427204</v>
      </c>
      <c r="C71" s="29" t="s">
        <v>98</v>
      </c>
      <c r="D71" s="345">
        <v>0</v>
      </c>
      <c r="E71" s="188">
        <v>11009091</v>
      </c>
      <c r="F71" s="202">
        <v>11009091</v>
      </c>
      <c r="G71" s="225">
        <f t="shared" si="39"/>
        <v>9000000</v>
      </c>
      <c r="H71" s="1309">
        <f t="shared" si="26"/>
        <v>-2009091</v>
      </c>
      <c r="I71" s="222">
        <f t="shared" si="27"/>
        <v>-0.18249381352193383</v>
      </c>
      <c r="J71" s="27">
        <v>0</v>
      </c>
      <c r="K71" s="27">
        <v>0</v>
      </c>
      <c r="L71" s="27">
        <v>0</v>
      </c>
      <c r="M71" s="27">
        <v>3000000</v>
      </c>
      <c r="N71" s="27">
        <v>0</v>
      </c>
      <c r="O71" s="27">
        <v>0</v>
      </c>
      <c r="P71" s="27">
        <v>3000000</v>
      </c>
      <c r="Q71" s="27">
        <v>0</v>
      </c>
      <c r="R71" s="27">
        <v>0</v>
      </c>
      <c r="S71" s="27">
        <v>0</v>
      </c>
      <c r="T71" s="27">
        <v>3000000</v>
      </c>
      <c r="U71" s="27"/>
      <c r="V71" s="1333"/>
      <c r="W71" s="3" t="s">
        <v>536</v>
      </c>
    </row>
    <row r="72" spans="1:25" ht="25" customHeight="1" x14ac:dyDescent="0.35">
      <c r="A72" s="356" t="s">
        <v>88</v>
      </c>
      <c r="B72" s="30">
        <v>642802</v>
      </c>
      <c r="C72" s="29" t="s">
        <v>233</v>
      </c>
      <c r="D72" s="345">
        <v>152800000</v>
      </c>
      <c r="E72" s="188">
        <v>96300388</v>
      </c>
      <c r="F72" s="200">
        <v>96300388</v>
      </c>
      <c r="G72" s="225">
        <f t="shared" si="39"/>
        <v>73050000</v>
      </c>
      <c r="H72" s="1309">
        <f t="shared" si="26"/>
        <v>-23250388</v>
      </c>
      <c r="I72" s="222">
        <f t="shared" si="27"/>
        <v>-0.24143607811839762</v>
      </c>
      <c r="J72" s="27">
        <f>1000000+350000</f>
        <v>1350000</v>
      </c>
      <c r="K72" s="27">
        <v>1000000</v>
      </c>
      <c r="L72" s="27">
        <v>1000000</v>
      </c>
      <c r="M72" s="27">
        <f>1000000+350000</f>
        <v>1350000</v>
      </c>
      <c r="N72" s="27">
        <v>1000000</v>
      </c>
      <c r="O72" s="27">
        <v>1000000</v>
      </c>
      <c r="P72" s="27">
        <f>1000000+60000000</f>
        <v>61000000</v>
      </c>
      <c r="Q72" s="27">
        <v>1000000</v>
      </c>
      <c r="R72" s="27">
        <v>1000000</v>
      </c>
      <c r="S72" s="27">
        <f>1000000+350000</f>
        <v>1350000</v>
      </c>
      <c r="T72" s="27">
        <v>1000000</v>
      </c>
      <c r="U72" s="27">
        <v>1000000</v>
      </c>
      <c r="V72" s="1333" t="s">
        <v>451</v>
      </c>
      <c r="W72" s="3" t="s">
        <v>530</v>
      </c>
    </row>
    <row r="73" spans="1:25" ht="25" customHeight="1" x14ac:dyDescent="0.35">
      <c r="A73" s="356" t="s">
        <v>85</v>
      </c>
      <c r="B73" s="30">
        <v>6427208</v>
      </c>
      <c r="C73" s="29" t="s">
        <v>234</v>
      </c>
      <c r="D73" s="345">
        <v>299607660</v>
      </c>
      <c r="E73" s="188">
        <v>271373362.54545456</v>
      </c>
      <c r="F73" s="202">
        <v>275165040.11688298</v>
      </c>
      <c r="G73" s="225">
        <f t="shared" si="39"/>
        <v>22750065.428571433</v>
      </c>
      <c r="H73" s="1309">
        <f t="shared" si="26"/>
        <v>-252414974.68831155</v>
      </c>
      <c r="I73" s="222">
        <f t="shared" si="27"/>
        <v>-0.91732210814677695</v>
      </c>
      <c r="J73" s="27">
        <f>26541743/14</f>
        <v>1895838.7857142857</v>
      </c>
      <c r="K73" s="27">
        <f>J73</f>
        <v>1895838.7857142857</v>
      </c>
      <c r="L73" s="27">
        <f t="shared" ref="L73:U73" si="42">K73</f>
        <v>1895838.7857142857</v>
      </c>
      <c r="M73" s="27">
        <f t="shared" si="42"/>
        <v>1895838.7857142857</v>
      </c>
      <c r="N73" s="27">
        <f t="shared" si="42"/>
        <v>1895838.7857142857</v>
      </c>
      <c r="O73" s="27">
        <f t="shared" si="42"/>
        <v>1895838.7857142857</v>
      </c>
      <c r="P73" s="27">
        <f t="shared" si="42"/>
        <v>1895838.7857142857</v>
      </c>
      <c r="Q73" s="27">
        <f t="shared" si="42"/>
        <v>1895838.7857142857</v>
      </c>
      <c r="R73" s="27">
        <f t="shared" si="42"/>
        <v>1895838.7857142857</v>
      </c>
      <c r="S73" s="27">
        <f t="shared" si="42"/>
        <v>1895838.7857142857</v>
      </c>
      <c r="T73" s="27">
        <f t="shared" si="42"/>
        <v>1895838.7857142857</v>
      </c>
      <c r="U73" s="27">
        <f t="shared" si="42"/>
        <v>1895838.7857142857</v>
      </c>
      <c r="V73" s="1333" t="s">
        <v>518</v>
      </c>
      <c r="W73" s="3" t="s">
        <v>530</v>
      </c>
    </row>
    <row r="74" spans="1:25" ht="25" customHeight="1" x14ac:dyDescent="0.35">
      <c r="A74" s="356" t="s">
        <v>82</v>
      </c>
      <c r="B74" s="30">
        <v>6427210</v>
      </c>
      <c r="C74" s="29" t="s">
        <v>81</v>
      </c>
      <c r="D74" s="345">
        <v>92400000</v>
      </c>
      <c r="E74" s="188">
        <v>73958400</v>
      </c>
      <c r="F74" s="202">
        <v>89284200</v>
      </c>
      <c r="G74" s="225">
        <f>SUM(J74:U74)</f>
        <v>48000000</v>
      </c>
      <c r="H74" s="1309">
        <f t="shared" si="26"/>
        <v>-41284200</v>
      </c>
      <c r="I74" s="222">
        <f t="shared" si="27"/>
        <v>-0.46239088214936125</v>
      </c>
      <c r="J74" s="27">
        <v>1500000</v>
      </c>
      <c r="K74" s="27">
        <f>J74</f>
        <v>1500000</v>
      </c>
      <c r="L74" s="27">
        <f t="shared" ref="L74" si="43">K74</f>
        <v>1500000</v>
      </c>
      <c r="M74" s="27">
        <f>L74+500*60000</f>
        <v>31500000</v>
      </c>
      <c r="N74" s="27">
        <f>L74</f>
        <v>1500000</v>
      </c>
      <c r="O74" s="27">
        <f t="shared" ref="O74:O76" si="44">N74</f>
        <v>1500000</v>
      </c>
      <c r="P74" s="27">
        <f t="shared" ref="P74:P76" si="45">O74</f>
        <v>1500000</v>
      </c>
      <c r="Q74" s="27">
        <f t="shared" ref="Q74:Q76" si="46">P74</f>
        <v>1500000</v>
      </c>
      <c r="R74" s="27">
        <f t="shared" ref="R74:R76" si="47">Q74</f>
        <v>1500000</v>
      </c>
      <c r="S74" s="27">
        <f t="shared" ref="S74:S76" si="48">R74</f>
        <v>1500000</v>
      </c>
      <c r="T74" s="27">
        <f t="shared" ref="T74:T76" si="49">S74</f>
        <v>1500000</v>
      </c>
      <c r="U74" s="27">
        <f t="shared" ref="U74:U76" si="50">T74</f>
        <v>1500000</v>
      </c>
      <c r="V74" s="1333" t="s">
        <v>915</v>
      </c>
      <c r="W74" s="3" t="s">
        <v>530</v>
      </c>
    </row>
    <row r="75" spans="1:25" ht="25" customHeight="1" x14ac:dyDescent="0.35">
      <c r="A75" s="356" t="s">
        <v>109</v>
      </c>
      <c r="B75" s="30"/>
      <c r="C75" s="29" t="s">
        <v>108</v>
      </c>
      <c r="D75" s="345">
        <v>0</v>
      </c>
      <c r="E75" s="188">
        <v>0</v>
      </c>
      <c r="F75" s="202">
        <v>0</v>
      </c>
      <c r="G75" s="225">
        <f>SUM(J75:U75)</f>
        <v>0</v>
      </c>
      <c r="H75" s="1309">
        <f t="shared" si="26"/>
        <v>0</v>
      </c>
      <c r="I75" s="222" t="str">
        <f t="shared" si="27"/>
        <v/>
      </c>
      <c r="J75" s="27">
        <f>'[84]Budget Fro Aug To Dec2017'!O62/9</f>
        <v>0</v>
      </c>
      <c r="K75" s="27">
        <v>0</v>
      </c>
      <c r="L75" s="27">
        <v>0</v>
      </c>
      <c r="M75" s="27">
        <v>0</v>
      </c>
      <c r="N75" s="27">
        <v>0</v>
      </c>
      <c r="O75" s="27">
        <v>0</v>
      </c>
      <c r="P75" s="27">
        <v>0</v>
      </c>
      <c r="Q75" s="27">
        <v>0</v>
      </c>
      <c r="R75" s="27">
        <v>0</v>
      </c>
      <c r="S75" s="27">
        <v>0</v>
      </c>
      <c r="T75" s="27">
        <v>0</v>
      </c>
      <c r="U75" s="27">
        <v>0</v>
      </c>
      <c r="V75" s="1333"/>
      <c r="W75" s="3"/>
    </row>
    <row r="76" spans="1:25" ht="25" customHeight="1" x14ac:dyDescent="0.35">
      <c r="A76" s="356" t="s">
        <v>1011</v>
      </c>
      <c r="B76" s="30">
        <v>6427210</v>
      </c>
      <c r="C76" s="29" t="s">
        <v>971</v>
      </c>
      <c r="D76" s="345"/>
      <c r="E76" s="188">
        <v>73958400</v>
      </c>
      <c r="F76" s="202"/>
      <c r="G76" s="225">
        <f t="shared" si="35"/>
        <v>80000000</v>
      </c>
      <c r="H76" s="1309">
        <f>G76-F76</f>
        <v>80000000</v>
      </c>
      <c r="I76" s="222" t="str">
        <f t="shared" si="27"/>
        <v/>
      </c>
      <c r="J76" s="27">
        <v>0</v>
      </c>
      <c r="K76" s="27">
        <v>0</v>
      </c>
      <c r="L76" s="27">
        <v>8000000</v>
      </c>
      <c r="M76" s="27">
        <f>L76</f>
        <v>8000000</v>
      </c>
      <c r="N76" s="27">
        <f t="shared" ref="N76" si="51">M76</f>
        <v>8000000</v>
      </c>
      <c r="O76" s="27">
        <f t="shared" si="44"/>
        <v>8000000</v>
      </c>
      <c r="P76" s="27">
        <f t="shared" si="45"/>
        <v>8000000</v>
      </c>
      <c r="Q76" s="27">
        <f t="shared" si="46"/>
        <v>8000000</v>
      </c>
      <c r="R76" s="27">
        <f t="shared" si="47"/>
        <v>8000000</v>
      </c>
      <c r="S76" s="27">
        <f t="shared" si="48"/>
        <v>8000000</v>
      </c>
      <c r="T76" s="27">
        <f t="shared" si="49"/>
        <v>8000000</v>
      </c>
      <c r="U76" s="27">
        <f t="shared" si="50"/>
        <v>8000000</v>
      </c>
      <c r="V76" s="1333"/>
      <c r="W76" s="3" t="s">
        <v>530</v>
      </c>
    </row>
    <row r="77" spans="1:25" ht="25" customHeight="1" x14ac:dyDescent="0.35">
      <c r="A77" s="52"/>
      <c r="B77" s="51"/>
      <c r="C77" s="50" t="s">
        <v>80</v>
      </c>
      <c r="D77" s="999">
        <f>SUM(D56:D58,D61:D62,D65:D76)</f>
        <v>8128082088</v>
      </c>
      <c r="E77" s="49">
        <v>6196119360.636364</v>
      </c>
      <c r="F77" s="999">
        <f>SUM(F56:F58,F61:F62,F65:F76)</f>
        <v>7333060038.3896103</v>
      </c>
      <c r="G77" s="49">
        <f>SUM(G56:G58,G61:G62,G65:G76)</f>
        <v>7827185249.9047613</v>
      </c>
      <c r="H77" s="1310">
        <f>SUM(H56:H58,H61:H62,H65:H76)</f>
        <v>494125211.51515126</v>
      </c>
      <c r="I77" s="986">
        <f t="shared" si="27"/>
        <v>6.7383221864860704E-2</v>
      </c>
      <c r="J77" s="49">
        <f t="shared" ref="J77:U77" si="52">SUM(J56:J58,J61:J62,J65:J76)</f>
        <v>607140437.49206352</v>
      </c>
      <c r="K77" s="49">
        <f t="shared" si="52"/>
        <v>660360437.49206352</v>
      </c>
      <c r="L77" s="49">
        <f t="shared" si="52"/>
        <v>605790437.49206352</v>
      </c>
      <c r="M77" s="49">
        <f t="shared" si="52"/>
        <v>658180437.49206352</v>
      </c>
      <c r="N77" s="49">
        <f t="shared" si="52"/>
        <v>602810437.49206352</v>
      </c>
      <c r="O77" s="49">
        <f t="shared" si="52"/>
        <v>605790437.49206352</v>
      </c>
      <c r="P77" s="49">
        <f t="shared" si="52"/>
        <v>643790437.49206352</v>
      </c>
      <c r="Q77" s="49">
        <f t="shared" si="52"/>
        <v>580790437.49206352</v>
      </c>
      <c r="R77" s="49">
        <f t="shared" si="52"/>
        <v>635790437.49206352</v>
      </c>
      <c r="S77" s="49">
        <f t="shared" si="52"/>
        <v>603160437.49206352</v>
      </c>
      <c r="T77" s="49">
        <f t="shared" si="52"/>
        <v>957790437.49206364</v>
      </c>
      <c r="U77" s="49">
        <f t="shared" si="52"/>
        <v>665790437.49206352</v>
      </c>
      <c r="V77" s="1328"/>
      <c r="W77" s="3"/>
      <c r="Y77" s="22"/>
    </row>
    <row r="78" spans="1:25" s="39" customFormat="1" ht="5.15" customHeight="1" x14ac:dyDescent="0.35">
      <c r="A78" s="358"/>
      <c r="B78" s="43"/>
      <c r="C78" s="69"/>
      <c r="D78" s="193"/>
      <c r="E78" s="69"/>
      <c r="F78" s="193"/>
      <c r="G78" s="61"/>
      <c r="H78" s="1313"/>
      <c r="I78" s="207"/>
      <c r="J78" s="61"/>
      <c r="K78" s="61"/>
      <c r="L78" s="61"/>
      <c r="M78" s="61"/>
      <c r="N78" s="61"/>
      <c r="O78" s="61"/>
      <c r="P78" s="61"/>
      <c r="Q78" s="61"/>
      <c r="R78" s="61"/>
      <c r="S78" s="101"/>
      <c r="T78" s="101"/>
      <c r="U78" s="101"/>
      <c r="V78" s="1325"/>
      <c r="W78" s="40"/>
    </row>
    <row r="79" spans="1:25" s="58" customFormat="1" ht="25" customHeight="1" x14ac:dyDescent="0.35">
      <c r="A79" s="982" t="s">
        <v>79</v>
      </c>
      <c r="B79" s="998"/>
      <c r="C79" s="984" t="s">
        <v>1013</v>
      </c>
      <c r="D79" s="1000"/>
      <c r="E79" s="23"/>
      <c r="F79" s="1000"/>
      <c r="G79" s="31"/>
      <c r="H79" s="1311"/>
      <c r="I79" s="1002"/>
      <c r="J79" s="32"/>
      <c r="K79" s="32"/>
      <c r="L79" s="32"/>
      <c r="M79" s="32"/>
      <c r="N79" s="32"/>
      <c r="O79" s="32"/>
      <c r="P79" s="32"/>
      <c r="Q79" s="32"/>
      <c r="R79" s="32"/>
      <c r="S79" s="67"/>
      <c r="T79" s="67"/>
      <c r="U79" s="67"/>
      <c r="V79" s="1331"/>
      <c r="W79" s="3"/>
    </row>
    <row r="80" spans="1:25" ht="25" customHeight="1" x14ac:dyDescent="0.35">
      <c r="A80" s="356" t="s">
        <v>77</v>
      </c>
      <c r="B80" s="30">
        <v>6427301</v>
      </c>
      <c r="C80" s="64" t="s">
        <v>76</v>
      </c>
      <c r="D80" s="345">
        <v>1800000</v>
      </c>
      <c r="E80" s="188">
        <v>1324100</v>
      </c>
      <c r="F80" s="202">
        <v>1324100</v>
      </c>
      <c r="G80" s="225">
        <f>SUM(J80:U80)</f>
        <v>31200000</v>
      </c>
      <c r="H80" s="1309">
        <f t="shared" ref="H80:H111" si="53">G80-F80</f>
        <v>29875900</v>
      </c>
      <c r="I80" s="222">
        <f t="shared" ref="I80:I112" si="54">IF(F80=0,"",(G80-F80)/F80)</f>
        <v>22.563174986783476</v>
      </c>
      <c r="J80" s="27">
        <f>'Depreciation - MF'!H11</f>
        <v>2500000</v>
      </c>
      <c r="K80" s="27">
        <f>'Depreciation - MF'!I11</f>
        <v>2500000</v>
      </c>
      <c r="L80" s="27">
        <f>'Depreciation - MF'!J11</f>
        <v>3100000</v>
      </c>
      <c r="M80" s="27">
        <f>'Depreciation - MF'!K11</f>
        <v>2500000</v>
      </c>
      <c r="N80" s="27">
        <f>'Depreciation - MF'!L11</f>
        <v>2500000</v>
      </c>
      <c r="O80" s="27">
        <f>'Depreciation - MF'!M11</f>
        <v>2500000</v>
      </c>
      <c r="P80" s="27">
        <f>'Depreciation - MF'!N11</f>
        <v>2500000</v>
      </c>
      <c r="Q80" s="27">
        <f>'Depreciation - MF'!O11</f>
        <v>2500000</v>
      </c>
      <c r="R80" s="27">
        <f>'Depreciation - MF'!P11</f>
        <v>3100000</v>
      </c>
      <c r="S80" s="27">
        <f>'Depreciation - MF'!Q11</f>
        <v>2500000</v>
      </c>
      <c r="T80" s="27">
        <f>'Depreciation - MF'!R11</f>
        <v>2500000</v>
      </c>
      <c r="U80" s="27">
        <f>'Depreciation - MF'!S11</f>
        <v>2500000</v>
      </c>
      <c r="V80" s="1333"/>
      <c r="W80" s="3" t="s">
        <v>530</v>
      </c>
    </row>
    <row r="81" spans="1:23" s="66" customFormat="1" ht="25" customHeight="1" x14ac:dyDescent="0.35">
      <c r="A81" s="356" t="s">
        <v>75</v>
      </c>
      <c r="B81" s="30">
        <v>6427302</v>
      </c>
      <c r="C81" s="64" t="s">
        <v>74</v>
      </c>
      <c r="D81" s="345">
        <v>1410570000</v>
      </c>
      <c r="E81" s="188">
        <v>1259027000</v>
      </c>
      <c r="F81" s="202">
        <v>1407630000</v>
      </c>
      <c r="G81" s="221">
        <f>SUM(J81:U81)</f>
        <v>1673400000</v>
      </c>
      <c r="H81" s="1308">
        <f t="shared" si="53"/>
        <v>265770000</v>
      </c>
      <c r="I81" s="222">
        <f t="shared" si="54"/>
        <v>0.18880671767438886</v>
      </c>
      <c r="J81" s="27">
        <f>'Depreciation - MF'!H14</f>
        <v>131530000</v>
      </c>
      <c r="K81" s="27">
        <f>'Depreciation - MF'!I14</f>
        <v>131530000</v>
      </c>
      <c r="L81" s="27">
        <f>'Depreciation - MF'!J14</f>
        <v>131530000</v>
      </c>
      <c r="M81" s="27">
        <f>'Depreciation - MF'!K14</f>
        <v>142090000</v>
      </c>
      <c r="N81" s="27">
        <f>'Depreciation - MF'!L14</f>
        <v>142090000</v>
      </c>
      <c r="O81" s="27">
        <f>'Depreciation - MF'!M14</f>
        <v>142090000</v>
      </c>
      <c r="P81" s="27">
        <f>'Depreciation - MF'!N14</f>
        <v>142090000</v>
      </c>
      <c r="Q81" s="27">
        <f>'Depreciation - MF'!O14</f>
        <v>142090000</v>
      </c>
      <c r="R81" s="27">
        <f>'Depreciation - MF'!P14</f>
        <v>142090000</v>
      </c>
      <c r="S81" s="27">
        <f>'Depreciation - MF'!Q14</f>
        <v>142090000</v>
      </c>
      <c r="T81" s="27">
        <f>'Depreciation - MF'!R14</f>
        <v>142090000</v>
      </c>
      <c r="U81" s="27">
        <f>'Depreciation - MF'!S14</f>
        <v>142090000</v>
      </c>
      <c r="V81" s="1333"/>
      <c r="W81" s="3" t="s">
        <v>530</v>
      </c>
    </row>
    <row r="82" spans="1:23" ht="25" customHeight="1" x14ac:dyDescent="0.35">
      <c r="A82" s="356" t="s">
        <v>73</v>
      </c>
      <c r="B82" s="30"/>
      <c r="C82" s="64" t="s">
        <v>72</v>
      </c>
      <c r="D82" s="345">
        <v>198950000</v>
      </c>
      <c r="E82" s="188">
        <v>60207300</v>
      </c>
      <c r="F82" s="202">
        <f>SUM(F83:F84)</f>
        <v>89616391</v>
      </c>
      <c r="G82" s="225">
        <f>SUM(G83:G84)</f>
        <v>275280000</v>
      </c>
      <c r="H82" s="1309">
        <f t="shared" si="53"/>
        <v>185663609</v>
      </c>
      <c r="I82" s="222">
        <f t="shared" si="54"/>
        <v>2.0717594954253404</v>
      </c>
      <c r="J82" s="27">
        <f>SUM(J83:J84)</f>
        <v>22940000</v>
      </c>
      <c r="K82" s="27">
        <f t="shared" ref="K82:P82" si="55">SUM(K83:K84)</f>
        <v>22940000</v>
      </c>
      <c r="L82" s="27">
        <f t="shared" si="55"/>
        <v>22940000</v>
      </c>
      <c r="M82" s="27">
        <f t="shared" si="55"/>
        <v>22940000</v>
      </c>
      <c r="N82" s="27">
        <f t="shared" si="55"/>
        <v>22940000</v>
      </c>
      <c r="O82" s="27">
        <f t="shared" si="55"/>
        <v>22940000</v>
      </c>
      <c r="P82" s="27">
        <f t="shared" si="55"/>
        <v>22940000</v>
      </c>
      <c r="Q82" s="27">
        <f t="shared" ref="Q82:U82" si="56">SUM(Q83:Q84)</f>
        <v>22940000</v>
      </c>
      <c r="R82" s="27">
        <f t="shared" si="56"/>
        <v>22940000</v>
      </c>
      <c r="S82" s="27">
        <f t="shared" si="56"/>
        <v>22940000</v>
      </c>
      <c r="T82" s="27">
        <f t="shared" si="56"/>
        <v>22940000</v>
      </c>
      <c r="U82" s="27">
        <f t="shared" si="56"/>
        <v>22940000</v>
      </c>
      <c r="V82" s="1333"/>
      <c r="W82" s="5">
        <v>198950000</v>
      </c>
    </row>
    <row r="83" spans="1:23" s="53" customFormat="1" ht="25" customHeight="1" x14ac:dyDescent="0.35">
      <c r="A83" s="357" t="s">
        <v>71</v>
      </c>
      <c r="B83" s="57">
        <v>6427303</v>
      </c>
      <c r="C83" s="56" t="s">
        <v>70</v>
      </c>
      <c r="D83" s="346">
        <v>66000000</v>
      </c>
      <c r="E83" s="188">
        <v>49500000</v>
      </c>
      <c r="F83" s="203">
        <v>66000000</v>
      </c>
      <c r="G83" s="226">
        <f>SUM(J83:U83)</f>
        <v>71280000</v>
      </c>
      <c r="H83" s="1312">
        <f t="shared" si="53"/>
        <v>5280000</v>
      </c>
      <c r="I83" s="227">
        <f t="shared" si="54"/>
        <v>0.08</v>
      </c>
      <c r="J83" s="55">
        <f>'Depreciation - MF'!H16</f>
        <v>5940000</v>
      </c>
      <c r="K83" s="55">
        <f>'Depreciation - MF'!I16</f>
        <v>5940000</v>
      </c>
      <c r="L83" s="55">
        <f>'Depreciation - MF'!J16</f>
        <v>5940000</v>
      </c>
      <c r="M83" s="55">
        <f>'Depreciation - MF'!K16</f>
        <v>5940000</v>
      </c>
      <c r="N83" s="55">
        <f>'Depreciation - MF'!L16</f>
        <v>5940000</v>
      </c>
      <c r="O83" s="55">
        <f>'Depreciation - MF'!M16</f>
        <v>5940000</v>
      </c>
      <c r="P83" s="55">
        <f>'Depreciation - MF'!N16</f>
        <v>5940000</v>
      </c>
      <c r="Q83" s="27">
        <f>'Depreciation - MF'!O16</f>
        <v>5940000</v>
      </c>
      <c r="R83" s="55">
        <f>'Depreciation - MF'!P16</f>
        <v>5940000</v>
      </c>
      <c r="S83" s="55">
        <f>'Depreciation - MF'!Q16</f>
        <v>5940000</v>
      </c>
      <c r="T83" s="55">
        <f>'Depreciation - MF'!R16</f>
        <v>5940000</v>
      </c>
      <c r="U83" s="55">
        <f>'Depreciation - MF'!S16</f>
        <v>5940000</v>
      </c>
      <c r="V83" s="1335"/>
      <c r="W83" s="65"/>
    </row>
    <row r="84" spans="1:23" s="53" customFormat="1" ht="25" customHeight="1" x14ac:dyDescent="0.35">
      <c r="A84" s="357" t="s">
        <v>69</v>
      </c>
      <c r="B84" s="57">
        <v>6427303</v>
      </c>
      <c r="C84" s="56" t="s">
        <v>68</v>
      </c>
      <c r="D84" s="346">
        <f>D82-D83</f>
        <v>132950000</v>
      </c>
      <c r="E84" s="188">
        <v>10707300</v>
      </c>
      <c r="F84" s="203">
        <v>23616391</v>
      </c>
      <c r="G84" s="226">
        <f>SUM(J84:U84)</f>
        <v>204000000</v>
      </c>
      <c r="H84" s="1312">
        <f t="shared" si="53"/>
        <v>180383609</v>
      </c>
      <c r="I84" s="227">
        <f t="shared" si="54"/>
        <v>7.6380683653145818</v>
      </c>
      <c r="J84" s="55">
        <f>SUM('Depreciation - MF'!H17:H22)</f>
        <v>17000000</v>
      </c>
      <c r="K84" s="55">
        <f>SUM('Depreciation - MF'!I17:I22)</f>
        <v>17000000</v>
      </c>
      <c r="L84" s="55">
        <f>SUM('Depreciation - MF'!J17:J22)</f>
        <v>17000000</v>
      </c>
      <c r="M84" s="55">
        <f>SUM('Depreciation - MF'!K17:K22)</f>
        <v>17000000</v>
      </c>
      <c r="N84" s="55">
        <f>SUM('Depreciation - MF'!L17:L22)</f>
        <v>17000000</v>
      </c>
      <c r="O84" s="55">
        <f>SUM('Depreciation - MF'!M17:M22)</f>
        <v>17000000</v>
      </c>
      <c r="P84" s="55">
        <f>SUM('Depreciation - MF'!N17:N22)</f>
        <v>17000000</v>
      </c>
      <c r="Q84" s="27">
        <f>SUM('Depreciation - MF'!O17:O22)</f>
        <v>17000000</v>
      </c>
      <c r="R84" s="55">
        <f>SUM('Depreciation - MF'!P17:P22)</f>
        <v>17000000</v>
      </c>
      <c r="S84" s="55">
        <f>SUM('Depreciation - MF'!Q17:Q22)</f>
        <v>17000000</v>
      </c>
      <c r="T84" s="55">
        <f>SUM('Depreciation - MF'!R17:R22)</f>
        <v>17000000</v>
      </c>
      <c r="U84" s="55">
        <f>SUM('Depreciation - MF'!S17:S22)</f>
        <v>17000000</v>
      </c>
      <c r="V84" s="1335"/>
      <c r="W84" s="65"/>
    </row>
    <row r="85" spans="1:23" ht="25" customHeight="1" x14ac:dyDescent="0.35">
      <c r="A85" s="356" t="s">
        <v>67</v>
      </c>
      <c r="B85" s="30"/>
      <c r="C85" s="64" t="s">
        <v>66</v>
      </c>
      <c r="D85" s="345">
        <f>SUM(D86:D87)</f>
        <v>295262500</v>
      </c>
      <c r="E85" s="188">
        <v>151796875</v>
      </c>
      <c r="F85" s="202">
        <f>SUM(F86:F87)</f>
        <v>266798875</v>
      </c>
      <c r="G85" s="225">
        <f>SUM(G86:G87)</f>
        <v>444996000</v>
      </c>
      <c r="H85" s="1309">
        <f t="shared" si="53"/>
        <v>178197125</v>
      </c>
      <c r="I85" s="222">
        <f t="shared" si="54"/>
        <v>0.66790808244599986</v>
      </c>
      <c r="J85" s="28">
        <f>SUM(J86:J87)</f>
        <v>37083000</v>
      </c>
      <c r="K85" s="28">
        <f t="shared" ref="K85:P85" si="57">SUM(K86:K87)</f>
        <v>37083000</v>
      </c>
      <c r="L85" s="28">
        <f t="shared" si="57"/>
        <v>37083000</v>
      </c>
      <c r="M85" s="28">
        <f t="shared" si="57"/>
        <v>37083000</v>
      </c>
      <c r="N85" s="28">
        <f t="shared" si="57"/>
        <v>37083000</v>
      </c>
      <c r="O85" s="28">
        <f t="shared" si="57"/>
        <v>37083000</v>
      </c>
      <c r="P85" s="28">
        <f t="shared" si="57"/>
        <v>37083000</v>
      </c>
      <c r="Q85" s="27">
        <f t="shared" ref="Q85:U85" si="58">SUM(Q86:Q87)</f>
        <v>37083000</v>
      </c>
      <c r="R85" s="28">
        <f t="shared" si="58"/>
        <v>37083000</v>
      </c>
      <c r="S85" s="28">
        <f t="shared" si="58"/>
        <v>37083000</v>
      </c>
      <c r="T85" s="28">
        <f>SUM(T86:T87)</f>
        <v>37083000</v>
      </c>
      <c r="U85" s="28">
        <f t="shared" si="58"/>
        <v>37083000</v>
      </c>
      <c r="V85" s="1333"/>
      <c r="W85" s="3" t="s">
        <v>530</v>
      </c>
    </row>
    <row r="86" spans="1:23" s="53" customFormat="1" ht="25" customHeight="1" x14ac:dyDescent="0.35">
      <c r="A86" s="357" t="s">
        <v>65</v>
      </c>
      <c r="B86" s="57">
        <v>6427304</v>
      </c>
      <c r="C86" s="56" t="s">
        <v>64</v>
      </c>
      <c r="D86" s="346">
        <v>227812500</v>
      </c>
      <c r="E86" s="188">
        <v>125296875.00000001</v>
      </c>
      <c r="F86" s="319">
        <v>125296875</v>
      </c>
      <c r="G86" s="320">
        <f>SUM(J86:U86)</f>
        <v>250000000.00000003</v>
      </c>
      <c r="H86" s="1314">
        <f t="shared" si="53"/>
        <v>124703125.00000003</v>
      </c>
      <c r="I86" s="227">
        <f t="shared" si="54"/>
        <v>0.99526125452051406</v>
      </c>
      <c r="J86" s="55">
        <f>'Depreciation - MF'!H25</f>
        <v>20833333.333333332</v>
      </c>
      <c r="K86" s="55">
        <f>'Depreciation - MF'!I25</f>
        <v>20833333.333333332</v>
      </c>
      <c r="L86" s="55">
        <f>'Depreciation - MF'!J25</f>
        <v>20833333.333333332</v>
      </c>
      <c r="M86" s="55">
        <f>'Depreciation - MF'!K25</f>
        <v>20833333.333333332</v>
      </c>
      <c r="N86" s="55">
        <f>'Depreciation - MF'!L25</f>
        <v>20833333.333333332</v>
      </c>
      <c r="O86" s="55">
        <f>'Depreciation - MF'!M25</f>
        <v>20833333.333333332</v>
      </c>
      <c r="P86" s="55">
        <f>'Depreciation - MF'!N25</f>
        <v>20833333.333333332</v>
      </c>
      <c r="Q86" s="27">
        <f>'Depreciation - MF'!O25</f>
        <v>20833333.333333332</v>
      </c>
      <c r="R86" s="55">
        <f>'Depreciation - MF'!P25</f>
        <v>20833333.333333332</v>
      </c>
      <c r="S86" s="55">
        <f>'Depreciation - MF'!Q25</f>
        <v>20833333.333333332</v>
      </c>
      <c r="T86" s="55">
        <f>'Depreciation - MF'!R25</f>
        <v>20833333.333333332</v>
      </c>
      <c r="U86" s="55">
        <f>'Depreciation - MF'!S25</f>
        <v>20833333.333333332</v>
      </c>
      <c r="V86" s="1335"/>
      <c r="W86" s="54"/>
    </row>
    <row r="87" spans="1:23" s="53" customFormat="1" ht="25" customHeight="1" x14ac:dyDescent="0.35">
      <c r="A87" s="357" t="s">
        <v>63</v>
      </c>
      <c r="B87" s="57">
        <v>6427304</v>
      </c>
      <c r="C87" s="56" t="s">
        <v>62</v>
      </c>
      <c r="D87" s="346">
        <v>67450000</v>
      </c>
      <c r="E87" s="188">
        <v>26500000</v>
      </c>
      <c r="F87" s="203">
        <v>141502000</v>
      </c>
      <c r="G87" s="226">
        <f>SUM(J87:U87)</f>
        <v>194996000</v>
      </c>
      <c r="H87" s="1312">
        <f t="shared" si="53"/>
        <v>53494000</v>
      </c>
      <c r="I87" s="227">
        <f t="shared" si="54"/>
        <v>0.37804412658478326</v>
      </c>
      <c r="J87" s="55">
        <f>SUM('Depreciation - MF'!H26:H33)</f>
        <v>16249666.666666668</v>
      </c>
      <c r="K87" s="55">
        <f>SUM('Depreciation - MF'!I26:I33)</f>
        <v>16249666.666666668</v>
      </c>
      <c r="L87" s="55">
        <f>SUM('Depreciation - MF'!J26:J33)</f>
        <v>16249666.666666668</v>
      </c>
      <c r="M87" s="55">
        <f>SUM('Depreciation - MF'!K26:K33)</f>
        <v>16249666.666666668</v>
      </c>
      <c r="N87" s="55">
        <f>SUM('Depreciation - MF'!L26:L33)</f>
        <v>16249666.666666668</v>
      </c>
      <c r="O87" s="55">
        <f>SUM('Depreciation - MF'!M26:M33)</f>
        <v>16249666.666666668</v>
      </c>
      <c r="P87" s="55">
        <f>SUM('Depreciation - MF'!N26:N33)</f>
        <v>16249666.666666668</v>
      </c>
      <c r="Q87" s="27">
        <f>SUM('Depreciation - MF'!O26:O33)</f>
        <v>16249666.666666668</v>
      </c>
      <c r="R87" s="55">
        <f>SUM('Depreciation - MF'!P26:P33)</f>
        <v>16249666.666666668</v>
      </c>
      <c r="S87" s="55">
        <f>SUM('Depreciation - MF'!Q26:Q33)</f>
        <v>16249666.666666668</v>
      </c>
      <c r="T87" s="55">
        <f>SUM('Depreciation - MF'!R26:R33)</f>
        <v>16249666.666666668</v>
      </c>
      <c r="U87" s="55">
        <f>SUM('Depreciation - MF'!S26:S33)</f>
        <v>16249666.666666668</v>
      </c>
      <c r="V87" s="1335"/>
      <c r="W87" s="54"/>
    </row>
    <row r="88" spans="1:23" ht="25" customHeight="1" x14ac:dyDescent="0.35">
      <c r="A88" s="356" t="s">
        <v>61</v>
      </c>
      <c r="B88" s="30">
        <v>6427305</v>
      </c>
      <c r="C88" s="64" t="s">
        <v>60</v>
      </c>
      <c r="D88" s="345">
        <v>44700000</v>
      </c>
      <c r="E88" s="188">
        <v>70755691</v>
      </c>
      <c r="F88" s="202">
        <v>81595191</v>
      </c>
      <c r="G88" s="225">
        <f>SUM(J88:U88)</f>
        <v>190300000</v>
      </c>
      <c r="H88" s="1309">
        <f t="shared" si="53"/>
        <v>108704809</v>
      </c>
      <c r="I88" s="222">
        <f t="shared" si="54"/>
        <v>1.3322452912696778</v>
      </c>
      <c r="J88" s="27">
        <f>'Depreciation - MF'!H43</f>
        <v>15858333.333333332</v>
      </c>
      <c r="K88" s="27">
        <f>'Depreciation - MF'!I43</f>
        <v>15858333.333333332</v>
      </c>
      <c r="L88" s="27">
        <f>'Depreciation - MF'!J43</f>
        <v>15858333.333333332</v>
      </c>
      <c r="M88" s="27">
        <f>'Depreciation - MF'!K43</f>
        <v>15858333.333333332</v>
      </c>
      <c r="N88" s="27">
        <f>'Depreciation - MF'!L43</f>
        <v>15858333.333333332</v>
      </c>
      <c r="O88" s="27">
        <f>'Depreciation - MF'!M43</f>
        <v>15858333.333333332</v>
      </c>
      <c r="P88" s="27">
        <f>'Depreciation - MF'!N43</f>
        <v>15858333.333333332</v>
      </c>
      <c r="Q88" s="27">
        <f>'Depreciation - MF'!O43</f>
        <v>15858333.333333332</v>
      </c>
      <c r="R88" s="27">
        <f>'Depreciation - MF'!P43</f>
        <v>15858333.333333332</v>
      </c>
      <c r="S88" s="27">
        <f>'Depreciation - MF'!Q43</f>
        <v>15858333.333333332</v>
      </c>
      <c r="T88" s="27">
        <f>'Depreciation - MF'!R43</f>
        <v>15858333.333333332</v>
      </c>
      <c r="U88" s="27">
        <f>'Depreciation - MF'!S43</f>
        <v>15858333.333333332</v>
      </c>
      <c r="V88" s="1333"/>
      <c r="W88" s="3" t="s">
        <v>530</v>
      </c>
    </row>
    <row r="89" spans="1:23" ht="25" customHeight="1" x14ac:dyDescent="0.35">
      <c r="A89" s="356" t="s">
        <v>59</v>
      </c>
      <c r="B89" s="30">
        <v>6427306</v>
      </c>
      <c r="C89" s="64" t="s">
        <v>58</v>
      </c>
      <c r="D89" s="345">
        <v>58010000</v>
      </c>
      <c r="E89" s="188">
        <v>72098000</v>
      </c>
      <c r="F89" s="202">
        <v>209153540</v>
      </c>
      <c r="G89" s="225">
        <f>SUM(J89:U89)</f>
        <v>388050000.00000006</v>
      </c>
      <c r="H89" s="1309">
        <f t="shared" si="53"/>
        <v>178896460.00000006</v>
      </c>
      <c r="I89" s="222">
        <f t="shared" si="54"/>
        <v>0.85533555874789424</v>
      </c>
      <c r="J89" s="27">
        <f>'Depreciation - MF'!H55</f>
        <v>32337500.000000004</v>
      </c>
      <c r="K89" s="27">
        <f>'Depreciation - MF'!I55</f>
        <v>32337500.000000004</v>
      </c>
      <c r="L89" s="27">
        <f>'Depreciation - MF'!J55</f>
        <v>32337500.000000004</v>
      </c>
      <c r="M89" s="27">
        <f>'Depreciation - MF'!K55</f>
        <v>32337500.000000004</v>
      </c>
      <c r="N89" s="27">
        <f>'Depreciation - MF'!L55</f>
        <v>32337500.000000004</v>
      </c>
      <c r="O89" s="27">
        <f>'Depreciation - MF'!M55</f>
        <v>32337500.000000004</v>
      </c>
      <c r="P89" s="27">
        <f>'Depreciation - MF'!N55</f>
        <v>32337500.000000004</v>
      </c>
      <c r="Q89" s="27">
        <f>'Depreciation - MF'!O55</f>
        <v>32337500.000000004</v>
      </c>
      <c r="R89" s="27">
        <f>'Depreciation - MF'!P55</f>
        <v>32337500.000000004</v>
      </c>
      <c r="S89" s="27">
        <f>'Depreciation - MF'!Q55</f>
        <v>32337500.000000004</v>
      </c>
      <c r="T89" s="27">
        <f>'Depreciation - MF'!R55</f>
        <v>32337500.000000004</v>
      </c>
      <c r="U89" s="27">
        <f>'Depreciation - MF'!S55</f>
        <v>32337500.000000004</v>
      </c>
      <c r="V89" s="1333"/>
      <c r="W89" s="3" t="s">
        <v>530</v>
      </c>
    </row>
    <row r="90" spans="1:23" ht="25" customHeight="1" x14ac:dyDescent="0.35">
      <c r="A90" s="356" t="s">
        <v>57</v>
      </c>
      <c r="B90" s="30">
        <v>6427307</v>
      </c>
      <c r="C90" s="64" t="s">
        <v>56</v>
      </c>
      <c r="D90" s="345">
        <v>242430000</v>
      </c>
      <c r="E90" s="188">
        <v>163224601</v>
      </c>
      <c r="F90" s="202">
        <v>214724601</v>
      </c>
      <c r="G90" s="225">
        <f>SUM(J90:U90)</f>
        <v>363249999.99999994</v>
      </c>
      <c r="H90" s="1309">
        <f t="shared" si="53"/>
        <v>148525398.99999994</v>
      </c>
      <c r="I90" s="222">
        <f t="shared" si="54"/>
        <v>0.69170182786833978</v>
      </c>
      <c r="J90" s="27">
        <f>'Depreciation - MF'!H69</f>
        <v>30270833.333333332</v>
      </c>
      <c r="K90" s="27">
        <f>'Depreciation - MF'!I69</f>
        <v>30270833.333333332</v>
      </c>
      <c r="L90" s="27">
        <f>'Depreciation - MF'!J69</f>
        <v>30270833.333333332</v>
      </c>
      <c r="M90" s="27">
        <f>'Depreciation - MF'!K69</f>
        <v>30270833.333333332</v>
      </c>
      <c r="N90" s="27">
        <f>'Depreciation - MF'!L69</f>
        <v>30270833.333333332</v>
      </c>
      <c r="O90" s="27">
        <f>'Depreciation - MF'!M69</f>
        <v>30270833.333333332</v>
      </c>
      <c r="P90" s="27">
        <f>'Depreciation - MF'!N69</f>
        <v>30270833.333333332</v>
      </c>
      <c r="Q90" s="27">
        <f>'Depreciation - MF'!O69</f>
        <v>30270833.333333332</v>
      </c>
      <c r="R90" s="27">
        <f>'Depreciation - MF'!P69</f>
        <v>30270833.333333332</v>
      </c>
      <c r="S90" s="27">
        <f>'Depreciation - MF'!Q69</f>
        <v>30270833.333333332</v>
      </c>
      <c r="T90" s="27">
        <f>'Depreciation - MF'!R69</f>
        <v>30270833.333333332</v>
      </c>
      <c r="U90" s="27">
        <f>'Depreciation - MF'!S69</f>
        <v>30270833.333333332</v>
      </c>
      <c r="V90" s="1333"/>
      <c r="W90" s="3" t="s">
        <v>530</v>
      </c>
    </row>
    <row r="91" spans="1:23" ht="25" customHeight="1" x14ac:dyDescent="0.35">
      <c r="A91" s="356" t="s">
        <v>55</v>
      </c>
      <c r="B91" s="30"/>
      <c r="C91" s="64" t="s">
        <v>54</v>
      </c>
      <c r="D91" s="345">
        <f>SUM(D92:D93)</f>
        <v>356800000</v>
      </c>
      <c r="E91" s="188">
        <v>203600500</v>
      </c>
      <c r="F91" s="202">
        <f>SUM(F92:F93)</f>
        <v>366289000</v>
      </c>
      <c r="G91" s="225">
        <f>SUM(G92:G93)</f>
        <v>437560000</v>
      </c>
      <c r="H91" s="1309">
        <f t="shared" si="53"/>
        <v>71271000</v>
      </c>
      <c r="I91" s="222">
        <f t="shared" si="54"/>
        <v>0.1945758676891744</v>
      </c>
      <c r="J91" s="28">
        <f t="shared" ref="J91:P91" si="59">SUM(J92:J93)</f>
        <v>36463333.333333328</v>
      </c>
      <c r="K91" s="28">
        <f t="shared" si="59"/>
        <v>36463333.333333328</v>
      </c>
      <c r="L91" s="28">
        <f t="shared" si="59"/>
        <v>36463333.333333328</v>
      </c>
      <c r="M91" s="28">
        <f t="shared" si="59"/>
        <v>36463333.333333328</v>
      </c>
      <c r="N91" s="28">
        <f t="shared" si="59"/>
        <v>36463333.333333328</v>
      </c>
      <c r="O91" s="28">
        <f t="shared" si="59"/>
        <v>36463333.333333328</v>
      </c>
      <c r="P91" s="28">
        <f t="shared" si="59"/>
        <v>36463333.333333328</v>
      </c>
      <c r="Q91" s="27">
        <f t="shared" ref="Q91:U91" si="60">SUM(Q92:Q93)</f>
        <v>36463333.333333328</v>
      </c>
      <c r="R91" s="28">
        <f t="shared" si="60"/>
        <v>36463333.333333328</v>
      </c>
      <c r="S91" s="28">
        <f t="shared" si="60"/>
        <v>36463333.333333328</v>
      </c>
      <c r="T91" s="28">
        <f t="shared" si="60"/>
        <v>36463333.333333328</v>
      </c>
      <c r="U91" s="28">
        <f t="shared" si="60"/>
        <v>36463333.333333328</v>
      </c>
      <c r="V91" s="1333"/>
      <c r="W91" s="3" t="s">
        <v>530</v>
      </c>
    </row>
    <row r="92" spans="1:23" s="53" customFormat="1" ht="25" customHeight="1" x14ac:dyDescent="0.35">
      <c r="A92" s="357" t="s">
        <v>53</v>
      </c>
      <c r="B92" s="57">
        <v>6427308</v>
      </c>
      <c r="C92" s="56" t="s">
        <v>52</v>
      </c>
      <c r="D92" s="346">
        <v>84800000</v>
      </c>
      <c r="E92" s="188">
        <v>0</v>
      </c>
      <c r="F92" s="203">
        <v>0</v>
      </c>
      <c r="G92" s="226">
        <f>SUM(J92:U92)</f>
        <v>264000000</v>
      </c>
      <c r="H92" s="1312">
        <f t="shared" si="53"/>
        <v>264000000</v>
      </c>
      <c r="I92" s="227" t="str">
        <f t="shared" si="54"/>
        <v/>
      </c>
      <c r="J92" s="55">
        <f>'Depreciation - MF'!H71</f>
        <v>22000000</v>
      </c>
      <c r="K92" s="55">
        <f>'Depreciation - MF'!I71</f>
        <v>22000000</v>
      </c>
      <c r="L92" s="55">
        <f>'Depreciation - MF'!J71</f>
        <v>22000000</v>
      </c>
      <c r="M92" s="55">
        <f>'Depreciation - MF'!K71</f>
        <v>22000000</v>
      </c>
      <c r="N92" s="55">
        <f>'Depreciation - MF'!L71</f>
        <v>22000000</v>
      </c>
      <c r="O92" s="55">
        <f>'Depreciation - MF'!M71</f>
        <v>22000000</v>
      </c>
      <c r="P92" s="55">
        <f>'Depreciation - MF'!N71</f>
        <v>22000000</v>
      </c>
      <c r="Q92" s="55">
        <f>'Depreciation - MF'!O71</f>
        <v>22000000</v>
      </c>
      <c r="R92" s="55">
        <f>'Depreciation - MF'!P71</f>
        <v>22000000</v>
      </c>
      <c r="S92" s="55">
        <f>'Depreciation - MF'!Q71</f>
        <v>22000000</v>
      </c>
      <c r="T92" s="55">
        <f>'Depreciation - MF'!R71</f>
        <v>22000000</v>
      </c>
      <c r="U92" s="55">
        <f>'Depreciation - MF'!S71</f>
        <v>22000000</v>
      </c>
      <c r="V92" s="1335" t="s">
        <v>521</v>
      </c>
      <c r="W92" s="54"/>
    </row>
    <row r="93" spans="1:23" s="53" customFormat="1" ht="25" customHeight="1" x14ac:dyDescent="0.35">
      <c r="A93" s="357" t="s">
        <v>51</v>
      </c>
      <c r="B93" s="57">
        <v>6427308</v>
      </c>
      <c r="C93" s="56" t="s">
        <v>50</v>
      </c>
      <c r="D93" s="346">
        <v>272000000</v>
      </c>
      <c r="E93" s="188">
        <v>203600500</v>
      </c>
      <c r="F93" s="203">
        <v>366289000</v>
      </c>
      <c r="G93" s="226">
        <f>SUM(J93:U93)</f>
        <v>173560000</v>
      </c>
      <c r="H93" s="1312">
        <f t="shared" si="53"/>
        <v>-192729000</v>
      </c>
      <c r="I93" s="227">
        <f t="shared" si="54"/>
        <v>-0.52616649694640028</v>
      </c>
      <c r="J93" s="55">
        <f>SUM('Depreciation - MF'!H72:H77)</f>
        <v>14463333.333333332</v>
      </c>
      <c r="K93" s="55">
        <f>SUM('Depreciation - MF'!I72:I77)</f>
        <v>14463333.333333332</v>
      </c>
      <c r="L93" s="55">
        <f>SUM('Depreciation - MF'!J72:J77)</f>
        <v>14463333.333333332</v>
      </c>
      <c r="M93" s="55">
        <f>SUM('Depreciation - MF'!K72:K77)</f>
        <v>14463333.333333332</v>
      </c>
      <c r="N93" s="55">
        <f>SUM('Depreciation - MF'!L72:L77)</f>
        <v>14463333.333333332</v>
      </c>
      <c r="O93" s="55">
        <f>SUM('Depreciation - MF'!M72:M77)</f>
        <v>14463333.333333332</v>
      </c>
      <c r="P93" s="55">
        <f>SUM('Depreciation - MF'!N72:N77)</f>
        <v>14463333.333333332</v>
      </c>
      <c r="Q93" s="55">
        <f>SUM('Depreciation - MF'!O72:O77)</f>
        <v>14463333.333333332</v>
      </c>
      <c r="R93" s="55">
        <f>SUM('Depreciation - MF'!P72:P77)</f>
        <v>14463333.333333332</v>
      </c>
      <c r="S93" s="55">
        <f>SUM('Depreciation - MF'!Q72:Q77)</f>
        <v>14463333.333333332</v>
      </c>
      <c r="T93" s="55">
        <f>SUM('Depreciation - MF'!R72:R77)</f>
        <v>14463333.333333332</v>
      </c>
      <c r="U93" s="55">
        <f>SUM('Depreciation - MF'!S72:S77)</f>
        <v>14463333.333333332</v>
      </c>
      <c r="V93" s="1335"/>
      <c r="W93" s="54"/>
    </row>
    <row r="94" spans="1:23" ht="25" customHeight="1" x14ac:dyDescent="0.35">
      <c r="A94" s="356" t="s">
        <v>49</v>
      </c>
      <c r="B94" s="30"/>
      <c r="C94" s="64" t="s">
        <v>48</v>
      </c>
      <c r="D94" s="345">
        <f t="shared" ref="D94" si="61">SUM(D95:D96)</f>
        <v>253400000</v>
      </c>
      <c r="E94" s="188">
        <v>60521481</v>
      </c>
      <c r="F94" s="202">
        <f>SUM(F95:F96)</f>
        <v>62246481</v>
      </c>
      <c r="G94" s="225">
        <f>SUM(G95:G96)</f>
        <v>378900000.00000006</v>
      </c>
      <c r="H94" s="1309">
        <f t="shared" si="53"/>
        <v>316653519.00000006</v>
      </c>
      <c r="I94" s="222">
        <f t="shared" si="54"/>
        <v>5.0870910919446199</v>
      </c>
      <c r="J94" s="28">
        <f t="shared" ref="J94:P94" si="62">SUM(J95:J96)</f>
        <v>31575000</v>
      </c>
      <c r="K94" s="28">
        <f t="shared" si="62"/>
        <v>31575000</v>
      </c>
      <c r="L94" s="28">
        <f t="shared" si="62"/>
        <v>31575000</v>
      </c>
      <c r="M94" s="28">
        <f t="shared" si="62"/>
        <v>31575000</v>
      </c>
      <c r="N94" s="28">
        <f t="shared" si="62"/>
        <v>31575000</v>
      </c>
      <c r="O94" s="28">
        <f t="shared" si="62"/>
        <v>31575000</v>
      </c>
      <c r="P94" s="28">
        <f t="shared" si="62"/>
        <v>31575000</v>
      </c>
      <c r="Q94" s="27">
        <f t="shared" ref="Q94:U94" si="63">SUM(Q95:Q96)</f>
        <v>31575000</v>
      </c>
      <c r="R94" s="28">
        <f t="shared" si="63"/>
        <v>31575000</v>
      </c>
      <c r="S94" s="28">
        <f t="shared" si="63"/>
        <v>31575000</v>
      </c>
      <c r="T94" s="28">
        <f t="shared" si="63"/>
        <v>31575000</v>
      </c>
      <c r="U94" s="28">
        <f t="shared" si="63"/>
        <v>31575000</v>
      </c>
      <c r="V94" s="1333"/>
      <c r="W94" s="3" t="s">
        <v>530</v>
      </c>
    </row>
    <row r="95" spans="1:23" s="53" customFormat="1" ht="25" customHeight="1" x14ac:dyDescent="0.35">
      <c r="A95" s="357" t="s">
        <v>47</v>
      </c>
      <c r="B95" s="57">
        <v>6427309</v>
      </c>
      <c r="C95" s="56" t="s">
        <v>46</v>
      </c>
      <c r="D95" s="346">
        <v>196400000</v>
      </c>
      <c r="E95" s="188">
        <v>0</v>
      </c>
      <c r="F95" s="203">
        <v>0</v>
      </c>
      <c r="G95" s="226">
        <f>SUM(J95:U95)</f>
        <v>130400000.00000001</v>
      </c>
      <c r="H95" s="1312">
        <f t="shared" si="53"/>
        <v>130400000.00000001</v>
      </c>
      <c r="I95" s="227" t="str">
        <f t="shared" si="54"/>
        <v/>
      </c>
      <c r="J95" s="55">
        <f>'Depreciation - MF'!H80</f>
        <v>10866666.666666666</v>
      </c>
      <c r="K95" s="55">
        <f>'Depreciation - MF'!I80</f>
        <v>10866666.666666666</v>
      </c>
      <c r="L95" s="55">
        <f>'Depreciation - MF'!J80</f>
        <v>10866666.666666666</v>
      </c>
      <c r="M95" s="55">
        <f>'Depreciation - MF'!K80</f>
        <v>10866666.666666666</v>
      </c>
      <c r="N95" s="55">
        <f>'Depreciation - MF'!L80</f>
        <v>10866666.666666666</v>
      </c>
      <c r="O95" s="55">
        <f>'Depreciation - MF'!M80</f>
        <v>10866666.666666666</v>
      </c>
      <c r="P95" s="55">
        <f>'Depreciation - MF'!N80</f>
        <v>10866666.666666666</v>
      </c>
      <c r="Q95" s="27">
        <f>'Depreciation - MF'!O80</f>
        <v>10866666.666666666</v>
      </c>
      <c r="R95" s="55">
        <f>'Depreciation - MF'!P80</f>
        <v>10866666.666666666</v>
      </c>
      <c r="S95" s="55">
        <f>'Depreciation - MF'!Q80</f>
        <v>10866666.666666666</v>
      </c>
      <c r="T95" s="55">
        <f>'Depreciation - MF'!R80</f>
        <v>10866666.666666666</v>
      </c>
      <c r="U95" s="55">
        <f>'Depreciation - MF'!S80</f>
        <v>10866666.666666666</v>
      </c>
      <c r="V95" s="1335" t="s">
        <v>596</v>
      </c>
      <c r="W95" s="54"/>
    </row>
    <row r="96" spans="1:23" s="53" customFormat="1" ht="25" customHeight="1" x14ac:dyDescent="0.35">
      <c r="A96" s="357" t="s">
        <v>45</v>
      </c>
      <c r="B96" s="57">
        <v>6427309</v>
      </c>
      <c r="C96" s="56" t="s">
        <v>44</v>
      </c>
      <c r="D96" s="346">
        <v>57000000</v>
      </c>
      <c r="E96" s="188">
        <v>60521481</v>
      </c>
      <c r="F96" s="203">
        <v>62246481</v>
      </c>
      <c r="G96" s="226">
        <f>SUM(J96:U96)</f>
        <v>248500000.00000003</v>
      </c>
      <c r="H96" s="1312">
        <f t="shared" si="53"/>
        <v>186253519.00000003</v>
      </c>
      <c r="I96" s="227">
        <f t="shared" si="54"/>
        <v>2.9921935506683508</v>
      </c>
      <c r="J96" s="55">
        <f>SUM('Depreciation - MF'!H81:H85)</f>
        <v>20708333.333333332</v>
      </c>
      <c r="K96" s="55">
        <f>SUM('Depreciation - MF'!I81:I85)</f>
        <v>20708333.333333332</v>
      </c>
      <c r="L96" s="55">
        <f>SUM('Depreciation - MF'!J81:J85)</f>
        <v>20708333.333333332</v>
      </c>
      <c r="M96" s="55">
        <f>SUM('Depreciation - MF'!K81:K85)</f>
        <v>20708333.333333332</v>
      </c>
      <c r="N96" s="55">
        <f>SUM('Depreciation - MF'!L81:L85)</f>
        <v>20708333.333333332</v>
      </c>
      <c r="O96" s="55">
        <f>SUM('Depreciation - MF'!M81:M85)</f>
        <v>20708333.333333332</v>
      </c>
      <c r="P96" s="55">
        <f>SUM('Depreciation - MF'!N81:N85)</f>
        <v>20708333.333333332</v>
      </c>
      <c r="Q96" s="55">
        <f>SUM('Depreciation - MF'!O81:O85)</f>
        <v>20708333.333333332</v>
      </c>
      <c r="R96" s="55">
        <f>SUM('Depreciation - MF'!P81:P85)</f>
        <v>20708333.333333332</v>
      </c>
      <c r="S96" s="55">
        <f>SUM('Depreciation - MF'!Q81:Q85)</f>
        <v>20708333.333333332</v>
      </c>
      <c r="T96" s="55">
        <f>SUM('Depreciation - MF'!R81:R85)</f>
        <v>20708333.333333332</v>
      </c>
      <c r="U96" s="55">
        <f>SUM('Depreciation - MF'!S81:S85)</f>
        <v>20708333.333333332</v>
      </c>
      <c r="V96" s="1335"/>
      <c r="W96" s="54"/>
    </row>
    <row r="97" spans="1:23" ht="25" customHeight="1" x14ac:dyDescent="0.35">
      <c r="A97" s="356" t="s">
        <v>37</v>
      </c>
      <c r="B97" s="30"/>
      <c r="C97" s="64" t="s">
        <v>36</v>
      </c>
      <c r="D97" s="345">
        <f>SUM(D98:D99)</f>
        <v>229125000</v>
      </c>
      <c r="E97" s="188">
        <v>105806250.00000001</v>
      </c>
      <c r="F97" s="202">
        <f>SUM(F98:F99)</f>
        <v>105806250</v>
      </c>
      <c r="G97" s="225">
        <f>SUM(G98:G99)</f>
        <v>300000000</v>
      </c>
      <c r="H97" s="1309">
        <f t="shared" si="53"/>
        <v>194193750</v>
      </c>
      <c r="I97" s="222">
        <f t="shared" si="54"/>
        <v>1.835371256423888</v>
      </c>
      <c r="J97" s="28">
        <f>SUM(J98:J99)</f>
        <v>25000000</v>
      </c>
      <c r="K97" s="28">
        <f t="shared" ref="K97:P97" si="64">SUM(K98:K99)</f>
        <v>25000000</v>
      </c>
      <c r="L97" s="28">
        <f t="shared" si="64"/>
        <v>25000000</v>
      </c>
      <c r="M97" s="28">
        <f t="shared" si="64"/>
        <v>25000000</v>
      </c>
      <c r="N97" s="28">
        <f t="shared" si="64"/>
        <v>25000000</v>
      </c>
      <c r="O97" s="28">
        <f t="shared" si="64"/>
        <v>25000000</v>
      </c>
      <c r="P97" s="28">
        <f t="shared" si="64"/>
        <v>25000000</v>
      </c>
      <c r="Q97" s="27">
        <f t="shared" ref="Q97:U97" si="65">SUM(Q98:Q99)</f>
        <v>25000000</v>
      </c>
      <c r="R97" s="28">
        <f t="shared" si="65"/>
        <v>25000000</v>
      </c>
      <c r="S97" s="28">
        <f t="shared" si="65"/>
        <v>25000000</v>
      </c>
      <c r="T97" s="28">
        <f t="shared" si="65"/>
        <v>25000000</v>
      </c>
      <c r="U97" s="28">
        <f t="shared" si="65"/>
        <v>25000000</v>
      </c>
      <c r="V97" s="1333"/>
      <c r="W97" s="3" t="s">
        <v>530</v>
      </c>
    </row>
    <row r="98" spans="1:23" s="53" customFormat="1" ht="25" customHeight="1" x14ac:dyDescent="0.35">
      <c r="A98" s="357" t="s">
        <v>35</v>
      </c>
      <c r="B98" s="30">
        <v>6427311</v>
      </c>
      <c r="C98" s="56" t="s">
        <v>34</v>
      </c>
      <c r="D98" s="346">
        <v>192375000</v>
      </c>
      <c r="E98" s="188">
        <v>105806250.00000001</v>
      </c>
      <c r="F98" s="203">
        <v>105806250</v>
      </c>
      <c r="G98" s="226">
        <f>SUM(J98:U98)</f>
        <v>250000000.00000003</v>
      </c>
      <c r="H98" s="1312">
        <f t="shared" si="53"/>
        <v>144193750.00000003</v>
      </c>
      <c r="I98" s="227">
        <f t="shared" si="54"/>
        <v>1.3628093803532402</v>
      </c>
      <c r="J98" s="55">
        <f>'Depreciation - MF'!H88</f>
        <v>20833333.333333332</v>
      </c>
      <c r="K98" s="55">
        <f>'Depreciation - MF'!I88</f>
        <v>20833333.333333332</v>
      </c>
      <c r="L98" s="55">
        <f>'Depreciation - MF'!J88</f>
        <v>20833333.333333332</v>
      </c>
      <c r="M98" s="55">
        <f>'Depreciation - MF'!K88</f>
        <v>20833333.333333332</v>
      </c>
      <c r="N98" s="55">
        <f>'Depreciation - MF'!L88</f>
        <v>20833333.333333332</v>
      </c>
      <c r="O98" s="55">
        <f>'Depreciation - MF'!M88</f>
        <v>20833333.333333332</v>
      </c>
      <c r="P98" s="55">
        <f>'Depreciation - MF'!N88</f>
        <v>20833333.333333332</v>
      </c>
      <c r="Q98" s="27">
        <f>'Depreciation - MF'!O88</f>
        <v>20833333.333333332</v>
      </c>
      <c r="R98" s="55">
        <f>'Depreciation - MF'!P88</f>
        <v>20833333.333333332</v>
      </c>
      <c r="S98" s="55">
        <f>'Depreciation - MF'!Q88</f>
        <v>20833333.333333332</v>
      </c>
      <c r="T98" s="55">
        <f>'Depreciation - MF'!R88</f>
        <v>20833333.333333332</v>
      </c>
      <c r="U98" s="55">
        <f>'Depreciation - MF'!S88</f>
        <v>20833333.333333332</v>
      </c>
      <c r="V98" s="1335"/>
      <c r="W98" s="54"/>
    </row>
    <row r="99" spans="1:23" s="53" customFormat="1" ht="25" customHeight="1" x14ac:dyDescent="0.35">
      <c r="A99" s="357" t="s">
        <v>33</v>
      </c>
      <c r="B99" s="30">
        <v>6427311</v>
      </c>
      <c r="C99" s="56" t="s">
        <v>32</v>
      </c>
      <c r="D99" s="346">
        <v>36750000</v>
      </c>
      <c r="E99" s="188">
        <v>0</v>
      </c>
      <c r="F99" s="203">
        <v>0</v>
      </c>
      <c r="G99" s="226">
        <f>SUM(J99:U99)</f>
        <v>50000000</v>
      </c>
      <c r="H99" s="1312">
        <f t="shared" si="53"/>
        <v>50000000</v>
      </c>
      <c r="I99" s="227" t="str">
        <f t="shared" si="54"/>
        <v/>
      </c>
      <c r="J99" s="55">
        <f>SUM('Depreciation - MF'!H89:H90)</f>
        <v>4166666.666666667</v>
      </c>
      <c r="K99" s="55">
        <f>SUM('Depreciation - MF'!I89:I90)</f>
        <v>4166666.666666667</v>
      </c>
      <c r="L99" s="55">
        <f>SUM('Depreciation - MF'!J89:J90)</f>
        <v>4166666.666666667</v>
      </c>
      <c r="M99" s="55">
        <f>SUM('Depreciation - MF'!K89:K90)</f>
        <v>4166666.666666667</v>
      </c>
      <c r="N99" s="55">
        <f>SUM('Depreciation - MF'!L89:L90)</f>
        <v>4166666.666666667</v>
      </c>
      <c r="O99" s="55">
        <f>SUM('Depreciation - MF'!M89:M90)</f>
        <v>4166666.666666667</v>
      </c>
      <c r="P99" s="55">
        <f>SUM('Depreciation - MF'!N89:N90)</f>
        <v>4166666.666666667</v>
      </c>
      <c r="Q99" s="27">
        <f>SUM('Depreciation - MF'!O89:O90)</f>
        <v>4166666.666666667</v>
      </c>
      <c r="R99" s="55">
        <f>SUM('Depreciation - MF'!P89:P90)</f>
        <v>4166666.666666667</v>
      </c>
      <c r="S99" s="55">
        <f>SUM('Depreciation - MF'!Q89:Q90)</f>
        <v>4166666.666666667</v>
      </c>
      <c r="T99" s="55">
        <f>SUM('Depreciation - MF'!R89:R90)</f>
        <v>4166666.666666667</v>
      </c>
      <c r="U99" s="55">
        <f>SUM('Depreciation - MF'!S89:S90)</f>
        <v>4166666.666666667</v>
      </c>
      <c r="V99" s="1335"/>
      <c r="W99" s="54"/>
    </row>
    <row r="100" spans="1:23" ht="25" customHeight="1" x14ac:dyDescent="0.35">
      <c r="A100" s="356" t="s">
        <v>43</v>
      </c>
      <c r="B100" s="30"/>
      <c r="C100" s="64" t="s">
        <v>42</v>
      </c>
      <c r="D100" s="345">
        <f>SUM(D101:D102)</f>
        <v>76928000</v>
      </c>
      <c r="E100" s="188">
        <v>94883664</v>
      </c>
      <c r="F100" s="202">
        <f>SUM(F101:F102)</f>
        <v>125658924</v>
      </c>
      <c r="G100" s="225">
        <f>SUM(G101:G102)</f>
        <v>140000000</v>
      </c>
      <c r="H100" s="1309">
        <f t="shared" si="53"/>
        <v>14341076</v>
      </c>
      <c r="I100" s="222">
        <f t="shared" si="54"/>
        <v>0.11412699984602764</v>
      </c>
      <c r="J100" s="28">
        <f>SUM(J101:J102)</f>
        <v>11666666.666666668</v>
      </c>
      <c r="K100" s="28">
        <f t="shared" ref="K100:P100" si="66">SUM(K101:K102)</f>
        <v>11666666.666666668</v>
      </c>
      <c r="L100" s="28">
        <f t="shared" si="66"/>
        <v>11666666.666666668</v>
      </c>
      <c r="M100" s="28">
        <f t="shared" si="66"/>
        <v>11666666.666666668</v>
      </c>
      <c r="N100" s="28">
        <f t="shared" si="66"/>
        <v>11666666.666666668</v>
      </c>
      <c r="O100" s="28">
        <f t="shared" si="66"/>
        <v>11666666.666666668</v>
      </c>
      <c r="P100" s="28">
        <f t="shared" si="66"/>
        <v>11666666.666666668</v>
      </c>
      <c r="Q100" s="27">
        <f t="shared" ref="Q100:U100" si="67">SUM(Q101:Q102)</f>
        <v>11666666.666666668</v>
      </c>
      <c r="R100" s="28">
        <f t="shared" si="67"/>
        <v>11666666.666666668</v>
      </c>
      <c r="S100" s="28">
        <f t="shared" si="67"/>
        <v>11666666.666666668</v>
      </c>
      <c r="T100" s="28">
        <f t="shared" si="67"/>
        <v>11666666.666666668</v>
      </c>
      <c r="U100" s="28">
        <f t="shared" si="67"/>
        <v>11666666.666666668</v>
      </c>
      <c r="V100" s="1333"/>
      <c r="W100" s="3" t="s">
        <v>530</v>
      </c>
    </row>
    <row r="101" spans="1:23" s="53" customFormat="1" ht="25" customHeight="1" x14ac:dyDescent="0.35">
      <c r="A101" s="357" t="s">
        <v>41</v>
      </c>
      <c r="B101" s="57">
        <v>6427310</v>
      </c>
      <c r="C101" s="56" t="s">
        <v>40</v>
      </c>
      <c r="D101" s="346">
        <v>58728000</v>
      </c>
      <c r="E101" s="188">
        <v>48940000</v>
      </c>
      <c r="F101" s="203">
        <v>48940000</v>
      </c>
      <c r="G101" s="226">
        <f>SUM(J101:U101)</f>
        <v>64999999.999999993</v>
      </c>
      <c r="H101" s="1312">
        <f t="shared" si="53"/>
        <v>16059999.999999993</v>
      </c>
      <c r="I101" s="227">
        <f t="shared" si="54"/>
        <v>0.32815692684920295</v>
      </c>
      <c r="J101" s="55">
        <f>'Depreciation - MF'!H93</f>
        <v>5416666.666666667</v>
      </c>
      <c r="K101" s="55">
        <f>'Depreciation - MF'!I93</f>
        <v>5416666.666666667</v>
      </c>
      <c r="L101" s="55">
        <f>'Depreciation - MF'!J93</f>
        <v>5416666.666666667</v>
      </c>
      <c r="M101" s="55">
        <f>'Depreciation - MF'!K93</f>
        <v>5416666.666666667</v>
      </c>
      <c r="N101" s="55">
        <f>'Depreciation - MF'!L93</f>
        <v>5416666.666666667</v>
      </c>
      <c r="O101" s="55">
        <f>'Depreciation - MF'!M93</f>
        <v>5416666.666666667</v>
      </c>
      <c r="P101" s="55">
        <f>'Depreciation - MF'!N93</f>
        <v>5416666.666666667</v>
      </c>
      <c r="Q101" s="55">
        <f>'Depreciation - MF'!O93</f>
        <v>5416666.666666667</v>
      </c>
      <c r="R101" s="55">
        <f>'Depreciation - MF'!P93</f>
        <v>5416666.666666667</v>
      </c>
      <c r="S101" s="55">
        <f>'Depreciation - MF'!Q93</f>
        <v>5416666.666666667</v>
      </c>
      <c r="T101" s="55">
        <f>'Depreciation - MF'!R93</f>
        <v>5416666.666666667</v>
      </c>
      <c r="U101" s="55">
        <f>'Depreciation - MF'!S93</f>
        <v>5416666.666666667</v>
      </c>
      <c r="V101" s="1335" t="s">
        <v>516</v>
      </c>
      <c r="W101" s="54"/>
    </row>
    <row r="102" spans="1:23" s="53" customFormat="1" ht="25" customHeight="1" x14ac:dyDescent="0.35">
      <c r="A102" s="357" t="s">
        <v>39</v>
      </c>
      <c r="B102" s="57">
        <v>6427310</v>
      </c>
      <c r="C102" s="56" t="s">
        <v>38</v>
      </c>
      <c r="D102" s="346">
        <v>18200000</v>
      </c>
      <c r="E102" s="188">
        <v>45943664</v>
      </c>
      <c r="F102" s="203">
        <v>76718924</v>
      </c>
      <c r="G102" s="226">
        <f>SUM(J102:U102)</f>
        <v>75000000</v>
      </c>
      <c r="H102" s="1312">
        <f t="shared" si="53"/>
        <v>-1718924</v>
      </c>
      <c r="I102" s="227">
        <f t="shared" si="54"/>
        <v>-2.240547586407755E-2</v>
      </c>
      <c r="J102" s="55">
        <f>SUM('Depreciation - MF'!H94:H95)</f>
        <v>6250000</v>
      </c>
      <c r="K102" s="55">
        <f>SUM('Depreciation - MF'!I94:I95)</f>
        <v>6250000</v>
      </c>
      <c r="L102" s="55">
        <f>SUM('Depreciation - MF'!J94:J95)</f>
        <v>6250000</v>
      </c>
      <c r="M102" s="55">
        <f>SUM('Depreciation - MF'!K94:K95)</f>
        <v>6250000</v>
      </c>
      <c r="N102" s="55">
        <f>SUM('Depreciation - MF'!L94:L95)</f>
        <v>6250000</v>
      </c>
      <c r="O102" s="55">
        <f>SUM('Depreciation - MF'!M94:M95)</f>
        <v>6250000</v>
      </c>
      <c r="P102" s="55">
        <f>SUM('Depreciation - MF'!N94:N95)</f>
        <v>6250000</v>
      </c>
      <c r="Q102" s="55">
        <f>SUM('Depreciation - MF'!O94:O95)</f>
        <v>6250000</v>
      </c>
      <c r="R102" s="55">
        <f>SUM('Depreciation - MF'!P94:P95)</f>
        <v>6250000</v>
      </c>
      <c r="S102" s="55">
        <f>SUM('Depreciation - MF'!Q94:Q95)</f>
        <v>6250000</v>
      </c>
      <c r="T102" s="55">
        <f>SUM('Depreciation - MF'!R94:R95)</f>
        <v>6250000</v>
      </c>
      <c r="U102" s="55">
        <f>SUM('Depreciation - MF'!S94:S95)</f>
        <v>6250000</v>
      </c>
      <c r="V102" s="1335"/>
      <c r="W102" s="54"/>
    </row>
    <row r="103" spans="1:23" ht="25" customHeight="1" x14ac:dyDescent="0.35">
      <c r="A103" s="356" t="s">
        <v>31</v>
      </c>
      <c r="B103" s="30"/>
      <c r="C103" s="64" t="s">
        <v>30</v>
      </c>
      <c r="D103" s="345">
        <f>SUM(D104:D105)</f>
        <v>169760000</v>
      </c>
      <c r="E103" s="188">
        <v>0</v>
      </c>
      <c r="F103" s="202">
        <f>SUM(F104:F105)</f>
        <v>0</v>
      </c>
      <c r="G103" s="225">
        <f>SUM(G104:G105)</f>
        <v>277650000</v>
      </c>
      <c r="H103" s="1309">
        <f>G103-F103</f>
        <v>277650000</v>
      </c>
      <c r="I103" s="222" t="str">
        <f t="shared" si="54"/>
        <v/>
      </c>
      <c r="J103" s="27">
        <f>SUM(J104:J105)</f>
        <v>23137500</v>
      </c>
      <c r="K103" s="27">
        <f t="shared" ref="K103:P103" si="68">SUM(K104:K105)</f>
        <v>23137500</v>
      </c>
      <c r="L103" s="27">
        <f t="shared" si="68"/>
        <v>23137500</v>
      </c>
      <c r="M103" s="27">
        <f t="shared" si="68"/>
        <v>23137500</v>
      </c>
      <c r="N103" s="27">
        <f t="shared" si="68"/>
        <v>23137500</v>
      </c>
      <c r="O103" s="27">
        <f t="shared" si="68"/>
        <v>23137500</v>
      </c>
      <c r="P103" s="27">
        <f t="shared" si="68"/>
        <v>23137500</v>
      </c>
      <c r="Q103" s="27">
        <f t="shared" ref="Q103:U103" si="69">SUM(Q104:Q105)</f>
        <v>23137500</v>
      </c>
      <c r="R103" s="27">
        <f t="shared" si="69"/>
        <v>23137500</v>
      </c>
      <c r="S103" s="27">
        <f t="shared" si="69"/>
        <v>23137500</v>
      </c>
      <c r="T103" s="27">
        <f t="shared" si="69"/>
        <v>23137500</v>
      </c>
      <c r="U103" s="27">
        <f t="shared" si="69"/>
        <v>23137500</v>
      </c>
      <c r="V103" s="1333"/>
      <c r="W103" s="3" t="s">
        <v>530</v>
      </c>
    </row>
    <row r="104" spans="1:23" s="53" customFormat="1" ht="25" customHeight="1" x14ac:dyDescent="0.35">
      <c r="A104" s="357" t="s">
        <v>29</v>
      </c>
      <c r="B104" s="57"/>
      <c r="C104" s="56" t="s">
        <v>27</v>
      </c>
      <c r="D104" s="346">
        <v>119760000</v>
      </c>
      <c r="E104" s="188">
        <v>0</v>
      </c>
      <c r="F104" s="203">
        <v>0</v>
      </c>
      <c r="G104" s="226">
        <f>SUM(J104:U104)</f>
        <v>227650000.00000003</v>
      </c>
      <c r="H104" s="1312">
        <f t="shared" si="53"/>
        <v>227650000.00000003</v>
      </c>
      <c r="I104" s="227" t="str">
        <f t="shared" si="54"/>
        <v/>
      </c>
      <c r="J104" s="55">
        <f>SUM('Depreciation - MF'!H98:H100)</f>
        <v>18970833.333333332</v>
      </c>
      <c r="K104" s="55">
        <f>SUM('Depreciation - MF'!I98:I100)</f>
        <v>18970833.333333332</v>
      </c>
      <c r="L104" s="55">
        <f>SUM('Depreciation - MF'!J98:J100)</f>
        <v>18970833.333333332</v>
      </c>
      <c r="M104" s="55">
        <f>SUM('Depreciation - MF'!K98:K100)</f>
        <v>18970833.333333332</v>
      </c>
      <c r="N104" s="55">
        <f>SUM('Depreciation - MF'!L98:L100)</f>
        <v>18970833.333333332</v>
      </c>
      <c r="O104" s="55">
        <f>SUM('Depreciation - MF'!M98:M100)</f>
        <v>18970833.333333332</v>
      </c>
      <c r="P104" s="55">
        <f>SUM('Depreciation - MF'!N98:N100)</f>
        <v>18970833.333333332</v>
      </c>
      <c r="Q104" s="27">
        <f>SUM('Depreciation - MF'!O98:O100)</f>
        <v>18970833.333333332</v>
      </c>
      <c r="R104" s="55">
        <f>SUM('Depreciation - MF'!P98:P100)</f>
        <v>18970833.333333332</v>
      </c>
      <c r="S104" s="55">
        <f>SUM('Depreciation - MF'!Q98:Q100)</f>
        <v>18970833.333333332</v>
      </c>
      <c r="T104" s="55">
        <f>SUM('Depreciation - MF'!R98:R100)</f>
        <v>18970833.333333332</v>
      </c>
      <c r="U104" s="55">
        <f>SUM('Depreciation - MF'!S98:S100)</f>
        <v>18970833.333333332</v>
      </c>
      <c r="V104" s="1335"/>
      <c r="W104" s="54"/>
    </row>
    <row r="105" spans="1:23" s="53" customFormat="1" ht="25" customHeight="1" x14ac:dyDescent="0.35">
      <c r="A105" s="357" t="s">
        <v>28</v>
      </c>
      <c r="B105" s="57"/>
      <c r="C105" s="56" t="s">
        <v>529</v>
      </c>
      <c r="D105" s="346">
        <v>49999999.999999993</v>
      </c>
      <c r="E105" s="188">
        <v>0</v>
      </c>
      <c r="F105" s="203">
        <v>0</v>
      </c>
      <c r="G105" s="226">
        <f>SUM(J105:U105)</f>
        <v>49999999.999999993</v>
      </c>
      <c r="H105" s="1312">
        <f t="shared" si="53"/>
        <v>49999999.999999993</v>
      </c>
      <c r="I105" s="227" t="str">
        <f t="shared" si="54"/>
        <v/>
      </c>
      <c r="J105" s="55">
        <f>SUM('Depreciation - MF'!H101)</f>
        <v>4166666.6666666665</v>
      </c>
      <c r="K105" s="55">
        <f>SUM('Depreciation - MF'!I101)</f>
        <v>4166666.6666666665</v>
      </c>
      <c r="L105" s="55">
        <f>SUM('Depreciation - MF'!J101)</f>
        <v>4166666.6666666665</v>
      </c>
      <c r="M105" s="55">
        <f>SUM('Depreciation - MF'!K101)</f>
        <v>4166666.6666666665</v>
      </c>
      <c r="N105" s="55">
        <f>SUM('Depreciation - MF'!L101)</f>
        <v>4166666.6666666665</v>
      </c>
      <c r="O105" s="55">
        <f>SUM('Depreciation - MF'!M101)</f>
        <v>4166666.6666666665</v>
      </c>
      <c r="P105" s="55">
        <f>SUM('Depreciation - MF'!N101)</f>
        <v>4166666.6666666665</v>
      </c>
      <c r="Q105" s="27">
        <f>SUM('Depreciation - MF'!O101)</f>
        <v>4166666.6666666665</v>
      </c>
      <c r="R105" s="55">
        <f>SUM('Depreciation - MF'!P101)</f>
        <v>4166666.6666666665</v>
      </c>
      <c r="S105" s="55">
        <f>SUM('Depreciation - MF'!Q101)</f>
        <v>4166666.6666666665</v>
      </c>
      <c r="T105" s="55">
        <f>SUM('Depreciation - MF'!R101)</f>
        <v>4166666.6666666665</v>
      </c>
      <c r="U105" s="55">
        <f>SUM('Depreciation - MF'!S101)</f>
        <v>4166666.6666666665</v>
      </c>
      <c r="V105" s="1335"/>
      <c r="W105" s="54"/>
    </row>
    <row r="106" spans="1:23" ht="25" customHeight="1" x14ac:dyDescent="0.35">
      <c r="A106" s="356" t="s">
        <v>16</v>
      </c>
      <c r="B106" s="30">
        <v>6427318</v>
      </c>
      <c r="C106" s="64" t="s">
        <v>15</v>
      </c>
      <c r="D106" s="345">
        <v>41000000</v>
      </c>
      <c r="E106" s="188">
        <v>38369830.235485032</v>
      </c>
      <c r="F106" s="202">
        <v>33880163.700000003</v>
      </c>
      <c r="G106" s="225">
        <f>SUM(J106:U106)</f>
        <v>22000000</v>
      </c>
      <c r="H106" s="1309">
        <f t="shared" si="53"/>
        <v>-11880163.700000003</v>
      </c>
      <c r="I106" s="222">
        <f t="shared" si="54"/>
        <v>-0.35065248814013261</v>
      </c>
      <c r="J106" s="27">
        <f>'Depreciation - MF'!H118</f>
        <v>1833333.3333333335</v>
      </c>
      <c r="K106" s="27">
        <f>'Depreciation - MF'!I118</f>
        <v>1833333.3333333335</v>
      </c>
      <c r="L106" s="27">
        <f>'Depreciation - MF'!J118</f>
        <v>1833333.3333333335</v>
      </c>
      <c r="M106" s="27">
        <f>'Depreciation - MF'!K118</f>
        <v>1833333.3333333335</v>
      </c>
      <c r="N106" s="27">
        <f>'Depreciation - MF'!L118</f>
        <v>1833333.3333333335</v>
      </c>
      <c r="O106" s="27">
        <f>'Depreciation - MF'!M118</f>
        <v>1833333.3333333335</v>
      </c>
      <c r="P106" s="27">
        <f>'Depreciation - MF'!N118</f>
        <v>1833333.3333333335</v>
      </c>
      <c r="Q106" s="27">
        <f>'Depreciation - MF'!O118</f>
        <v>1833333.3333333335</v>
      </c>
      <c r="R106" s="27">
        <f>'Depreciation - MF'!P118</f>
        <v>1833333.3333333335</v>
      </c>
      <c r="S106" s="27">
        <f>'Depreciation - MF'!Q118</f>
        <v>1833333.3333333335</v>
      </c>
      <c r="T106" s="27">
        <f>'Depreciation - MF'!R118</f>
        <v>1833333.3333333335</v>
      </c>
      <c r="U106" s="27">
        <f>'Depreciation - MF'!S118</f>
        <v>1833333.3333333335</v>
      </c>
      <c r="V106" s="1333"/>
      <c r="W106" s="3" t="s">
        <v>532</v>
      </c>
    </row>
    <row r="107" spans="1:23" ht="25" customHeight="1" x14ac:dyDescent="0.35">
      <c r="A107" s="356" t="s">
        <v>26</v>
      </c>
      <c r="B107" s="30"/>
      <c r="C107" s="64" t="s">
        <v>25</v>
      </c>
      <c r="D107" s="345">
        <v>7160000</v>
      </c>
      <c r="E107" s="188">
        <v>0</v>
      </c>
      <c r="F107" s="202">
        <v>0</v>
      </c>
      <c r="G107" s="225">
        <f t="shared" ref="G107:G110" si="70">SUM(J107:U107)</f>
        <v>89000000</v>
      </c>
      <c r="H107" s="1309">
        <f t="shared" si="53"/>
        <v>89000000</v>
      </c>
      <c r="I107" s="222" t="str">
        <f t="shared" si="54"/>
        <v/>
      </c>
      <c r="J107" s="27">
        <f>'Depreciation - MF'!H124</f>
        <v>7416666.666666667</v>
      </c>
      <c r="K107" s="27">
        <f>'Depreciation - MF'!I124</f>
        <v>7416666.666666667</v>
      </c>
      <c r="L107" s="27">
        <f>'Depreciation - MF'!J124</f>
        <v>7416666.666666667</v>
      </c>
      <c r="M107" s="27">
        <f>'Depreciation - MF'!K124</f>
        <v>7416666.666666667</v>
      </c>
      <c r="N107" s="27">
        <f>'Depreciation - MF'!L124</f>
        <v>7416666.666666667</v>
      </c>
      <c r="O107" s="27">
        <f>'Depreciation - MF'!M124</f>
        <v>7416666.666666667</v>
      </c>
      <c r="P107" s="27">
        <f>'Depreciation - MF'!N124</f>
        <v>7416666.666666667</v>
      </c>
      <c r="Q107" s="27">
        <f>'Depreciation - MF'!O124</f>
        <v>7416666.666666667</v>
      </c>
      <c r="R107" s="27">
        <f>'Depreciation - MF'!P124</f>
        <v>7416666.666666667</v>
      </c>
      <c r="S107" s="27">
        <f>'Depreciation - MF'!Q124</f>
        <v>7416666.666666667</v>
      </c>
      <c r="T107" s="27">
        <f>'Depreciation - MF'!R124</f>
        <v>7416666.666666667</v>
      </c>
      <c r="U107" s="27">
        <f>'Depreciation - MF'!S124</f>
        <v>7416666.666666667</v>
      </c>
      <c r="V107" s="1333"/>
      <c r="W107" s="3" t="s">
        <v>530</v>
      </c>
    </row>
    <row r="108" spans="1:23" ht="25" customHeight="1" x14ac:dyDescent="0.35">
      <c r="A108" s="356" t="s">
        <v>24</v>
      </c>
      <c r="B108" s="30"/>
      <c r="C108" s="64" t="s">
        <v>23</v>
      </c>
      <c r="D108" s="345">
        <v>9000000</v>
      </c>
      <c r="E108" s="188">
        <v>1477056</v>
      </c>
      <c r="F108" s="202">
        <v>1477056</v>
      </c>
      <c r="G108" s="225">
        <f t="shared" si="70"/>
        <v>12000000</v>
      </c>
      <c r="H108" s="1309">
        <f t="shared" si="53"/>
        <v>10522944</v>
      </c>
      <c r="I108" s="222">
        <f t="shared" si="54"/>
        <v>7.1242688158065777</v>
      </c>
      <c r="J108" s="27">
        <f>'Depreciation - MF'!H128</f>
        <v>1000000</v>
      </c>
      <c r="K108" s="27">
        <f>'Depreciation - MF'!I128</f>
        <v>1000000</v>
      </c>
      <c r="L108" s="27">
        <f>'Depreciation - MF'!J128</f>
        <v>1000000</v>
      </c>
      <c r="M108" s="27">
        <f>'Depreciation - MF'!K128</f>
        <v>1000000</v>
      </c>
      <c r="N108" s="27">
        <f>'Depreciation - MF'!L128</f>
        <v>1000000</v>
      </c>
      <c r="O108" s="27">
        <f>'Depreciation - MF'!M128</f>
        <v>1000000</v>
      </c>
      <c r="P108" s="27">
        <f>'Depreciation - MF'!N128</f>
        <v>1000000</v>
      </c>
      <c r="Q108" s="27">
        <f>'Depreciation - MF'!O128</f>
        <v>1000000</v>
      </c>
      <c r="R108" s="27">
        <f>'Depreciation - MF'!P128</f>
        <v>1000000</v>
      </c>
      <c r="S108" s="27">
        <f>'Depreciation - MF'!Q128</f>
        <v>1000000</v>
      </c>
      <c r="T108" s="27">
        <f>'Depreciation - MF'!R128</f>
        <v>1000000</v>
      </c>
      <c r="U108" s="27">
        <f>'Depreciation - MF'!S128</f>
        <v>1000000</v>
      </c>
      <c r="V108" s="1333"/>
      <c r="W108" s="3" t="s">
        <v>532</v>
      </c>
    </row>
    <row r="109" spans="1:23" ht="25" customHeight="1" x14ac:dyDescent="0.35">
      <c r="A109" s="356" t="s">
        <v>22</v>
      </c>
      <c r="B109" s="30"/>
      <c r="C109" s="64" t="s">
        <v>21</v>
      </c>
      <c r="D109" s="345">
        <v>0</v>
      </c>
      <c r="E109" s="188">
        <v>0</v>
      </c>
      <c r="F109" s="202">
        <v>0</v>
      </c>
      <c r="G109" s="225">
        <f t="shared" si="70"/>
        <v>40000000</v>
      </c>
      <c r="H109" s="1309">
        <f t="shared" si="53"/>
        <v>40000000</v>
      </c>
      <c r="I109" s="222" t="str">
        <f t="shared" si="54"/>
        <v/>
      </c>
      <c r="J109" s="27">
        <f>'Depreciation - MF'!H133</f>
        <v>3333333.3333333335</v>
      </c>
      <c r="K109" s="27">
        <f>'Depreciation - MF'!I133</f>
        <v>3333333.3333333335</v>
      </c>
      <c r="L109" s="27">
        <f>'Depreciation - MF'!J133</f>
        <v>3333333.3333333335</v>
      </c>
      <c r="M109" s="27">
        <f>'Depreciation - MF'!K133</f>
        <v>3333333.3333333335</v>
      </c>
      <c r="N109" s="27">
        <f>'Depreciation - MF'!L133</f>
        <v>3333333.3333333335</v>
      </c>
      <c r="O109" s="27">
        <f>'Depreciation - MF'!M133</f>
        <v>3333333.3333333335</v>
      </c>
      <c r="P109" s="27">
        <f>'Depreciation - MF'!N133</f>
        <v>3333333.3333333335</v>
      </c>
      <c r="Q109" s="27">
        <f>'Depreciation - MF'!O133</f>
        <v>3333333.3333333335</v>
      </c>
      <c r="R109" s="27">
        <f>'Depreciation - MF'!P133</f>
        <v>3333333.3333333335</v>
      </c>
      <c r="S109" s="27">
        <f>'Depreciation - MF'!Q133</f>
        <v>3333333.3333333335</v>
      </c>
      <c r="T109" s="27">
        <f>'Depreciation - MF'!R133</f>
        <v>3333333.3333333335</v>
      </c>
      <c r="U109" s="27">
        <f>'Depreciation - MF'!S133</f>
        <v>3333333.3333333335</v>
      </c>
      <c r="V109" s="1333"/>
      <c r="W109" s="3" t="s">
        <v>530</v>
      </c>
    </row>
    <row r="110" spans="1:23" ht="25" customHeight="1" x14ac:dyDescent="0.35">
      <c r="A110" s="356" t="s">
        <v>20</v>
      </c>
      <c r="B110" s="30">
        <v>6427315</v>
      </c>
      <c r="C110" s="64" t="s">
        <v>19</v>
      </c>
      <c r="D110" s="345">
        <v>30000000</v>
      </c>
      <c r="E110" s="188">
        <v>119415954</v>
      </c>
      <c r="F110" s="202">
        <v>496066655</v>
      </c>
      <c r="G110" s="225">
        <f t="shared" si="70"/>
        <v>727133333.33333313</v>
      </c>
      <c r="H110" s="1309">
        <f t="shared" si="53"/>
        <v>231066678.33333313</v>
      </c>
      <c r="I110" s="222">
        <f t="shared" si="54"/>
        <v>0.46579764232154069</v>
      </c>
      <c r="J110" s="27">
        <f>'Depreciation - MF'!H147</f>
        <v>60594444.44444444</v>
      </c>
      <c r="K110" s="27">
        <f>'Depreciation - MF'!I147</f>
        <v>60594444.44444444</v>
      </c>
      <c r="L110" s="27">
        <f>'Depreciation - MF'!J147</f>
        <v>60594444.44444444</v>
      </c>
      <c r="M110" s="27">
        <f>'Depreciation - MF'!K147</f>
        <v>60594444.44444444</v>
      </c>
      <c r="N110" s="27">
        <f>'Depreciation - MF'!L147</f>
        <v>60594444.44444444</v>
      </c>
      <c r="O110" s="27">
        <f>'Depreciation - MF'!M147</f>
        <v>60594444.44444444</v>
      </c>
      <c r="P110" s="27">
        <f>'Depreciation - MF'!N147</f>
        <v>60594444.44444444</v>
      </c>
      <c r="Q110" s="27">
        <f>'Depreciation - MF'!O147</f>
        <v>60594444.44444444</v>
      </c>
      <c r="R110" s="27">
        <f>'Depreciation - MF'!P147</f>
        <v>60594444.44444444</v>
      </c>
      <c r="S110" s="27">
        <f>'Depreciation - MF'!Q147</f>
        <v>60594444.44444444</v>
      </c>
      <c r="T110" s="27">
        <f>'Depreciation - MF'!R147</f>
        <v>60594444.44444444</v>
      </c>
      <c r="U110" s="27">
        <f>'Depreciation - MF'!S147</f>
        <v>60594444.44444444</v>
      </c>
      <c r="V110" s="1333"/>
      <c r="W110" s="3" t="s">
        <v>530</v>
      </c>
    </row>
    <row r="111" spans="1:23" ht="44.25" customHeight="1" x14ac:dyDescent="0.35">
      <c r="A111" s="356" t="s">
        <v>18</v>
      </c>
      <c r="B111" s="30">
        <v>6427316</v>
      </c>
      <c r="C111" s="64" t="s">
        <v>17</v>
      </c>
      <c r="D111" s="345">
        <v>249000000</v>
      </c>
      <c r="E111" s="188">
        <v>11170763</v>
      </c>
      <c r="F111" s="202">
        <v>53661672.090909094</v>
      </c>
      <c r="G111" s="225">
        <f>SUM(J111:U111)</f>
        <v>147399999.99999997</v>
      </c>
      <c r="H111" s="1309">
        <f t="shared" si="53"/>
        <v>93738327.909090877</v>
      </c>
      <c r="I111" s="222">
        <f t="shared" si="54"/>
        <v>1.7468394900234805</v>
      </c>
      <c r="J111" s="27">
        <f>'Depreciation - MF'!H155</f>
        <v>12283333.333333332</v>
      </c>
      <c r="K111" s="27">
        <f>'Depreciation - MF'!I155</f>
        <v>12283333.333333332</v>
      </c>
      <c r="L111" s="27">
        <f>'Depreciation - MF'!J155</f>
        <v>12283333.333333332</v>
      </c>
      <c r="M111" s="27">
        <f>'Depreciation - MF'!K155</f>
        <v>12283333.333333332</v>
      </c>
      <c r="N111" s="27">
        <f>'Depreciation - MF'!L155</f>
        <v>12283333.333333332</v>
      </c>
      <c r="O111" s="27">
        <f>'Depreciation - MF'!M155</f>
        <v>12283333.333333332</v>
      </c>
      <c r="P111" s="27">
        <f>'Depreciation - MF'!N155</f>
        <v>12283333.333333332</v>
      </c>
      <c r="Q111" s="27">
        <f>'Depreciation - MF'!O155</f>
        <v>12283333.333333332</v>
      </c>
      <c r="R111" s="27">
        <f>'Depreciation - MF'!P155</f>
        <v>12283333.333333332</v>
      </c>
      <c r="S111" s="27">
        <f>'Depreciation - MF'!Q155</f>
        <v>12283333.333333332</v>
      </c>
      <c r="T111" s="27">
        <f>'Depreciation - MF'!R155</f>
        <v>12283333.333333332</v>
      </c>
      <c r="U111" s="27">
        <f>'Depreciation - MF'!S155</f>
        <v>12283333.333333332</v>
      </c>
      <c r="V111" s="1333" t="s">
        <v>522</v>
      </c>
      <c r="W111" s="3" t="s">
        <v>532</v>
      </c>
    </row>
    <row r="112" spans="1:23" ht="25" customHeight="1" x14ac:dyDescent="0.35">
      <c r="A112" s="52"/>
      <c r="B112" s="51"/>
      <c r="C112" s="50" t="s">
        <v>14</v>
      </c>
      <c r="D112" s="999">
        <f>SUM(D80:D81,D82,D85,D88:D90,D91,D94,D100,D97,D103,D106:D111)</f>
        <v>3673895500</v>
      </c>
      <c r="E112" s="49">
        <v>2413679065.2354851</v>
      </c>
      <c r="F112" s="999">
        <f>SUM(F80:F81,F82,F85,F88:F90,F91,F94,F100,F97,F103,F106:F111)</f>
        <v>3515928899.7909088</v>
      </c>
      <c r="G112" s="49">
        <f>SUM(G80:G81,G82,G85,G88:G90,G91,G94,G100,G97,G103,G106:G111)</f>
        <v>5938119333.333333</v>
      </c>
      <c r="H112" s="1310">
        <f>SUM(H80:H81,H82,H85,H88:H90,H91,H94,H100,H97,H103,H106:H111)</f>
        <v>2422190433.5424242</v>
      </c>
      <c r="I112" s="986">
        <f t="shared" si="54"/>
        <v>0.68891906024791094</v>
      </c>
      <c r="J112" s="49">
        <f>SUM(J80:J81,J82,J85,J88:J90,J91,J94,J100,J97,J103,J106:J111)</f>
        <v>486823277.77777773</v>
      </c>
      <c r="K112" s="49">
        <f>SUM(K80:K81,K82,K85,K88:K90,K91,K94,K100,K97,K103,K106:K111)</f>
        <v>486823277.77777773</v>
      </c>
      <c r="L112" s="49">
        <f t="shared" ref="L112:U112" si="71">SUM(L80:L81,L82,L85,L88:L90,L91,L94,L100,L97,L103,L106:L111)</f>
        <v>487423277.77777773</v>
      </c>
      <c r="M112" s="49">
        <f t="shared" si="71"/>
        <v>497383277.77777773</v>
      </c>
      <c r="N112" s="49">
        <f t="shared" si="71"/>
        <v>497383277.77777773</v>
      </c>
      <c r="O112" s="49">
        <f t="shared" si="71"/>
        <v>497383277.77777773</v>
      </c>
      <c r="P112" s="49">
        <f t="shared" si="71"/>
        <v>497383277.77777773</v>
      </c>
      <c r="Q112" s="49">
        <f t="shared" si="71"/>
        <v>497383277.77777773</v>
      </c>
      <c r="R112" s="49">
        <f t="shared" si="71"/>
        <v>497983277.77777773</v>
      </c>
      <c r="S112" s="49">
        <f t="shared" si="71"/>
        <v>497383277.77777773</v>
      </c>
      <c r="T112" s="49">
        <f t="shared" si="71"/>
        <v>497383277.77777773</v>
      </c>
      <c r="U112" s="49">
        <f t="shared" si="71"/>
        <v>497383277.77777773</v>
      </c>
      <c r="V112" s="1328"/>
      <c r="W112" s="3"/>
    </row>
    <row r="113" spans="1:23" s="39" customFormat="1" ht="5.15" customHeight="1" x14ac:dyDescent="0.35">
      <c r="A113" s="358"/>
      <c r="B113" s="43"/>
      <c r="C113" s="63"/>
      <c r="D113" s="193"/>
      <c r="E113" s="63"/>
      <c r="F113" s="193"/>
      <c r="G113" s="61"/>
      <c r="H113" s="1313"/>
      <c r="I113" s="207"/>
      <c r="J113" s="61"/>
      <c r="K113" s="61"/>
      <c r="L113" s="61"/>
      <c r="M113" s="61"/>
      <c r="N113" s="61"/>
      <c r="O113" s="61"/>
      <c r="P113" s="61"/>
      <c r="Q113" s="61"/>
      <c r="R113" s="61"/>
      <c r="S113" s="101"/>
      <c r="T113" s="101"/>
      <c r="U113" s="101"/>
      <c r="V113" s="1325"/>
      <c r="W113" s="40"/>
    </row>
    <row r="114" spans="1:23" s="58" customFormat="1" ht="25" customHeight="1" x14ac:dyDescent="0.35">
      <c r="A114" s="982" t="s">
        <v>13</v>
      </c>
      <c r="B114" s="998"/>
      <c r="C114" s="1003" t="s">
        <v>1093</v>
      </c>
      <c r="D114" s="1000"/>
      <c r="E114" s="23"/>
      <c r="F114" s="1000"/>
      <c r="G114" s="31"/>
      <c r="H114" s="1311"/>
      <c r="I114" s="1002"/>
      <c r="J114" s="32"/>
      <c r="K114" s="32"/>
      <c r="L114" s="32"/>
      <c r="M114" s="32"/>
      <c r="N114" s="32"/>
      <c r="O114" s="32"/>
      <c r="P114" s="32"/>
      <c r="Q114" s="32"/>
      <c r="R114" s="32"/>
      <c r="S114" s="31"/>
      <c r="T114" s="31"/>
      <c r="U114" s="31"/>
      <c r="V114" s="1331"/>
      <c r="W114" s="3"/>
    </row>
    <row r="115" spans="1:23" ht="25" customHeight="1" x14ac:dyDescent="0.35">
      <c r="A115" s="356" t="s">
        <v>12</v>
      </c>
      <c r="B115" s="30">
        <v>64275</v>
      </c>
      <c r="C115" s="29" t="s">
        <v>11</v>
      </c>
      <c r="D115" s="345">
        <v>3085706334</v>
      </c>
      <c r="E115" s="188">
        <v>2664243287.000001</v>
      </c>
      <c r="F115" s="202">
        <f>SUM(F116:F117)</f>
        <v>3332767352.5652175</v>
      </c>
      <c r="G115" s="225">
        <f>SUM(G116:G117)</f>
        <v>3318222341.3333282</v>
      </c>
      <c r="H115" s="1309">
        <f t="shared" ref="H115:H119" si="72">G115-F115</f>
        <v>-14545011.231889248</v>
      </c>
      <c r="I115" s="222">
        <f t="shared" ref="I115:I122" si="73">IF(F115=0,"",(G115-F115)/F115)</f>
        <v>-4.3642443930849272E-3</v>
      </c>
      <c r="J115" s="27">
        <f>SUM(J116:J117)</f>
        <v>276518528.444444</v>
      </c>
      <c r="K115" s="27">
        <f t="shared" ref="K115:P115" si="74">SUM(K116:K117)</f>
        <v>276518528.444444</v>
      </c>
      <c r="L115" s="27">
        <f t="shared" si="74"/>
        <v>276518528.444444</v>
      </c>
      <c r="M115" s="27">
        <f t="shared" si="74"/>
        <v>276518528.444444</v>
      </c>
      <c r="N115" s="27">
        <f t="shared" si="74"/>
        <v>276518528.444444</v>
      </c>
      <c r="O115" s="27">
        <f t="shared" si="74"/>
        <v>276518528.444444</v>
      </c>
      <c r="P115" s="27">
        <f t="shared" si="74"/>
        <v>276518528.444444</v>
      </c>
      <c r="Q115" s="27">
        <f t="shared" ref="Q115:U115" si="75">SUM(Q116:Q117)</f>
        <v>276518528.444444</v>
      </c>
      <c r="R115" s="27">
        <f t="shared" si="75"/>
        <v>276518528.444444</v>
      </c>
      <c r="S115" s="27">
        <f t="shared" si="75"/>
        <v>276518528.444444</v>
      </c>
      <c r="T115" s="27">
        <f t="shared" si="75"/>
        <v>276518528.444444</v>
      </c>
      <c r="U115" s="27">
        <f t="shared" si="75"/>
        <v>276518528.444444</v>
      </c>
      <c r="V115" s="1333"/>
      <c r="W115" s="3"/>
    </row>
    <row r="116" spans="1:23" s="53" customFormat="1" ht="25" customHeight="1" x14ac:dyDescent="0.35">
      <c r="A116" s="357" t="s">
        <v>10</v>
      </c>
      <c r="B116" s="57">
        <v>642751</v>
      </c>
      <c r="C116" s="56" t="s">
        <v>9</v>
      </c>
      <c r="D116" s="346">
        <v>374190924</v>
      </c>
      <c r="E116" s="188">
        <v>309273018.9130435</v>
      </c>
      <c r="F116" s="203">
        <v>489582100.04347813</v>
      </c>
      <c r="G116" s="226">
        <f>SUM(J116:U116)</f>
        <v>480000000</v>
      </c>
      <c r="H116" s="1312">
        <f t="shared" si="72"/>
        <v>-9582100.0434781313</v>
      </c>
      <c r="I116" s="227">
        <f t="shared" si="73"/>
        <v>-1.9571998328017256E-2</v>
      </c>
      <c r="J116" s="55">
        <v>40000000</v>
      </c>
      <c r="K116" s="55">
        <f t="shared" ref="K116:U116" si="76">J116</f>
        <v>40000000</v>
      </c>
      <c r="L116" s="55">
        <f t="shared" si="76"/>
        <v>40000000</v>
      </c>
      <c r="M116" s="55">
        <f t="shared" si="76"/>
        <v>40000000</v>
      </c>
      <c r="N116" s="55">
        <f t="shared" si="76"/>
        <v>40000000</v>
      </c>
      <c r="O116" s="55">
        <f t="shared" si="76"/>
        <v>40000000</v>
      </c>
      <c r="P116" s="55">
        <f t="shared" si="76"/>
        <v>40000000</v>
      </c>
      <c r="Q116" s="55">
        <f t="shared" si="76"/>
        <v>40000000</v>
      </c>
      <c r="R116" s="55">
        <f t="shared" si="76"/>
        <v>40000000</v>
      </c>
      <c r="S116" s="55">
        <f t="shared" si="76"/>
        <v>40000000</v>
      </c>
      <c r="T116" s="55">
        <f t="shared" si="76"/>
        <v>40000000</v>
      </c>
      <c r="U116" s="55">
        <f t="shared" si="76"/>
        <v>40000000</v>
      </c>
      <c r="V116" s="1335"/>
      <c r="W116" s="54" t="s">
        <v>530</v>
      </c>
    </row>
    <row r="117" spans="1:23" s="53" customFormat="1" ht="25" customHeight="1" x14ac:dyDescent="0.35">
      <c r="A117" s="357" t="s">
        <v>8</v>
      </c>
      <c r="B117" s="57">
        <v>642752</v>
      </c>
      <c r="C117" s="56" t="s">
        <v>7</v>
      </c>
      <c r="D117" s="346">
        <v>2711515410</v>
      </c>
      <c r="E117" s="188">
        <v>2354970268.086957</v>
      </c>
      <c r="F117" s="203">
        <v>2843185252.5217395</v>
      </c>
      <c r="G117" s="226">
        <f>SUM(J117:U117)</f>
        <v>2838222341.3333282</v>
      </c>
      <c r="H117" s="1312">
        <f t="shared" si="72"/>
        <v>-4962911.1884112358</v>
      </c>
      <c r="I117" s="227">
        <f t="shared" si="73"/>
        <v>-1.7455461911985591E-3</v>
      </c>
      <c r="J117" s="55">
        <f>J24</f>
        <v>236518528.444444</v>
      </c>
      <c r="K117" s="55">
        <f>K24</f>
        <v>236518528.444444</v>
      </c>
      <c r="L117" s="55">
        <f>L24</f>
        <v>236518528.444444</v>
      </c>
      <c r="M117" s="55">
        <f>M24</f>
        <v>236518528.444444</v>
      </c>
      <c r="N117" s="55">
        <f>N24</f>
        <v>236518528.444444</v>
      </c>
      <c r="O117" s="55">
        <f t="shared" ref="O117:R117" si="77">O24</f>
        <v>236518528.444444</v>
      </c>
      <c r="P117" s="55">
        <f t="shared" si="77"/>
        <v>236518528.444444</v>
      </c>
      <c r="Q117" s="55">
        <f t="shared" si="77"/>
        <v>236518528.444444</v>
      </c>
      <c r="R117" s="55">
        <f t="shared" si="77"/>
        <v>236518528.444444</v>
      </c>
      <c r="S117" s="55">
        <f>S24</f>
        <v>236518528.444444</v>
      </c>
      <c r="T117" s="55">
        <f>T24</f>
        <v>236518528.444444</v>
      </c>
      <c r="U117" s="55">
        <f>U24</f>
        <v>236518528.444444</v>
      </c>
      <c r="V117" s="1335" t="s">
        <v>528</v>
      </c>
      <c r="W117" s="54" t="s">
        <v>530</v>
      </c>
    </row>
    <row r="118" spans="1:23" ht="25" customHeight="1" x14ac:dyDescent="0.35">
      <c r="A118" s="356" t="s">
        <v>6</v>
      </c>
      <c r="B118" s="30">
        <v>64274</v>
      </c>
      <c r="C118" s="29" t="s">
        <v>5</v>
      </c>
      <c r="D118" s="345">
        <v>3874500000</v>
      </c>
      <c r="E118" s="188">
        <v>3207275103.909091</v>
      </c>
      <c r="F118" s="202">
        <v>3862684673.4545455</v>
      </c>
      <c r="G118" s="225">
        <f>SUM(J118:U118)</f>
        <v>4096002700.6155682</v>
      </c>
      <c r="H118" s="1309">
        <f t="shared" si="72"/>
        <v>233318027.16102266</v>
      </c>
      <c r="I118" s="222">
        <f t="shared" si="73"/>
        <v>6.0403073738959256E-2</v>
      </c>
      <c r="J118" s="27">
        <f>321769945.686869*1.0608</f>
        <v>341333558.38463068</v>
      </c>
      <c r="K118" s="27">
        <f>J118</f>
        <v>341333558.38463068</v>
      </c>
      <c r="L118" s="27">
        <f>K118</f>
        <v>341333558.38463068</v>
      </c>
      <c r="M118" s="27">
        <f>L118</f>
        <v>341333558.38463068</v>
      </c>
      <c r="N118" s="27">
        <f>M118</f>
        <v>341333558.38463068</v>
      </c>
      <c r="O118" s="27">
        <f t="shared" ref="O118:U118" si="78">N118</f>
        <v>341333558.38463068</v>
      </c>
      <c r="P118" s="27">
        <f t="shared" si="78"/>
        <v>341333558.38463068</v>
      </c>
      <c r="Q118" s="27">
        <f t="shared" si="78"/>
        <v>341333558.38463068</v>
      </c>
      <c r="R118" s="27">
        <f t="shared" si="78"/>
        <v>341333558.38463068</v>
      </c>
      <c r="S118" s="27">
        <f t="shared" si="78"/>
        <v>341333558.38463068</v>
      </c>
      <c r="T118" s="27">
        <f t="shared" si="78"/>
        <v>341333558.38463068</v>
      </c>
      <c r="U118" s="27">
        <f t="shared" si="78"/>
        <v>341333558.38463068</v>
      </c>
      <c r="V118" s="1333"/>
      <c r="W118" s="3" t="s">
        <v>530</v>
      </c>
    </row>
    <row r="119" spans="1:23" ht="25" customHeight="1" x14ac:dyDescent="0.35">
      <c r="A119" s="356" t="s">
        <v>4</v>
      </c>
      <c r="B119" s="30"/>
      <c r="C119" s="29" t="s">
        <v>3</v>
      </c>
      <c r="D119" s="345">
        <v>0</v>
      </c>
      <c r="E119" s="188">
        <v>0</v>
      </c>
      <c r="F119" s="202">
        <v>55127272.727272719</v>
      </c>
      <c r="G119" s="225">
        <f>SUM(J119:U119)</f>
        <v>60640800.000000007</v>
      </c>
      <c r="H119" s="1309">
        <f t="shared" si="72"/>
        <v>5513527.2727272883</v>
      </c>
      <c r="I119" s="222">
        <f t="shared" si="73"/>
        <v>0.10001451187335123</v>
      </c>
      <c r="J119" s="27">
        <f>'Engineering - Breakdown - MF'!$D$132/12</f>
        <v>5053400.0000000009</v>
      </c>
      <c r="K119" s="27">
        <f>$J$119</f>
        <v>5053400.0000000009</v>
      </c>
      <c r="L119" s="27">
        <f t="shared" ref="L119:U119" si="79">$J$119</f>
        <v>5053400.0000000009</v>
      </c>
      <c r="M119" s="27">
        <f t="shared" si="79"/>
        <v>5053400.0000000009</v>
      </c>
      <c r="N119" s="27">
        <f t="shared" si="79"/>
        <v>5053400.0000000009</v>
      </c>
      <c r="O119" s="27">
        <f t="shared" si="79"/>
        <v>5053400.0000000009</v>
      </c>
      <c r="P119" s="27">
        <f t="shared" si="79"/>
        <v>5053400.0000000009</v>
      </c>
      <c r="Q119" s="27">
        <f t="shared" si="79"/>
        <v>5053400.0000000009</v>
      </c>
      <c r="R119" s="27">
        <f t="shared" si="79"/>
        <v>5053400.0000000009</v>
      </c>
      <c r="S119" s="27">
        <f t="shared" si="79"/>
        <v>5053400.0000000009</v>
      </c>
      <c r="T119" s="27">
        <f t="shared" si="79"/>
        <v>5053400.0000000009</v>
      </c>
      <c r="U119" s="27">
        <f t="shared" si="79"/>
        <v>5053400.0000000009</v>
      </c>
      <c r="V119" s="1336"/>
      <c r="W119" s="3" t="s">
        <v>537</v>
      </c>
    </row>
    <row r="120" spans="1:23" ht="25" customHeight="1" x14ac:dyDescent="0.35">
      <c r="A120" s="52"/>
      <c r="B120" s="51"/>
      <c r="C120" s="50" t="s">
        <v>2</v>
      </c>
      <c r="D120" s="999">
        <f>SUM(D115,D118:D119)</f>
        <v>6960206334</v>
      </c>
      <c r="E120" s="49">
        <v>5871518390.9090919</v>
      </c>
      <c r="F120" s="999">
        <f>SUM(F115,F118:F119)</f>
        <v>7250579298.747036</v>
      </c>
      <c r="G120" s="49">
        <f>SUM(G115,G118:G119)</f>
        <v>7474865841.9488964</v>
      </c>
      <c r="H120" s="1310">
        <f>SUM(H115,H118:H119)</f>
        <v>224286543.2018607</v>
      </c>
      <c r="I120" s="986">
        <f t="shared" si="73"/>
        <v>3.0933603228175038E-2</v>
      </c>
      <c r="J120" s="49">
        <f>SUM(J115,J118:J119)</f>
        <v>622905486.82907462</v>
      </c>
      <c r="K120" s="49">
        <f t="shared" ref="K120:P120" si="80">SUM(K115,K118:K119)</f>
        <v>622905486.82907462</v>
      </c>
      <c r="L120" s="49">
        <f t="shared" si="80"/>
        <v>622905486.82907462</v>
      </c>
      <c r="M120" s="49">
        <f t="shared" si="80"/>
        <v>622905486.82907462</v>
      </c>
      <c r="N120" s="49">
        <f t="shared" si="80"/>
        <v>622905486.82907462</v>
      </c>
      <c r="O120" s="49">
        <f t="shared" si="80"/>
        <v>622905486.82907462</v>
      </c>
      <c r="P120" s="49">
        <f t="shared" si="80"/>
        <v>622905486.82907462</v>
      </c>
      <c r="Q120" s="49">
        <f t="shared" ref="Q120:U120" si="81">SUM(Q115,Q118:Q119)</f>
        <v>622905486.82907462</v>
      </c>
      <c r="R120" s="49">
        <f t="shared" si="81"/>
        <v>622905486.82907462</v>
      </c>
      <c r="S120" s="49">
        <f t="shared" si="81"/>
        <v>622905486.82907462</v>
      </c>
      <c r="T120" s="49">
        <f t="shared" si="81"/>
        <v>622905486.82907462</v>
      </c>
      <c r="U120" s="49">
        <f t="shared" si="81"/>
        <v>622905486.82907462</v>
      </c>
      <c r="V120" s="1328"/>
      <c r="W120" s="3"/>
    </row>
    <row r="121" spans="1:23" s="39" customFormat="1" ht="5.15" customHeight="1" x14ac:dyDescent="0.35">
      <c r="A121" s="41"/>
      <c r="B121" s="48"/>
      <c r="C121" s="47"/>
      <c r="D121" s="194"/>
      <c r="E121" s="46"/>
      <c r="F121" s="194"/>
      <c r="G121" s="46"/>
      <c r="H121" s="348"/>
      <c r="I121" s="206"/>
      <c r="J121" s="46"/>
      <c r="K121" s="46"/>
      <c r="L121" s="46"/>
      <c r="M121" s="46"/>
      <c r="N121" s="46"/>
      <c r="O121" s="46"/>
      <c r="P121" s="46"/>
      <c r="Q121" s="46"/>
      <c r="R121" s="46"/>
      <c r="S121" s="46"/>
      <c r="T121" s="46"/>
      <c r="U121" s="46"/>
      <c r="V121" s="1334"/>
      <c r="W121" s="40"/>
    </row>
    <row r="122" spans="1:23" ht="25" customHeight="1" x14ac:dyDescent="0.35">
      <c r="A122" s="982"/>
      <c r="B122" s="983"/>
      <c r="C122" s="984" t="s">
        <v>1</v>
      </c>
      <c r="D122" s="940">
        <f>D53+D77+D112+D120</f>
        <v>27958504864</v>
      </c>
      <c r="E122" s="52">
        <v>21694428170.003487</v>
      </c>
      <c r="F122" s="52">
        <f>F53+F77+F112+F120</f>
        <v>26732382351.970829</v>
      </c>
      <c r="G122" s="52">
        <f>G53+G77+G112+G120</f>
        <v>30223468426.520325</v>
      </c>
      <c r="H122" s="985">
        <f>H53+H77+H112+H120</f>
        <v>3491086074.5494971</v>
      </c>
      <c r="I122" s="986">
        <f t="shared" si="73"/>
        <v>0.13059390025865455</v>
      </c>
      <c r="J122" s="52">
        <f t="shared" ref="J122:U122" si="82">J53+J77+J112+J120</f>
        <v>2452980630.5837641</v>
      </c>
      <c r="K122" s="52">
        <f t="shared" si="82"/>
        <v>2521200630.5837641</v>
      </c>
      <c r="L122" s="52">
        <f t="shared" si="82"/>
        <v>2496691490.0989161</v>
      </c>
      <c r="M122" s="52">
        <f t="shared" si="82"/>
        <v>2508580630.5837641</v>
      </c>
      <c r="N122" s="52">
        <f t="shared" si="82"/>
        <v>2474210630.5837641</v>
      </c>
      <c r="O122" s="52">
        <f t="shared" si="82"/>
        <v>2457690630.5837641</v>
      </c>
      <c r="P122" s="52">
        <f t="shared" si="82"/>
        <v>2494190630.5837641</v>
      </c>
      <c r="Q122" s="52">
        <f t="shared" si="82"/>
        <v>2431190630.5837641</v>
      </c>
      <c r="R122" s="52">
        <f t="shared" si="82"/>
        <v>2499290630.5837641</v>
      </c>
      <c r="S122" s="52">
        <f t="shared" si="82"/>
        <v>2453560630.5837641</v>
      </c>
      <c r="T122" s="52">
        <f t="shared" si="82"/>
        <v>2808190630.583765</v>
      </c>
      <c r="U122" s="52">
        <f t="shared" si="82"/>
        <v>2625690630.5837641</v>
      </c>
      <c r="V122" s="1328"/>
      <c r="W122" s="98"/>
    </row>
    <row r="123" spans="1:23" s="39" customFormat="1" ht="5.15" customHeight="1" x14ac:dyDescent="0.35">
      <c r="A123" s="358"/>
      <c r="B123" s="43"/>
      <c r="C123" s="42"/>
      <c r="D123" s="192"/>
      <c r="E123" s="41"/>
      <c r="F123" s="192"/>
      <c r="G123" s="41"/>
      <c r="H123" s="1315"/>
      <c r="I123" s="206"/>
      <c r="J123" s="41"/>
      <c r="K123" s="41"/>
      <c r="L123" s="41"/>
      <c r="M123" s="41"/>
      <c r="N123" s="41"/>
      <c r="O123" s="41"/>
      <c r="P123" s="41"/>
      <c r="Q123" s="41"/>
      <c r="R123" s="41"/>
      <c r="S123" s="41"/>
      <c r="T123" s="41"/>
      <c r="U123" s="41"/>
      <c r="V123" s="1334"/>
      <c r="W123" s="40"/>
    </row>
    <row r="124" spans="1:23" s="66" customFormat="1" ht="25" customHeight="1" x14ac:dyDescent="0.35">
      <c r="A124" s="982"/>
      <c r="B124" s="983"/>
      <c r="C124" s="1004" t="s">
        <v>0</v>
      </c>
      <c r="D124" s="940">
        <f>D26-D122</f>
        <v>546561343</v>
      </c>
      <c r="E124" s="49">
        <v>-42306255.245910645</v>
      </c>
      <c r="F124" s="49">
        <f>F26-F122</f>
        <v>51850204.514022827</v>
      </c>
      <c r="G124" s="49">
        <f>G26-G122</f>
        <v>-3869284796.2173233</v>
      </c>
      <c r="H124" s="1310">
        <f>H26-H122</f>
        <v>-3921135000.7313447</v>
      </c>
      <c r="I124" s="986">
        <f>IF(F124=0,"",(G124-F124)/F124)</f>
        <v>-75.624291890128987</v>
      </c>
      <c r="J124" s="49">
        <f t="shared" ref="J124:U124" si="83">J26-J122</f>
        <v>-260131994.72518063</v>
      </c>
      <c r="K124" s="49">
        <f t="shared" si="83"/>
        <v>-318351994.72518063</v>
      </c>
      <c r="L124" s="49">
        <f t="shared" si="83"/>
        <v>-304842854.2403326</v>
      </c>
      <c r="M124" s="49">
        <f t="shared" si="83"/>
        <v>-313731994.72518063</v>
      </c>
      <c r="N124" s="49">
        <f t="shared" si="83"/>
        <v>-271361994.72518063</v>
      </c>
      <c r="O124" s="49">
        <f t="shared" si="83"/>
        <v>-264841994.72518063</v>
      </c>
      <c r="P124" s="49">
        <f t="shared" si="83"/>
        <v>-302341994.72518063</v>
      </c>
      <c r="Q124" s="49">
        <f t="shared" si="83"/>
        <v>-238341994.72518063</v>
      </c>
      <c r="R124" s="49">
        <f t="shared" si="83"/>
        <v>-306441994.72518063</v>
      </c>
      <c r="S124" s="49">
        <f t="shared" si="83"/>
        <v>-260711994.72518063</v>
      </c>
      <c r="T124" s="49">
        <f t="shared" si="83"/>
        <v>-605341994.72518158</v>
      </c>
      <c r="U124" s="49">
        <f t="shared" si="83"/>
        <v>-422841994.72518063</v>
      </c>
      <c r="V124" s="1328"/>
      <c r="W124" s="98"/>
    </row>
    <row r="125" spans="1:23" s="109" customFormat="1" ht="25" customHeight="1" x14ac:dyDescent="0.35">
      <c r="A125" s="1008"/>
      <c r="B125" s="17"/>
      <c r="C125" s="1009"/>
      <c r="D125" s="1010"/>
      <c r="E125" s="1009"/>
      <c r="F125" s="1010"/>
      <c r="G125" s="1011"/>
      <c r="H125" s="1316"/>
      <c r="I125" s="1012"/>
      <c r="J125" s="1011"/>
      <c r="K125" s="1011"/>
      <c r="L125" s="1011"/>
      <c r="M125" s="1011"/>
      <c r="N125" s="1011"/>
      <c r="O125" s="1011"/>
      <c r="P125" s="1013"/>
      <c r="Q125" s="1013"/>
      <c r="R125" s="1013"/>
      <c r="S125" s="1014"/>
      <c r="T125" s="1014"/>
      <c r="V125" s="1337"/>
    </row>
    <row r="126" spans="1:23" s="109" customFormat="1" ht="25" customHeight="1" x14ac:dyDescent="0.35">
      <c r="A126" s="1008"/>
      <c r="B126" s="17"/>
      <c r="C126" s="1009"/>
      <c r="D126" s="1010"/>
      <c r="E126" s="1009"/>
      <c r="F126" s="1010"/>
      <c r="G126" s="1276"/>
      <c r="H126" s="1316"/>
      <c r="I126" s="1012"/>
      <c r="J126" s="1011"/>
      <c r="K126" s="1011"/>
      <c r="L126" s="1011"/>
      <c r="M126" s="1011"/>
      <c r="N126" s="1011"/>
      <c r="O126" s="1011"/>
      <c r="P126" s="1013"/>
      <c r="Q126" s="1013"/>
      <c r="R126" s="1013"/>
      <c r="S126" s="1014"/>
      <c r="T126" s="1014"/>
      <c r="V126" s="1337"/>
    </row>
    <row r="127" spans="1:23" s="109" customFormat="1" ht="25" customHeight="1" x14ac:dyDescent="0.35">
      <c r="A127" s="1042"/>
      <c r="B127" s="1005"/>
      <c r="C127" s="1016"/>
      <c r="D127" s="1017"/>
      <c r="E127" s="1016"/>
      <c r="F127" s="1017"/>
      <c r="G127" s="1018"/>
      <c r="H127" s="1317"/>
      <c r="I127" s="1019"/>
      <c r="J127" s="1018"/>
      <c r="K127" s="1018"/>
      <c r="L127" s="1018"/>
      <c r="M127" s="1018"/>
      <c r="N127" s="1018"/>
      <c r="O127" s="1018"/>
      <c r="P127" s="1020"/>
      <c r="Q127" s="1020"/>
      <c r="R127" s="1020"/>
      <c r="S127" s="1021"/>
      <c r="T127" s="1021"/>
      <c r="U127" s="1005"/>
      <c r="V127" s="1338"/>
    </row>
    <row r="128" spans="1:23" s="109" customFormat="1" ht="25" customHeight="1" x14ac:dyDescent="0.35">
      <c r="A128" s="1023"/>
      <c r="B128" s="17"/>
      <c r="C128" s="1024" t="s">
        <v>1015</v>
      </c>
      <c r="D128" s="1010"/>
      <c r="E128" s="1009"/>
      <c r="F128" s="1010"/>
      <c r="G128" s="1011"/>
      <c r="H128" s="1316"/>
      <c r="I128" s="1012"/>
      <c r="J128" s="1007" t="s">
        <v>1015</v>
      </c>
      <c r="K128" s="1011"/>
      <c r="L128" s="1011"/>
      <c r="M128" s="1011"/>
      <c r="N128" s="1011"/>
      <c r="O128" s="1011"/>
      <c r="P128" s="1037" t="s">
        <v>1015</v>
      </c>
      <c r="Q128" s="1013"/>
      <c r="R128" s="1013"/>
      <c r="S128" s="1014"/>
      <c r="T128" s="1014"/>
      <c r="U128" s="1008" t="s">
        <v>1015</v>
      </c>
      <c r="V128" s="1337"/>
    </row>
    <row r="129" spans="1:22" s="109" customFormat="1" ht="25" customHeight="1" x14ac:dyDescent="0.35">
      <c r="A129" s="1023"/>
      <c r="B129" s="17"/>
      <c r="C129" s="1024"/>
      <c r="D129" s="1010"/>
      <c r="E129" s="1009"/>
      <c r="F129" s="1010"/>
      <c r="G129" s="1011"/>
      <c r="H129" s="1316"/>
      <c r="I129" s="1012"/>
      <c r="J129" s="1007"/>
      <c r="K129" s="1011"/>
      <c r="L129" s="1011"/>
      <c r="M129" s="1011"/>
      <c r="N129" s="1011"/>
      <c r="O129" s="1011"/>
      <c r="P129" s="1037"/>
      <c r="Q129" s="1013"/>
      <c r="R129" s="1013"/>
      <c r="S129" s="1014"/>
      <c r="T129" s="1014"/>
      <c r="U129" s="1008"/>
      <c r="V129" s="1337"/>
    </row>
    <row r="130" spans="1:22" s="109" customFormat="1" ht="25" customHeight="1" x14ac:dyDescent="0.35">
      <c r="A130" s="1023"/>
      <c r="B130" s="17"/>
      <c r="C130" s="1026"/>
      <c r="D130" s="1010"/>
      <c r="E130" s="1009"/>
      <c r="F130" s="1010"/>
      <c r="G130" s="1011"/>
      <c r="H130" s="1316"/>
      <c r="I130" s="1012"/>
      <c r="J130" s="1006"/>
      <c r="K130" s="1011"/>
      <c r="L130" s="1011"/>
      <c r="M130" s="1011"/>
      <c r="N130" s="1011"/>
      <c r="O130" s="1011"/>
      <c r="P130" s="1025"/>
      <c r="Q130" s="1013"/>
      <c r="R130" s="1013"/>
      <c r="S130" s="1014"/>
      <c r="T130" s="1014"/>
      <c r="U130" s="1023"/>
      <c r="V130" s="1337"/>
    </row>
    <row r="131" spans="1:22" s="109" customFormat="1" ht="25" customHeight="1" x14ac:dyDescent="0.35">
      <c r="A131" s="1023"/>
      <c r="B131" s="17"/>
      <c r="C131" s="1026"/>
      <c r="D131" s="1010"/>
      <c r="E131" s="1009"/>
      <c r="F131" s="1010"/>
      <c r="G131" s="1011"/>
      <c r="H131" s="1316"/>
      <c r="I131" s="1012"/>
      <c r="J131" s="1006"/>
      <c r="K131" s="1011"/>
      <c r="L131" s="1011"/>
      <c r="M131" s="1011"/>
      <c r="N131" s="1011"/>
      <c r="O131" s="1011"/>
      <c r="P131" s="1025"/>
      <c r="Q131" s="1013"/>
      <c r="R131" s="1013"/>
      <c r="S131" s="1014"/>
      <c r="T131" s="1014"/>
      <c r="U131" s="1023"/>
      <c r="V131" s="1337"/>
    </row>
    <row r="132" spans="1:22" s="109" customFormat="1" ht="25" customHeight="1" x14ac:dyDescent="0.35">
      <c r="A132" s="1023"/>
      <c r="B132" s="17"/>
      <c r="C132" s="1026" t="s">
        <v>994</v>
      </c>
      <c r="D132" s="1010"/>
      <c r="E132" s="1009"/>
      <c r="F132" s="1010"/>
      <c r="G132" s="1011"/>
      <c r="H132" s="1316"/>
      <c r="I132" s="1012"/>
      <c r="J132" s="1006" t="s">
        <v>995</v>
      </c>
      <c r="K132" s="1011"/>
      <c r="L132" s="1011"/>
      <c r="M132" s="1011"/>
      <c r="N132" s="1011"/>
      <c r="O132" s="1011"/>
      <c r="P132" s="1025" t="s">
        <v>996</v>
      </c>
      <c r="Q132" s="1013"/>
      <c r="R132" s="1013"/>
      <c r="S132" s="1014"/>
      <c r="T132" s="1014"/>
      <c r="U132" s="1023" t="s">
        <v>997</v>
      </c>
      <c r="V132" s="1337"/>
    </row>
    <row r="133" spans="1:22" s="109" customFormat="1" ht="25" customHeight="1" x14ac:dyDescent="0.35">
      <c r="A133" s="1023"/>
      <c r="B133" s="17"/>
      <c r="C133" s="1009"/>
      <c r="D133" s="1010"/>
      <c r="E133" s="1009"/>
      <c r="F133" s="1010"/>
      <c r="G133" s="1011"/>
      <c r="H133" s="1316"/>
      <c r="I133" s="1012"/>
      <c r="J133" s="1011"/>
      <c r="K133" s="1011"/>
      <c r="L133" s="1011"/>
      <c r="M133" s="1011"/>
      <c r="N133" s="1011"/>
      <c r="O133" s="1011"/>
      <c r="P133" s="1013"/>
      <c r="Q133" s="1013"/>
      <c r="R133" s="1013"/>
      <c r="S133" s="1014"/>
      <c r="T133" s="1014"/>
      <c r="V133" s="1337"/>
    </row>
    <row r="134" spans="1:22" s="109" customFormat="1" ht="25" customHeight="1" x14ac:dyDescent="0.35">
      <c r="A134" s="1023"/>
      <c r="B134" s="17"/>
      <c r="C134" s="1009"/>
      <c r="D134" s="1039" t="s">
        <v>1015</v>
      </c>
      <c r="E134" s="1009"/>
      <c r="F134" s="1010"/>
      <c r="G134" s="1011"/>
      <c r="H134" s="1316"/>
      <c r="I134" s="1012"/>
      <c r="J134" s="1011"/>
      <c r="K134" s="1011"/>
      <c r="L134" s="1011"/>
      <c r="M134" s="1007" t="s">
        <v>1015</v>
      </c>
      <c r="N134" s="1011"/>
      <c r="O134" s="1011"/>
      <c r="P134" s="1013"/>
      <c r="Q134" s="1013"/>
      <c r="R134" s="1013"/>
      <c r="S134" s="1038" t="s">
        <v>1015</v>
      </c>
      <c r="T134" s="1014"/>
      <c r="V134" s="1337"/>
    </row>
    <row r="135" spans="1:22" s="109" customFormat="1" ht="25" customHeight="1" x14ac:dyDescent="0.35">
      <c r="A135" s="1023"/>
      <c r="B135" s="17"/>
      <c r="C135" s="1009"/>
      <c r="D135" s="1029"/>
      <c r="E135" s="1009"/>
      <c r="F135" s="1010"/>
      <c r="G135" s="1011"/>
      <c r="H135" s="1316"/>
      <c r="I135" s="1012"/>
      <c r="J135" s="1011"/>
      <c r="K135" s="1011"/>
      <c r="L135" s="1011"/>
      <c r="M135" s="1006"/>
      <c r="N135" s="1011"/>
      <c r="O135" s="1011"/>
      <c r="P135" s="1013"/>
      <c r="Q135" s="1013"/>
      <c r="R135" s="1013"/>
      <c r="S135" s="1028"/>
      <c r="T135" s="1014"/>
      <c r="V135" s="1337"/>
    </row>
    <row r="136" spans="1:22" s="109" customFormat="1" ht="25" customHeight="1" x14ac:dyDescent="0.35">
      <c r="A136" s="1023"/>
      <c r="B136" s="17"/>
      <c r="C136" s="1009"/>
      <c r="D136" s="1029"/>
      <c r="E136" s="1009"/>
      <c r="F136" s="1010"/>
      <c r="G136" s="1011"/>
      <c r="H136" s="1316"/>
      <c r="I136" s="1012"/>
      <c r="J136" s="1011"/>
      <c r="K136" s="1011"/>
      <c r="L136" s="1011"/>
      <c r="M136" s="1006"/>
      <c r="N136" s="1011"/>
      <c r="O136" s="1011"/>
      <c r="P136" s="1013"/>
      <c r="Q136" s="1013"/>
      <c r="R136" s="1013"/>
      <c r="S136" s="1028"/>
      <c r="T136" s="1014"/>
      <c r="V136" s="1337"/>
    </row>
    <row r="137" spans="1:22" s="109" customFormat="1" ht="25" customHeight="1" x14ac:dyDescent="0.35">
      <c r="A137" s="1023"/>
      <c r="B137" s="17"/>
      <c r="C137" s="1009"/>
      <c r="D137" s="1029"/>
      <c r="E137" s="1009"/>
      <c r="F137" s="1010"/>
      <c r="G137" s="1011"/>
      <c r="H137" s="1316"/>
      <c r="I137" s="1012"/>
      <c r="J137" s="1011"/>
      <c r="K137" s="1011"/>
      <c r="L137" s="1011"/>
      <c r="M137" s="1006"/>
      <c r="N137" s="1011"/>
      <c r="O137" s="1011"/>
      <c r="P137" s="1013"/>
      <c r="Q137" s="1013"/>
      <c r="R137" s="1013"/>
      <c r="S137" s="1028"/>
      <c r="T137" s="1014"/>
      <c r="V137" s="1337"/>
    </row>
    <row r="138" spans="1:22" s="109" customFormat="1" ht="25" customHeight="1" x14ac:dyDescent="0.35">
      <c r="A138" s="1023"/>
      <c r="B138" s="17"/>
      <c r="C138" s="1009"/>
      <c r="D138" s="1027" t="s">
        <v>1001</v>
      </c>
      <c r="E138" s="1009"/>
      <c r="F138" s="1010"/>
      <c r="G138" s="1011"/>
      <c r="H138" s="1316"/>
      <c r="I138" s="1012"/>
      <c r="J138" s="1011"/>
      <c r="K138" s="1011"/>
      <c r="L138" s="1011"/>
      <c r="M138" s="1006" t="s">
        <v>1002</v>
      </c>
      <c r="N138" s="1011"/>
      <c r="O138" s="1011"/>
      <c r="P138" s="1013"/>
      <c r="Q138" s="1013"/>
      <c r="R138" s="1013"/>
      <c r="S138" s="1028" t="s">
        <v>1000</v>
      </c>
      <c r="T138" s="1014"/>
      <c r="V138" s="1337"/>
    </row>
    <row r="139" spans="1:22" s="109" customFormat="1" ht="25" customHeight="1" x14ac:dyDescent="0.35">
      <c r="A139" s="1023"/>
      <c r="B139" s="17"/>
      <c r="C139" s="1009"/>
      <c r="D139" s="1010"/>
      <c r="E139" s="1009"/>
      <c r="F139" s="1010"/>
      <c r="G139" s="1011"/>
      <c r="H139" s="1316"/>
      <c r="I139" s="1012"/>
      <c r="J139" s="1011"/>
      <c r="K139" s="1011"/>
      <c r="L139" s="1011"/>
      <c r="M139" s="1011"/>
      <c r="N139" s="1011"/>
      <c r="O139" s="1011"/>
      <c r="P139" s="1013"/>
      <c r="Q139" s="1013"/>
      <c r="R139" s="1013"/>
      <c r="S139" s="1014"/>
      <c r="T139" s="1014"/>
      <c r="V139" s="1337"/>
    </row>
    <row r="140" spans="1:22" s="109" customFormat="1" ht="25" customHeight="1" x14ac:dyDescent="0.35">
      <c r="A140" s="1043"/>
      <c r="B140" s="17"/>
      <c r="C140" s="1009"/>
      <c r="D140" s="1010"/>
      <c r="E140" s="1009"/>
      <c r="F140" s="1010"/>
      <c r="G140" s="1011"/>
      <c r="H140" s="1316"/>
      <c r="I140" s="1012"/>
      <c r="J140" s="1011"/>
      <c r="K140" s="1011"/>
      <c r="L140" s="1011"/>
      <c r="M140" s="1044"/>
      <c r="N140" s="1011"/>
      <c r="O140" s="1011"/>
      <c r="P140" s="1013"/>
      <c r="Q140" s="1013"/>
      <c r="R140" s="1013"/>
      <c r="S140" s="1014"/>
      <c r="T140" s="1014"/>
      <c r="V140" s="1337"/>
    </row>
    <row r="141" spans="1:22" s="109" customFormat="1" ht="25" customHeight="1" x14ac:dyDescent="0.35">
      <c r="A141" s="1023"/>
      <c r="B141" s="17"/>
      <c r="C141" s="1009"/>
      <c r="D141" s="1039" t="s">
        <v>1016</v>
      </c>
      <c r="E141" s="1009"/>
      <c r="F141" s="1010"/>
      <c r="G141" s="1011"/>
      <c r="H141" s="1316"/>
      <c r="I141" s="1012"/>
      <c r="J141" s="1011"/>
      <c r="K141" s="1011"/>
      <c r="L141" s="1011"/>
      <c r="M141" s="1007" t="s">
        <v>1015</v>
      </c>
      <c r="N141" s="1011"/>
      <c r="O141" s="1011"/>
      <c r="P141" s="1013"/>
      <c r="Q141" s="1013"/>
      <c r="R141" s="1013"/>
      <c r="S141" s="1038" t="s">
        <v>1017</v>
      </c>
      <c r="T141" s="1014"/>
      <c r="V141" s="1337"/>
    </row>
    <row r="142" spans="1:22" s="109" customFormat="1" ht="25" customHeight="1" x14ac:dyDescent="0.35">
      <c r="A142" s="1023"/>
      <c r="B142" s="17"/>
      <c r="C142" s="1009"/>
      <c r="D142" s="1027"/>
      <c r="E142" s="1009"/>
      <c r="F142" s="1010"/>
      <c r="G142" s="1011"/>
      <c r="H142" s="1316"/>
      <c r="I142" s="1012"/>
      <c r="J142" s="1011"/>
      <c r="K142" s="1011"/>
      <c r="L142" s="1011"/>
      <c r="M142" s="1011"/>
      <c r="N142" s="1011"/>
      <c r="O142" s="1011"/>
      <c r="P142" s="1013"/>
      <c r="Q142" s="1013"/>
      <c r="R142" s="1013"/>
      <c r="S142" s="1028"/>
      <c r="T142" s="1014"/>
      <c r="V142" s="1337"/>
    </row>
    <row r="143" spans="1:22" s="109" customFormat="1" ht="25" customHeight="1" x14ac:dyDescent="0.35">
      <c r="A143" s="1023"/>
      <c r="B143" s="17"/>
      <c r="C143" s="1009"/>
      <c r="D143" s="1027"/>
      <c r="E143" s="1009"/>
      <c r="F143" s="1010"/>
      <c r="G143" s="1011"/>
      <c r="H143" s="1316"/>
      <c r="I143" s="1012"/>
      <c r="J143" s="1011"/>
      <c r="K143" s="1011"/>
      <c r="L143" s="1011"/>
      <c r="M143" s="1011"/>
      <c r="N143" s="1011"/>
      <c r="O143" s="1011"/>
      <c r="P143" s="1013"/>
      <c r="Q143" s="1013"/>
      <c r="R143" s="1013"/>
      <c r="S143" s="1028"/>
      <c r="T143" s="1014"/>
      <c r="V143" s="1337"/>
    </row>
    <row r="144" spans="1:22" s="109" customFormat="1" ht="25" customHeight="1" x14ac:dyDescent="0.35">
      <c r="A144" s="1023"/>
      <c r="B144" s="17"/>
      <c r="C144" s="1009"/>
      <c r="D144" s="1027"/>
      <c r="E144" s="1009"/>
      <c r="F144" s="1010"/>
      <c r="G144" s="1011"/>
      <c r="H144" s="1316"/>
      <c r="I144" s="1012"/>
      <c r="J144" s="1011"/>
      <c r="K144" s="1011"/>
      <c r="L144" s="1011"/>
      <c r="M144" s="1011"/>
      <c r="N144" s="1011"/>
      <c r="O144" s="1011"/>
      <c r="P144" s="1013"/>
      <c r="Q144" s="1013"/>
      <c r="R144" s="1013"/>
      <c r="S144" s="1028"/>
      <c r="T144" s="1014"/>
      <c r="V144" s="1337"/>
    </row>
    <row r="145" spans="1:22" s="109" customFormat="1" ht="25" customHeight="1" x14ac:dyDescent="0.35">
      <c r="A145" s="1023"/>
      <c r="B145" s="17"/>
      <c r="C145" s="1009"/>
      <c r="D145" s="1027" t="s">
        <v>999</v>
      </c>
      <c r="E145" s="1009"/>
      <c r="F145" s="1010"/>
      <c r="G145" s="1011"/>
      <c r="H145" s="1316"/>
      <c r="I145" s="1012"/>
      <c r="J145" s="1011"/>
      <c r="K145" s="1118" t="s">
        <v>1040</v>
      </c>
      <c r="L145" s="1018"/>
      <c r="M145" s="1118"/>
      <c r="N145" s="1018"/>
      <c r="O145" s="1018"/>
      <c r="P145" s="1013"/>
      <c r="Q145" s="1013"/>
      <c r="R145" s="1013"/>
      <c r="S145" s="1028" t="s">
        <v>1037</v>
      </c>
      <c r="T145" s="1014"/>
      <c r="V145" s="1337"/>
    </row>
    <row r="146" spans="1:22" s="109" customFormat="1" ht="25" customHeight="1" x14ac:dyDescent="0.35">
      <c r="A146" s="1023"/>
      <c r="B146" s="17"/>
      <c r="C146" s="1009"/>
      <c r="D146" s="1010"/>
      <c r="E146" s="1009"/>
      <c r="F146" s="1010"/>
      <c r="G146" s="1011"/>
      <c r="H146" s="1316"/>
      <c r="I146" s="1012"/>
      <c r="J146" s="1011"/>
      <c r="K146" s="1011"/>
      <c r="L146" s="1011"/>
      <c r="M146" s="1011"/>
      <c r="N146" s="1011"/>
      <c r="O146" s="1011"/>
      <c r="P146" s="1013"/>
      <c r="Q146" s="1013"/>
      <c r="R146" s="1013"/>
      <c r="S146" s="1014"/>
      <c r="T146" s="1014"/>
      <c r="V146" s="1337"/>
    </row>
    <row r="147" spans="1:22" s="109" customFormat="1" ht="25" customHeight="1" x14ac:dyDescent="0.35">
      <c r="A147" s="1023"/>
      <c r="B147" s="17"/>
      <c r="C147" s="1009"/>
      <c r="D147" s="1010"/>
      <c r="E147" s="1009"/>
      <c r="F147" s="1010"/>
      <c r="G147" s="1011"/>
      <c r="H147" s="1316"/>
      <c r="I147" s="1012"/>
      <c r="J147" s="1011"/>
      <c r="K147" s="1011"/>
      <c r="L147" s="1011"/>
      <c r="M147" s="1011"/>
      <c r="N147" s="1011"/>
      <c r="O147" s="1011"/>
      <c r="P147" s="1013"/>
      <c r="Q147" s="1013"/>
      <c r="R147" s="1013"/>
      <c r="S147" s="1014"/>
      <c r="T147" s="1014"/>
      <c r="V147" s="1337"/>
    </row>
    <row r="148" spans="1:22" s="109" customFormat="1" ht="25" customHeight="1" x14ac:dyDescent="0.35">
      <c r="A148" s="1023"/>
      <c r="B148" s="17"/>
      <c r="C148" s="1009"/>
      <c r="D148" s="1010"/>
      <c r="E148" s="1009"/>
      <c r="F148" s="1010"/>
      <c r="G148" s="1011"/>
      <c r="H148" s="1316"/>
      <c r="I148" s="1012"/>
      <c r="J148" s="1011"/>
      <c r="K148" s="1011"/>
      <c r="L148" s="1011"/>
      <c r="M148" s="1011"/>
      <c r="N148" s="1011"/>
      <c r="O148" s="1011"/>
      <c r="P148" s="1013"/>
      <c r="Q148" s="1013"/>
      <c r="R148" s="1013"/>
      <c r="S148" s="1014"/>
      <c r="T148" s="1014"/>
      <c r="V148" s="1337"/>
    </row>
    <row r="149" spans="1:22" s="109" customFormat="1" ht="25" customHeight="1" x14ac:dyDescent="0.35">
      <c r="A149" s="1023"/>
      <c r="B149" s="17"/>
      <c r="C149" s="1009"/>
      <c r="D149" s="1010"/>
      <c r="E149" s="1009"/>
      <c r="F149" s="1010"/>
      <c r="G149" s="1011"/>
      <c r="H149" s="1316"/>
      <c r="I149" s="1012"/>
      <c r="J149" s="1011"/>
      <c r="K149" s="1011"/>
      <c r="L149" s="1011"/>
      <c r="M149" s="1011"/>
      <c r="N149" s="1011"/>
      <c r="O149" s="1011"/>
      <c r="P149" s="1013"/>
      <c r="Q149" s="1013"/>
      <c r="R149" s="1013"/>
      <c r="S149" s="1014"/>
      <c r="T149" s="1014"/>
      <c r="V149" s="1337"/>
    </row>
    <row r="150" spans="1:22" s="109" customFormat="1" ht="25" customHeight="1" x14ac:dyDescent="0.35">
      <c r="A150" s="1023"/>
      <c r="B150" s="17"/>
      <c r="C150" s="1030"/>
      <c r="D150" s="1031"/>
      <c r="E150" s="1030"/>
      <c r="F150" s="1031"/>
      <c r="G150" s="1011"/>
      <c r="H150" s="1316"/>
      <c r="I150" s="1032"/>
      <c r="J150" s="1011"/>
      <c r="K150" s="1011"/>
      <c r="L150" s="1011"/>
      <c r="M150" s="1011"/>
      <c r="N150" s="1011"/>
      <c r="O150" s="1011"/>
      <c r="P150" s="1013"/>
      <c r="Q150" s="1013"/>
      <c r="R150" s="1013"/>
      <c r="S150" s="1014"/>
      <c r="T150" s="1014"/>
      <c r="V150" s="1337"/>
    </row>
    <row r="151" spans="1:22" s="109" customFormat="1" ht="25" customHeight="1" x14ac:dyDescent="0.35">
      <c r="A151" s="1023"/>
      <c r="B151" s="17"/>
      <c r="C151" s="1009"/>
      <c r="D151" s="1010"/>
      <c r="E151" s="1009"/>
      <c r="F151" s="1010"/>
      <c r="G151" s="1011"/>
      <c r="H151" s="1316"/>
      <c r="I151" s="1012"/>
      <c r="J151" s="1011"/>
      <c r="K151" s="1011"/>
      <c r="L151" s="1011"/>
      <c r="M151" s="1011"/>
      <c r="N151" s="1011"/>
      <c r="O151" s="1011"/>
      <c r="P151" s="1013"/>
      <c r="Q151" s="1013"/>
      <c r="R151" s="1013"/>
      <c r="S151" s="1014"/>
      <c r="T151" s="1014"/>
      <c r="V151" s="1337"/>
    </row>
    <row r="152" spans="1:22" s="109" customFormat="1" ht="25" customHeight="1" x14ac:dyDescent="0.35">
      <c r="A152" s="1023"/>
      <c r="B152" s="17"/>
      <c r="C152" s="1009"/>
      <c r="D152" s="1010"/>
      <c r="E152" s="1009"/>
      <c r="F152" s="1010"/>
      <c r="G152" s="1011"/>
      <c r="H152" s="1316"/>
      <c r="I152" s="1012"/>
      <c r="J152" s="1011"/>
      <c r="K152" s="1011"/>
      <c r="L152" s="1011"/>
      <c r="M152" s="1011"/>
      <c r="N152" s="1011"/>
      <c r="O152" s="1011"/>
      <c r="P152" s="1013"/>
      <c r="Q152" s="1013"/>
      <c r="R152" s="1013"/>
      <c r="S152" s="1014"/>
      <c r="T152" s="1014"/>
      <c r="V152" s="1337"/>
    </row>
    <row r="153" spans="1:22" s="109" customFormat="1" ht="25" customHeight="1" x14ac:dyDescent="0.35">
      <c r="A153" s="1023"/>
      <c r="B153" s="17"/>
      <c r="C153" s="1009"/>
      <c r="D153" s="1010"/>
      <c r="E153" s="1009"/>
      <c r="F153" s="1010"/>
      <c r="G153" s="1011"/>
      <c r="H153" s="1316"/>
      <c r="I153" s="1012"/>
      <c r="J153" s="1011"/>
      <c r="K153" s="1011"/>
      <c r="L153" s="1011"/>
      <c r="M153" s="1011"/>
      <c r="N153" s="1011"/>
      <c r="O153" s="1011"/>
      <c r="P153" s="1013"/>
      <c r="Q153" s="1013"/>
      <c r="R153" s="1013"/>
      <c r="S153" s="1014"/>
      <c r="T153" s="1014"/>
      <c r="V153" s="1337"/>
    </row>
    <row r="154" spans="1:22" s="109" customFormat="1" ht="25" customHeight="1" x14ac:dyDescent="0.35">
      <c r="A154" s="1023"/>
      <c r="B154" s="17"/>
      <c r="C154" s="1009"/>
      <c r="D154" s="1010"/>
      <c r="E154" s="1009"/>
      <c r="F154" s="1010"/>
      <c r="G154" s="1011"/>
      <c r="H154" s="1316"/>
      <c r="I154" s="1012"/>
      <c r="J154" s="1011"/>
      <c r="K154" s="1011"/>
      <c r="L154" s="1011"/>
      <c r="M154" s="1011"/>
      <c r="N154" s="1011"/>
      <c r="O154" s="1011"/>
      <c r="P154" s="1013"/>
      <c r="Q154" s="1013"/>
      <c r="R154" s="1013"/>
      <c r="S154" s="1014"/>
      <c r="T154" s="1014"/>
      <c r="V154" s="1337"/>
    </row>
    <row r="155" spans="1:22" s="109" customFormat="1" ht="25" customHeight="1" x14ac:dyDescent="0.35">
      <c r="A155" s="1023"/>
      <c r="B155" s="17"/>
      <c r="C155" s="1009"/>
      <c r="D155" s="1010"/>
      <c r="E155" s="1009"/>
      <c r="F155" s="1010"/>
      <c r="G155" s="1011"/>
      <c r="H155" s="1316"/>
      <c r="I155" s="1012"/>
      <c r="J155" s="1011"/>
      <c r="K155" s="1011"/>
      <c r="L155" s="1011"/>
      <c r="M155" s="1011"/>
      <c r="N155" s="1011"/>
      <c r="O155" s="1011"/>
      <c r="P155" s="1013"/>
      <c r="Q155" s="1013"/>
      <c r="R155" s="1013"/>
      <c r="S155" s="1014"/>
      <c r="T155" s="1014"/>
      <c r="V155" s="1337"/>
    </row>
    <row r="156" spans="1:22" s="1033" customFormat="1" ht="25" customHeight="1" x14ac:dyDescent="0.35">
      <c r="A156" s="1023"/>
      <c r="B156" s="17"/>
      <c r="C156" s="1009"/>
      <c r="D156" s="1010"/>
      <c r="E156" s="1009"/>
      <c r="F156" s="1010"/>
      <c r="G156" s="1011"/>
      <c r="H156" s="1316"/>
      <c r="I156" s="1012"/>
      <c r="J156" s="1011"/>
      <c r="K156" s="1011"/>
      <c r="L156" s="1011"/>
      <c r="M156" s="1011"/>
      <c r="N156" s="1011"/>
      <c r="O156" s="1011"/>
      <c r="P156" s="1013"/>
      <c r="Q156" s="1013"/>
      <c r="R156" s="1013"/>
      <c r="S156" s="1014"/>
      <c r="T156" s="1014"/>
      <c r="V156" s="1339"/>
    </row>
    <row r="157" spans="1:22" s="1033" customFormat="1" ht="25" customHeight="1" x14ac:dyDescent="0.35">
      <c r="A157" s="1023"/>
      <c r="B157" s="17"/>
      <c r="C157" s="1030"/>
      <c r="D157" s="1031"/>
      <c r="E157" s="1030"/>
      <c r="F157" s="1031"/>
      <c r="G157" s="1011"/>
      <c r="H157" s="1316"/>
      <c r="I157" s="1032"/>
      <c r="J157" s="1011"/>
      <c r="K157" s="1011"/>
      <c r="L157" s="1011"/>
      <c r="M157" s="1011"/>
      <c r="N157" s="1011"/>
      <c r="O157" s="1011"/>
      <c r="P157" s="1013"/>
      <c r="Q157" s="1013"/>
      <c r="R157" s="1013"/>
      <c r="S157" s="1014"/>
      <c r="T157" s="1014"/>
      <c r="V157" s="1339"/>
    </row>
    <row r="158" spans="1:22" s="1033" customFormat="1" ht="25" customHeight="1" x14ac:dyDescent="0.35">
      <c r="A158" s="1023"/>
      <c r="B158" s="17"/>
      <c r="C158" s="1009"/>
      <c r="D158" s="1010"/>
      <c r="E158" s="1009"/>
      <c r="F158" s="1010"/>
      <c r="G158" s="1011"/>
      <c r="H158" s="1316"/>
      <c r="I158" s="1035"/>
      <c r="J158" s="1011"/>
      <c r="K158" s="1011"/>
      <c r="L158" s="1011"/>
      <c r="M158" s="1011"/>
      <c r="N158" s="1011"/>
      <c r="O158" s="1011"/>
      <c r="P158" s="1013"/>
      <c r="Q158" s="1013"/>
      <c r="R158" s="1013"/>
      <c r="S158" s="1014"/>
      <c r="T158" s="1014"/>
      <c r="V158" s="1339"/>
    </row>
    <row r="159" spans="1:22" s="1033" customFormat="1" ht="25" customHeight="1" x14ac:dyDescent="0.35">
      <c r="A159" s="1023"/>
      <c r="B159" s="17"/>
      <c r="C159" s="1036"/>
      <c r="D159" s="1010"/>
      <c r="E159" s="1036"/>
      <c r="F159" s="1010"/>
      <c r="G159" s="1011"/>
      <c r="H159" s="1316"/>
      <c r="I159" s="1035"/>
      <c r="J159" s="1011"/>
      <c r="K159" s="1011"/>
      <c r="L159" s="1011"/>
      <c r="M159" s="1011"/>
      <c r="N159" s="1011"/>
      <c r="O159" s="1011"/>
      <c r="P159" s="1013"/>
      <c r="Q159" s="1013"/>
      <c r="R159" s="1013"/>
      <c r="S159" s="1014"/>
      <c r="T159" s="1014"/>
      <c r="V159" s="1339"/>
    </row>
    <row r="160" spans="1:22" s="1033" customFormat="1" x14ac:dyDescent="0.35">
      <c r="A160" s="1023"/>
      <c r="B160" s="17"/>
      <c r="C160" s="1036"/>
      <c r="D160" s="1010"/>
      <c r="E160" s="1036"/>
      <c r="F160" s="1010"/>
      <c r="G160" s="1011"/>
      <c r="H160" s="1316"/>
      <c r="I160" s="1035"/>
      <c r="J160" s="1011"/>
      <c r="K160" s="1011"/>
      <c r="L160" s="1011"/>
      <c r="M160" s="1011"/>
      <c r="N160" s="1011"/>
      <c r="O160" s="1011"/>
      <c r="P160" s="1013"/>
      <c r="Q160" s="1013"/>
      <c r="R160" s="1013"/>
      <c r="S160" s="1014"/>
      <c r="T160" s="1014"/>
      <c r="V160" s="1339"/>
    </row>
    <row r="161" spans="1:22" s="1033" customFormat="1" x14ac:dyDescent="0.35">
      <c r="A161" s="1023"/>
      <c r="B161" s="17"/>
      <c r="C161" s="1036"/>
      <c r="D161" s="1010"/>
      <c r="E161" s="1036"/>
      <c r="F161" s="1010"/>
      <c r="G161" s="1011"/>
      <c r="H161" s="1316"/>
      <c r="I161" s="1012"/>
      <c r="J161" s="1011"/>
      <c r="K161" s="1011"/>
      <c r="L161" s="1011"/>
      <c r="M161" s="1011"/>
      <c r="N161" s="1011"/>
      <c r="O161" s="1011"/>
      <c r="P161" s="1013"/>
      <c r="Q161" s="1013"/>
      <c r="R161" s="1013"/>
      <c r="S161" s="1014"/>
      <c r="T161" s="1014"/>
      <c r="V161" s="1339"/>
    </row>
    <row r="162" spans="1:22" s="1033" customFormat="1" x14ac:dyDescent="0.35">
      <c r="A162" s="1023"/>
      <c r="B162" s="17"/>
      <c r="C162" s="1030"/>
      <c r="D162" s="1031"/>
      <c r="E162" s="1030"/>
      <c r="F162" s="1031"/>
      <c r="G162" s="1011"/>
      <c r="H162" s="1316"/>
      <c r="I162" s="1032"/>
      <c r="J162" s="1011"/>
      <c r="K162" s="1011"/>
      <c r="L162" s="1011"/>
      <c r="M162" s="1011"/>
      <c r="N162" s="1011"/>
      <c r="O162" s="1011"/>
      <c r="P162" s="1013"/>
      <c r="Q162" s="1013"/>
      <c r="R162" s="1013"/>
      <c r="S162" s="1014"/>
      <c r="T162" s="1014"/>
      <c r="V162" s="1339"/>
    </row>
    <row r="163" spans="1:22" s="1033" customFormat="1" x14ac:dyDescent="0.35">
      <c r="A163" s="1023"/>
      <c r="B163" s="17"/>
      <c r="C163" s="1009"/>
      <c r="D163" s="1010"/>
      <c r="E163" s="1009"/>
      <c r="F163" s="1010"/>
      <c r="G163" s="1011"/>
      <c r="H163" s="1316"/>
      <c r="I163" s="1012"/>
      <c r="J163" s="1011"/>
      <c r="K163" s="1011"/>
      <c r="L163" s="1011"/>
      <c r="M163" s="1011"/>
      <c r="N163" s="1011"/>
      <c r="O163" s="1011"/>
      <c r="P163" s="1013"/>
      <c r="Q163" s="1013"/>
      <c r="R163" s="1013"/>
      <c r="S163" s="1014"/>
      <c r="T163" s="1014"/>
      <c r="V163" s="1339"/>
    </row>
    <row r="164" spans="1:22" s="1033" customFormat="1" x14ac:dyDescent="0.35">
      <c r="A164" s="1023"/>
      <c r="B164" s="17"/>
      <c r="C164" s="1009"/>
      <c r="D164" s="1010"/>
      <c r="E164" s="1009"/>
      <c r="F164" s="1010"/>
      <c r="G164" s="1011"/>
      <c r="H164" s="1316"/>
      <c r="I164" s="1012"/>
      <c r="J164" s="1011"/>
      <c r="K164" s="1011"/>
      <c r="L164" s="1011"/>
      <c r="M164" s="1011"/>
      <c r="N164" s="1011"/>
      <c r="O164" s="1011"/>
      <c r="P164" s="1013"/>
      <c r="Q164" s="1013"/>
      <c r="R164" s="1013"/>
      <c r="S164" s="1014"/>
      <c r="T164" s="1014"/>
      <c r="V164" s="1339"/>
    </row>
    <row r="165" spans="1:22" s="1033" customFormat="1" x14ac:dyDescent="0.35">
      <c r="A165" s="1023"/>
      <c r="B165" s="17"/>
      <c r="C165" s="1030"/>
      <c r="D165" s="1031"/>
      <c r="E165" s="1030"/>
      <c r="F165" s="1031"/>
      <c r="G165" s="1011"/>
      <c r="H165" s="1316"/>
      <c r="I165" s="1032"/>
      <c r="J165" s="1011"/>
      <c r="K165" s="1011"/>
      <c r="L165" s="1011"/>
      <c r="M165" s="1011"/>
      <c r="N165" s="1011"/>
      <c r="O165" s="1011"/>
      <c r="P165" s="1013"/>
      <c r="Q165" s="1013"/>
      <c r="R165" s="1013"/>
      <c r="S165" s="1014"/>
      <c r="T165" s="1014"/>
      <c r="V165" s="1339"/>
    </row>
    <row r="166" spans="1:22" s="1033" customFormat="1" x14ac:dyDescent="0.35">
      <c r="A166" s="1023"/>
      <c r="B166" s="17"/>
      <c r="C166" s="1009"/>
      <c r="D166" s="1010"/>
      <c r="E166" s="1009"/>
      <c r="F166" s="1010"/>
      <c r="G166" s="1011"/>
      <c r="H166" s="1316"/>
      <c r="I166" s="1012"/>
      <c r="J166" s="1011"/>
      <c r="K166" s="1011"/>
      <c r="L166" s="1011"/>
      <c r="M166" s="1011"/>
      <c r="N166" s="1011"/>
      <c r="O166" s="1011"/>
      <c r="P166" s="1013"/>
      <c r="Q166" s="1013"/>
      <c r="R166" s="1013"/>
      <c r="S166" s="1014"/>
      <c r="T166" s="1014"/>
      <c r="V166" s="1339"/>
    </row>
    <row r="167" spans="1:22" s="9" customFormat="1" x14ac:dyDescent="0.35">
      <c r="A167" s="359"/>
      <c r="B167" s="17"/>
      <c r="C167" s="19"/>
      <c r="D167" s="196"/>
      <c r="E167" s="19"/>
      <c r="F167" s="196"/>
      <c r="G167" s="100"/>
      <c r="H167" s="1316"/>
      <c r="I167" s="18"/>
      <c r="J167" s="100"/>
      <c r="K167" s="100"/>
      <c r="L167" s="100"/>
      <c r="M167" s="100"/>
      <c r="N167" s="100"/>
      <c r="O167" s="100"/>
      <c r="P167" s="105"/>
      <c r="Q167" s="105"/>
      <c r="R167" s="105"/>
      <c r="S167" s="3"/>
      <c r="T167" s="3"/>
      <c r="V167" s="1340"/>
    </row>
    <row r="168" spans="1:22" s="9" customFormat="1" x14ac:dyDescent="0.35">
      <c r="A168" s="359"/>
      <c r="B168" s="17"/>
      <c r="C168" s="13"/>
      <c r="D168" s="195"/>
      <c r="E168" s="13"/>
      <c r="F168" s="195"/>
      <c r="G168" s="100"/>
      <c r="H168" s="1316"/>
      <c r="I168" s="12"/>
      <c r="J168" s="100"/>
      <c r="K168" s="100"/>
      <c r="L168" s="100"/>
      <c r="M168" s="100"/>
      <c r="N168" s="100"/>
      <c r="O168" s="100"/>
      <c r="P168" s="105"/>
      <c r="Q168" s="105"/>
      <c r="R168" s="105"/>
      <c r="S168" s="3"/>
      <c r="T168" s="3"/>
      <c r="V168" s="1340"/>
    </row>
    <row r="169" spans="1:22" s="9" customFormat="1" x14ac:dyDescent="0.35">
      <c r="A169" s="359"/>
      <c r="B169" s="17"/>
      <c r="C169" s="13"/>
      <c r="D169" s="195"/>
      <c r="E169" s="13"/>
      <c r="F169" s="195"/>
      <c r="G169" s="100"/>
      <c r="H169" s="1316"/>
      <c r="I169" s="12"/>
      <c r="J169" s="100"/>
      <c r="K169" s="100"/>
      <c r="L169" s="100"/>
      <c r="M169" s="100"/>
      <c r="N169" s="100"/>
      <c r="O169" s="100"/>
      <c r="P169" s="105"/>
      <c r="Q169" s="105"/>
      <c r="R169" s="105"/>
      <c r="S169" s="3"/>
      <c r="T169" s="3"/>
      <c r="V169" s="1340"/>
    </row>
    <row r="170" spans="1:22" s="9" customFormat="1" x14ac:dyDescent="0.35">
      <c r="A170" s="359"/>
      <c r="B170" s="17"/>
      <c r="C170" s="13"/>
      <c r="D170" s="195"/>
      <c r="E170" s="13"/>
      <c r="F170" s="195"/>
      <c r="G170" s="100"/>
      <c r="H170" s="1316"/>
      <c r="I170" s="12"/>
      <c r="J170" s="100"/>
      <c r="K170" s="100"/>
      <c r="L170" s="100"/>
      <c r="M170" s="100"/>
      <c r="N170" s="100"/>
      <c r="O170" s="100"/>
      <c r="P170" s="105"/>
      <c r="Q170" s="105"/>
      <c r="R170" s="105"/>
      <c r="S170" s="3"/>
      <c r="T170" s="3"/>
      <c r="V170" s="1340"/>
    </row>
    <row r="171" spans="1:22" s="9" customFormat="1" x14ac:dyDescent="0.35">
      <c r="A171" s="359"/>
      <c r="B171" s="17"/>
      <c r="C171" s="13"/>
      <c r="D171" s="195"/>
      <c r="E171" s="13"/>
      <c r="F171" s="195"/>
      <c r="G171" s="100"/>
      <c r="H171" s="1316"/>
      <c r="I171" s="12"/>
      <c r="J171" s="100"/>
      <c r="K171" s="100"/>
      <c r="L171" s="100"/>
      <c r="M171" s="100"/>
      <c r="N171" s="100"/>
      <c r="O171" s="100"/>
      <c r="P171" s="105"/>
      <c r="Q171" s="105"/>
      <c r="R171" s="105"/>
      <c r="S171" s="3"/>
      <c r="T171" s="3"/>
      <c r="V171" s="1340"/>
    </row>
    <row r="172" spans="1:22" s="9" customFormat="1" x14ac:dyDescent="0.35">
      <c r="A172" s="359"/>
      <c r="B172" s="17"/>
      <c r="C172" s="13"/>
      <c r="D172" s="195"/>
      <c r="E172" s="13"/>
      <c r="F172" s="195"/>
      <c r="G172" s="100"/>
      <c r="H172" s="1316"/>
      <c r="I172" s="12"/>
      <c r="J172" s="100"/>
      <c r="K172" s="100"/>
      <c r="L172" s="100"/>
      <c r="M172" s="100"/>
      <c r="N172" s="100"/>
      <c r="O172" s="100"/>
      <c r="P172" s="105"/>
      <c r="Q172" s="105"/>
      <c r="R172" s="105"/>
      <c r="S172" s="3"/>
      <c r="T172" s="3"/>
      <c r="V172" s="1340"/>
    </row>
    <row r="173" spans="1:22" s="9" customFormat="1" x14ac:dyDescent="0.35">
      <c r="A173" s="359"/>
      <c r="B173" s="17"/>
      <c r="C173" s="13"/>
      <c r="D173" s="195"/>
      <c r="E173" s="13"/>
      <c r="F173" s="195"/>
      <c r="G173" s="100"/>
      <c r="H173" s="1316"/>
      <c r="I173" s="12"/>
      <c r="J173" s="100"/>
      <c r="K173" s="100"/>
      <c r="L173" s="100"/>
      <c r="M173" s="100"/>
      <c r="N173" s="100"/>
      <c r="O173" s="100"/>
      <c r="P173" s="105"/>
      <c r="Q173" s="105"/>
      <c r="R173" s="105"/>
      <c r="S173" s="3"/>
      <c r="T173" s="3"/>
      <c r="V173" s="1340"/>
    </row>
    <row r="174" spans="1:22" s="9" customFormat="1" x14ac:dyDescent="0.35">
      <c r="A174" s="359"/>
      <c r="B174" s="17"/>
      <c r="C174" s="13"/>
      <c r="D174" s="195"/>
      <c r="E174" s="13"/>
      <c r="F174" s="195"/>
      <c r="G174" s="100"/>
      <c r="H174" s="1316"/>
      <c r="I174" s="12"/>
      <c r="J174" s="100"/>
      <c r="K174" s="100"/>
      <c r="L174" s="100"/>
      <c r="M174" s="100"/>
      <c r="N174" s="100"/>
      <c r="O174" s="100"/>
      <c r="P174" s="105"/>
      <c r="Q174" s="105"/>
      <c r="R174" s="105"/>
      <c r="S174" s="3"/>
      <c r="T174" s="3"/>
      <c r="V174" s="1340"/>
    </row>
    <row r="175" spans="1:22" s="9" customFormat="1" x14ac:dyDescent="0.35">
      <c r="A175" s="359"/>
      <c r="B175" s="17"/>
      <c r="C175" s="13"/>
      <c r="D175" s="195"/>
      <c r="E175" s="13"/>
      <c r="F175" s="195"/>
      <c r="G175" s="100"/>
      <c r="H175" s="1316"/>
      <c r="I175" s="12"/>
      <c r="J175" s="100"/>
      <c r="K175" s="100"/>
      <c r="L175" s="100"/>
      <c r="M175" s="100"/>
      <c r="N175" s="100"/>
      <c r="O175" s="100"/>
      <c r="P175" s="105"/>
      <c r="Q175" s="105"/>
      <c r="R175" s="105"/>
      <c r="S175" s="3"/>
      <c r="T175" s="3"/>
      <c r="V175" s="1340"/>
    </row>
    <row r="176" spans="1:22" s="9" customFormat="1" x14ac:dyDescent="0.35">
      <c r="A176" s="359"/>
      <c r="B176" s="17"/>
      <c r="C176" s="13"/>
      <c r="D176" s="195"/>
      <c r="E176" s="13"/>
      <c r="F176" s="195"/>
      <c r="G176" s="100"/>
      <c r="H176" s="1316"/>
      <c r="I176" s="14"/>
      <c r="J176" s="100"/>
      <c r="K176" s="100"/>
      <c r="L176" s="100"/>
      <c r="M176" s="100"/>
      <c r="N176" s="100"/>
      <c r="O176" s="100"/>
      <c r="P176" s="105"/>
      <c r="Q176" s="105"/>
      <c r="R176" s="105"/>
      <c r="S176" s="3"/>
      <c r="T176" s="3"/>
      <c r="V176" s="1340"/>
    </row>
    <row r="177" spans="1:22" s="9" customFormat="1" x14ac:dyDescent="0.35">
      <c r="A177" s="359"/>
      <c r="B177" s="17"/>
      <c r="C177" s="13"/>
      <c r="D177" s="195"/>
      <c r="E177" s="13"/>
      <c r="F177" s="195"/>
      <c r="G177" s="100"/>
      <c r="H177" s="1316"/>
      <c r="I177" s="12"/>
      <c r="J177" s="100"/>
      <c r="K177" s="100"/>
      <c r="L177" s="100"/>
      <c r="M177" s="100"/>
      <c r="N177" s="100"/>
      <c r="O177" s="100"/>
      <c r="P177" s="105"/>
      <c r="Q177" s="105"/>
      <c r="R177" s="105"/>
      <c r="S177" s="3"/>
      <c r="T177" s="3"/>
      <c r="V177" s="1340"/>
    </row>
    <row r="178" spans="1:22" s="9" customFormat="1" x14ac:dyDescent="0.35">
      <c r="A178" s="359"/>
      <c r="B178" s="17"/>
      <c r="C178" s="20"/>
      <c r="D178" s="195"/>
      <c r="E178" s="20"/>
      <c r="F178" s="195"/>
      <c r="G178" s="100"/>
      <c r="H178" s="1316"/>
      <c r="I178" s="650"/>
      <c r="J178" s="100"/>
      <c r="K178" s="100"/>
      <c r="L178" s="100"/>
      <c r="M178" s="100"/>
      <c r="N178" s="100"/>
      <c r="O178" s="100"/>
      <c r="P178" s="105"/>
      <c r="Q178" s="105"/>
      <c r="R178" s="105"/>
      <c r="S178" s="3"/>
      <c r="T178" s="3"/>
      <c r="V178" s="1340"/>
    </row>
  </sheetData>
  <autoFilter ref="A6:Y168">
    <filterColumn colId="3" showButton="0"/>
    <filterColumn colId="4" showButton="0"/>
    <filterColumn colId="6" showButton="0"/>
    <filterColumn colId="7" showButton="0"/>
    <filterColumn colId="8" showButton="0"/>
  </autoFilter>
  <mergeCells count="4">
    <mergeCell ref="A6:A7"/>
    <mergeCell ref="C6:C7"/>
    <mergeCell ref="D6:F6"/>
    <mergeCell ref="G6:I6"/>
  </mergeCells>
  <printOptions horizontalCentered="1"/>
  <pageMargins left="0.4" right="0.4" top="0.3" bottom="0.3" header="0.3" footer="0.2"/>
  <pageSetup paperSize="8" scale="60" firstPageNumber="2" fitToHeight="3" orientation="landscape" useFirstPageNumber="1" r:id="rId1"/>
  <headerFooter>
    <oddFooter>&amp;L&amp;F, &amp;A&amp;RPage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AG182"/>
  <sheetViews>
    <sheetView tabSelected="1" zoomScaleNormal="100" workbookViewId="0">
      <pane xSplit="5" ySplit="6" topLeftCell="N7" activePane="bottomRight" state="frozen"/>
      <selection pane="topRight" activeCell="F1" sqref="F1"/>
      <selection pane="bottomLeft" activeCell="A7" sqref="A7"/>
      <selection pane="bottomRight" activeCell="T159" sqref="T159"/>
    </sheetView>
  </sheetViews>
  <sheetFormatPr defaultColWidth="9.1796875" defaultRowHeight="13" x14ac:dyDescent="0.3"/>
  <cols>
    <col min="1" max="1" width="6.54296875" style="1108" customWidth="1"/>
    <col min="2" max="2" width="5" style="658" customWidth="1"/>
    <col min="3" max="3" width="31.26953125" style="121" customWidth="1"/>
    <col min="4" max="4" width="11.7265625" style="130" hidden="1" customWidth="1"/>
    <col min="5" max="5" width="0" style="130" hidden="1" customWidth="1"/>
    <col min="6" max="6" width="14.81640625" style="130" customWidth="1"/>
    <col min="7" max="7" width="11.81640625" style="130" customWidth="1"/>
    <col min="8" max="20" width="14.81640625" style="130" customWidth="1"/>
    <col min="21" max="22" width="14.81640625" style="1064" hidden="1" customWidth="1"/>
    <col min="23" max="23" width="14.81640625" style="130" customWidth="1"/>
    <col min="24" max="25" width="14.81640625" style="1064" hidden="1" customWidth="1"/>
    <col min="26" max="26" width="14.81640625" style="130" customWidth="1"/>
    <col min="27" max="28" width="14.81640625" style="1064" hidden="1" customWidth="1"/>
    <col min="29" max="29" width="14.81640625" style="130" customWidth="1"/>
    <col min="30" max="31" width="14.81640625" style="1064" hidden="1" customWidth="1"/>
    <col min="32" max="32" width="14.81640625" style="130" customWidth="1"/>
    <col min="33" max="33" width="37.1796875" style="1077" customWidth="1"/>
    <col min="34" max="16384" width="9.1796875" style="121"/>
  </cols>
  <sheetData>
    <row r="2" spans="1:33" ht="28.5" customHeight="1" x14ac:dyDescent="0.5">
      <c r="A2" s="1045" t="s">
        <v>1020</v>
      </c>
      <c r="B2" s="1047"/>
      <c r="C2" s="1048"/>
      <c r="D2" s="1049"/>
      <c r="E2" s="1049"/>
      <c r="F2" s="1049"/>
      <c r="G2" s="1049"/>
      <c r="H2" s="1049"/>
      <c r="I2" s="1049"/>
      <c r="J2" s="1049"/>
      <c r="K2" s="1049"/>
      <c r="L2" s="1049"/>
      <c r="M2" s="1049"/>
      <c r="N2" s="1049"/>
      <c r="O2" s="1049"/>
      <c r="P2" s="1049"/>
      <c r="Q2" s="1049"/>
      <c r="R2" s="1049"/>
      <c r="S2" s="1049"/>
      <c r="T2" s="1049"/>
      <c r="U2" s="1063"/>
      <c r="V2" s="1063"/>
      <c r="W2" s="1049"/>
      <c r="X2" s="1063"/>
      <c r="Y2" s="1063"/>
      <c r="Z2" s="1049"/>
      <c r="AA2" s="1063"/>
      <c r="AB2" s="1063"/>
      <c r="AC2" s="1049"/>
      <c r="AD2" s="1063"/>
      <c r="AE2" s="1063"/>
      <c r="AF2" s="1049"/>
      <c r="AG2" s="1083"/>
    </row>
    <row r="4" spans="1:33" ht="5.15" customHeight="1" x14ac:dyDescent="0.3"/>
    <row r="5" spans="1:33" ht="20.25" customHeight="1" x14ac:dyDescent="0.3">
      <c r="A5" s="1109"/>
      <c r="B5" s="1046"/>
      <c r="C5" s="1048"/>
      <c r="D5" s="1049"/>
      <c r="E5" s="1049"/>
      <c r="F5" s="1049"/>
      <c r="G5" s="1049"/>
      <c r="H5" s="1049"/>
      <c r="I5" s="1049"/>
      <c r="J5" s="1049"/>
      <c r="K5" s="1049"/>
      <c r="L5" s="1049"/>
      <c r="M5" s="1049"/>
      <c r="N5" s="1049"/>
      <c r="O5" s="1049"/>
      <c r="P5" s="1049"/>
      <c r="Q5" s="1049"/>
      <c r="R5" s="1049"/>
      <c r="S5" s="1049"/>
      <c r="T5" s="1049"/>
      <c r="U5" s="1063"/>
      <c r="V5" s="1063"/>
      <c r="W5" s="1049"/>
      <c r="X5" s="1063"/>
      <c r="Y5" s="1063"/>
      <c r="Z5" s="1049"/>
      <c r="AA5" s="1063"/>
      <c r="AB5" s="1063"/>
      <c r="AC5" s="1049"/>
      <c r="AD5" s="1063"/>
      <c r="AE5" s="1063"/>
      <c r="AF5" s="1049"/>
    </row>
    <row r="6" spans="1:33" s="657" customFormat="1" ht="26" x14ac:dyDescent="0.35">
      <c r="A6" s="1110" t="s">
        <v>1021</v>
      </c>
      <c r="B6" s="653"/>
      <c r="C6" s="653" t="s">
        <v>1022</v>
      </c>
      <c r="D6" s="654" t="s">
        <v>539</v>
      </c>
      <c r="E6" s="654" t="s">
        <v>540</v>
      </c>
      <c r="F6" s="654" t="s">
        <v>1023</v>
      </c>
      <c r="G6" s="654" t="s">
        <v>543</v>
      </c>
      <c r="H6" s="655">
        <v>43101</v>
      </c>
      <c r="I6" s="655">
        <f t="shared" ref="I6:S6" si="0">H6+31</f>
        <v>43132</v>
      </c>
      <c r="J6" s="655">
        <f t="shared" si="0"/>
        <v>43163</v>
      </c>
      <c r="K6" s="655">
        <f t="shared" si="0"/>
        <v>43194</v>
      </c>
      <c r="L6" s="655">
        <f t="shared" si="0"/>
        <v>43225</v>
      </c>
      <c r="M6" s="656">
        <f t="shared" si="0"/>
        <v>43256</v>
      </c>
      <c r="N6" s="656">
        <f t="shared" si="0"/>
        <v>43287</v>
      </c>
      <c r="O6" s="656">
        <f t="shared" si="0"/>
        <v>43318</v>
      </c>
      <c r="P6" s="656">
        <f t="shared" si="0"/>
        <v>43349</v>
      </c>
      <c r="Q6" s="656">
        <f t="shared" si="0"/>
        <v>43380</v>
      </c>
      <c r="R6" s="656">
        <f t="shared" si="0"/>
        <v>43411</v>
      </c>
      <c r="S6" s="656">
        <f t="shared" si="0"/>
        <v>43442</v>
      </c>
      <c r="T6" s="654" t="s">
        <v>616</v>
      </c>
      <c r="U6" s="1065" t="s">
        <v>1028</v>
      </c>
      <c r="V6" s="1066" t="s">
        <v>1029</v>
      </c>
      <c r="W6" s="654" t="s">
        <v>1024</v>
      </c>
      <c r="X6" s="1065" t="s">
        <v>1030</v>
      </c>
      <c r="Y6" s="1066" t="s">
        <v>1031</v>
      </c>
      <c r="Z6" s="654" t="s">
        <v>1025</v>
      </c>
      <c r="AA6" s="1065" t="s">
        <v>1032</v>
      </c>
      <c r="AB6" s="1066" t="s">
        <v>1033</v>
      </c>
      <c r="AC6" s="654" t="s">
        <v>1026</v>
      </c>
      <c r="AD6" s="1065" t="s">
        <v>1034</v>
      </c>
      <c r="AE6" s="1066" t="s">
        <v>1035</v>
      </c>
      <c r="AF6" s="654" t="s">
        <v>1027</v>
      </c>
      <c r="AG6" s="1078" t="s">
        <v>1039</v>
      </c>
    </row>
    <row r="7" spans="1:33" s="665" customFormat="1" ht="40" customHeight="1" x14ac:dyDescent="0.35">
      <c r="A7" s="1111" t="s">
        <v>77</v>
      </c>
      <c r="B7" s="1050" t="s">
        <v>77</v>
      </c>
      <c r="C7" s="1051" t="s">
        <v>557</v>
      </c>
      <c r="D7" s="1052"/>
      <c r="E7" s="1052"/>
      <c r="F7" s="1053"/>
      <c r="G7" s="1053"/>
      <c r="H7" s="1052"/>
      <c r="I7" s="1052"/>
      <c r="J7" s="1052"/>
      <c r="K7" s="1052"/>
      <c r="L7" s="1052"/>
      <c r="M7" s="1052"/>
      <c r="N7" s="1052"/>
      <c r="O7" s="1052"/>
      <c r="P7" s="1052"/>
      <c r="Q7" s="1052"/>
      <c r="R7" s="1052"/>
      <c r="S7" s="1052"/>
      <c r="T7" s="1054"/>
      <c r="U7" s="1067"/>
      <c r="V7" s="1067"/>
      <c r="W7" s="1055"/>
      <c r="X7" s="1071"/>
      <c r="Y7" s="1067"/>
      <c r="Z7" s="1055"/>
      <c r="AA7" s="1074"/>
      <c r="AB7" s="1067"/>
      <c r="AC7" s="1055"/>
      <c r="AD7" s="1074"/>
      <c r="AE7" s="1067"/>
      <c r="AF7" s="1055"/>
      <c r="AG7" s="1080"/>
    </row>
    <row r="8" spans="1:33" s="665" customFormat="1" ht="40" customHeight="1" x14ac:dyDescent="0.35">
      <c r="A8" s="1112" t="s">
        <v>77</v>
      </c>
      <c r="B8" s="1056" t="s">
        <v>249</v>
      </c>
      <c r="C8" s="1057" t="s">
        <v>493</v>
      </c>
      <c r="D8" s="1058"/>
      <c r="E8" s="1058"/>
      <c r="F8" s="1059">
        <f>'2018-2022'!D6</f>
        <v>1200000</v>
      </c>
      <c r="G8" s="1059">
        <v>12</v>
      </c>
      <c r="H8" s="1058"/>
      <c r="I8" s="1058"/>
      <c r="J8" s="1058">
        <v>600000</v>
      </c>
      <c r="K8" s="1058"/>
      <c r="L8" s="1058"/>
      <c r="M8" s="1058"/>
      <c r="N8" s="1058"/>
      <c r="O8" s="1058"/>
      <c r="P8" s="1058">
        <v>600000</v>
      </c>
      <c r="Q8" s="1058"/>
      <c r="R8" s="1058"/>
      <c r="S8" s="1058"/>
      <c r="T8" s="1060">
        <f>SUM(H8:S8)</f>
        <v>1200000</v>
      </c>
      <c r="U8" s="1068">
        <f>MIN(F8-T8,F8/G8*12)</f>
        <v>0</v>
      </c>
      <c r="V8" s="1068">
        <f>'2018-2022'!E6</f>
        <v>1200000</v>
      </c>
      <c r="W8" s="1061">
        <f>U8+V8</f>
        <v>1200000</v>
      </c>
      <c r="X8" s="1072">
        <f>MIN(F8-T8-U8,F8/G8*12)</f>
        <v>0</v>
      </c>
      <c r="Y8" s="1068">
        <f>'2018-2022'!F6</f>
        <v>1200000</v>
      </c>
      <c r="Z8" s="1061">
        <f>X8+Y8</f>
        <v>1200000</v>
      </c>
      <c r="AA8" s="1075">
        <f>MIN(F8-T8-U8-X8,F8/G8*12)</f>
        <v>0</v>
      </c>
      <c r="AB8" s="1068">
        <f>'2018-2022'!G6</f>
        <v>1200000</v>
      </c>
      <c r="AC8" s="1061">
        <f>AA8+AB8</f>
        <v>1200000</v>
      </c>
      <c r="AD8" s="1075">
        <f>F8-T8-U8-X8-AA8</f>
        <v>0</v>
      </c>
      <c r="AE8" s="1068">
        <f>'2018-2022'!H6</f>
        <v>1200000</v>
      </c>
      <c r="AF8" s="1061">
        <f>AD8+AE8</f>
        <v>1200000</v>
      </c>
      <c r="AG8" s="1081" t="str">
        <f>'2018-2022'!I6</f>
        <v>2 gas cylinders</v>
      </c>
    </row>
    <row r="9" spans="1:33" s="665" customFormat="1" ht="40" customHeight="1" x14ac:dyDescent="0.35">
      <c r="A9" s="1113" t="s">
        <v>77</v>
      </c>
      <c r="B9" s="660" t="s">
        <v>251</v>
      </c>
      <c r="C9" s="666" t="s">
        <v>494</v>
      </c>
      <c r="D9" s="662"/>
      <c r="E9" s="662"/>
      <c r="F9" s="663">
        <f>'2018-2022'!D7</f>
        <v>10000000</v>
      </c>
      <c r="G9" s="663">
        <v>12</v>
      </c>
      <c r="H9" s="662">
        <f>F9/12</f>
        <v>833333.33333333337</v>
      </c>
      <c r="I9" s="662">
        <f>H9</f>
        <v>833333.33333333337</v>
      </c>
      <c r="J9" s="662">
        <f t="shared" ref="J9:S9" si="1">I9</f>
        <v>833333.33333333337</v>
      </c>
      <c r="K9" s="662">
        <f t="shared" si="1"/>
        <v>833333.33333333337</v>
      </c>
      <c r="L9" s="662">
        <f t="shared" si="1"/>
        <v>833333.33333333337</v>
      </c>
      <c r="M9" s="662">
        <f t="shared" si="1"/>
        <v>833333.33333333337</v>
      </c>
      <c r="N9" s="662">
        <f t="shared" si="1"/>
        <v>833333.33333333337</v>
      </c>
      <c r="O9" s="662">
        <f t="shared" si="1"/>
        <v>833333.33333333337</v>
      </c>
      <c r="P9" s="662">
        <f t="shared" si="1"/>
        <v>833333.33333333337</v>
      </c>
      <c r="Q9" s="662">
        <f t="shared" si="1"/>
        <v>833333.33333333337</v>
      </c>
      <c r="R9" s="662">
        <f t="shared" si="1"/>
        <v>833333.33333333337</v>
      </c>
      <c r="S9" s="662">
        <f t="shared" si="1"/>
        <v>833333.33333333337</v>
      </c>
      <c r="T9" s="664">
        <f>SUM(H9:S9)</f>
        <v>10000000</v>
      </c>
      <c r="U9" s="1069">
        <f>MIN(F9-T9,F9/G9*12)</f>
        <v>0</v>
      </c>
      <c r="V9" s="1069">
        <f>'2018-2022'!E7</f>
        <v>10000000</v>
      </c>
      <c r="W9" s="1062">
        <f>U9+V9</f>
        <v>10000000</v>
      </c>
      <c r="X9" s="1073">
        <f>MIN(F9-T9-U9,F9/G9*12)</f>
        <v>0</v>
      </c>
      <c r="Y9" s="1069">
        <f>'2018-2022'!F7</f>
        <v>10000000</v>
      </c>
      <c r="Z9" s="1062">
        <f>X9+Y9</f>
        <v>10000000</v>
      </c>
      <c r="AA9" s="1076">
        <f>MIN(F9-T9-U9-X9,F9/G9*12)</f>
        <v>0</v>
      </c>
      <c r="AB9" s="1069">
        <f>'2018-2022'!G7</f>
        <v>10000000</v>
      </c>
      <c r="AC9" s="1062">
        <f>AA9+AB9</f>
        <v>10000000</v>
      </c>
      <c r="AD9" s="1076">
        <f>F9-T9-U9-X9-AA9</f>
        <v>0</v>
      </c>
      <c r="AE9" s="1069">
        <f>'2018-2022'!H7</f>
        <v>10000000</v>
      </c>
      <c r="AF9" s="1062">
        <f>AD9+AE9</f>
        <v>10000000</v>
      </c>
      <c r="AG9" s="1082">
        <f>'2018-2022'!I7</f>
        <v>0</v>
      </c>
    </row>
    <row r="10" spans="1:33" s="665" customFormat="1" ht="40" customHeight="1" x14ac:dyDescent="0.35">
      <c r="A10" s="1113" t="s">
        <v>77</v>
      </c>
      <c r="B10" s="660">
        <v>3</v>
      </c>
      <c r="C10" s="666" t="s">
        <v>238</v>
      </c>
      <c r="D10" s="662"/>
      <c r="E10" s="662"/>
      <c r="F10" s="663">
        <f>'2018-2022'!D8</f>
        <v>20000000</v>
      </c>
      <c r="G10" s="663">
        <v>12</v>
      </c>
      <c r="H10" s="662">
        <f>F10/$G$10</f>
        <v>1666666.6666666667</v>
      </c>
      <c r="I10" s="662">
        <f>H10</f>
        <v>1666666.6666666667</v>
      </c>
      <c r="J10" s="662">
        <f t="shared" ref="J10:S10" si="2">I10</f>
        <v>1666666.6666666667</v>
      </c>
      <c r="K10" s="662">
        <f t="shared" si="2"/>
        <v>1666666.6666666667</v>
      </c>
      <c r="L10" s="662">
        <f t="shared" si="2"/>
        <v>1666666.6666666667</v>
      </c>
      <c r="M10" s="662">
        <f t="shared" si="2"/>
        <v>1666666.6666666667</v>
      </c>
      <c r="N10" s="662">
        <f t="shared" si="2"/>
        <v>1666666.6666666667</v>
      </c>
      <c r="O10" s="662">
        <f t="shared" si="2"/>
        <v>1666666.6666666667</v>
      </c>
      <c r="P10" s="662">
        <f t="shared" si="2"/>
        <v>1666666.6666666667</v>
      </c>
      <c r="Q10" s="662">
        <f t="shared" si="2"/>
        <v>1666666.6666666667</v>
      </c>
      <c r="R10" s="662">
        <f t="shared" si="2"/>
        <v>1666666.6666666667</v>
      </c>
      <c r="S10" s="662">
        <f t="shared" si="2"/>
        <v>1666666.6666666667</v>
      </c>
      <c r="T10" s="664">
        <f>SUM(H10:S10)</f>
        <v>20000000</v>
      </c>
      <c r="U10" s="1069">
        <f>MIN(F10-T10,F10/G10*12)</f>
        <v>0</v>
      </c>
      <c r="V10" s="1069">
        <f>'2018-2022'!E8</f>
        <v>20000000</v>
      </c>
      <c r="W10" s="1062">
        <f>U10+V10</f>
        <v>20000000</v>
      </c>
      <c r="X10" s="1073">
        <f>MIN(F10-T10-U10,F10/G10*12)</f>
        <v>0</v>
      </c>
      <c r="Y10" s="1069">
        <f>'2018-2022'!F8</f>
        <v>20000000</v>
      </c>
      <c r="Z10" s="1062">
        <f>X10+Y10</f>
        <v>20000000</v>
      </c>
      <c r="AA10" s="1076">
        <f>MIN(F10-T10-U10-X10,F10/G10*12)</f>
        <v>0</v>
      </c>
      <c r="AB10" s="1069">
        <f>'2018-2022'!G8</f>
        <v>20000000</v>
      </c>
      <c r="AC10" s="1062">
        <f>AA10+AB10</f>
        <v>20000000</v>
      </c>
      <c r="AD10" s="1076">
        <f>F10-T10-U10-X10-AA10</f>
        <v>0</v>
      </c>
      <c r="AE10" s="1069">
        <f>'2018-2022'!H8</f>
        <v>20000000</v>
      </c>
      <c r="AF10" s="1062">
        <f>AD10+AE10</f>
        <v>20000000</v>
      </c>
      <c r="AG10" s="1082">
        <f>'2018-2022'!I8</f>
        <v>0</v>
      </c>
    </row>
    <row r="11" spans="1:33" s="665" customFormat="1" ht="40" customHeight="1" x14ac:dyDescent="0.35">
      <c r="A11" s="1114" t="s">
        <v>597</v>
      </c>
      <c r="B11" s="668"/>
      <c r="C11" s="669" t="s">
        <v>557</v>
      </c>
      <c r="D11" s="670"/>
      <c r="E11" s="670"/>
      <c r="F11" s="670">
        <f>SUBTOTAL(9,F7:F10)</f>
        <v>31200000</v>
      </c>
      <c r="G11" s="670"/>
      <c r="H11" s="670">
        <f>SUBTOTAL(9,H7:H10)</f>
        <v>2500000</v>
      </c>
      <c r="I11" s="670">
        <f t="shared" ref="I11:S11" si="3">SUBTOTAL(9,I7:I10)</f>
        <v>2500000</v>
      </c>
      <c r="J11" s="670">
        <f t="shared" si="3"/>
        <v>3100000</v>
      </c>
      <c r="K11" s="670">
        <f t="shared" si="3"/>
        <v>2500000</v>
      </c>
      <c r="L11" s="670">
        <f t="shared" si="3"/>
        <v>2500000</v>
      </c>
      <c r="M11" s="670">
        <f t="shared" si="3"/>
        <v>2500000</v>
      </c>
      <c r="N11" s="670">
        <f t="shared" si="3"/>
        <v>2500000</v>
      </c>
      <c r="O11" s="670">
        <f t="shared" si="3"/>
        <v>2500000</v>
      </c>
      <c r="P11" s="670">
        <f t="shared" si="3"/>
        <v>3100000</v>
      </c>
      <c r="Q11" s="670">
        <f t="shared" si="3"/>
        <v>2500000</v>
      </c>
      <c r="R11" s="670">
        <f t="shared" si="3"/>
        <v>2500000</v>
      </c>
      <c r="S11" s="670">
        <f t="shared" si="3"/>
        <v>2500000</v>
      </c>
      <c r="T11" s="670">
        <f>SUBTOTAL(9,T7:T10)</f>
        <v>31200000</v>
      </c>
      <c r="U11" s="1070">
        <f>SUBTOTAL(9,U7:U10)</f>
        <v>0</v>
      </c>
      <c r="V11" s="1070">
        <f>SUBTOTAL(9,V7:V10)</f>
        <v>31200000</v>
      </c>
      <c r="W11" s="670">
        <f>SUBTOTAL(9,W7:W10)</f>
        <v>31200000</v>
      </c>
      <c r="X11" s="1070">
        <f t="shared" ref="X11:AD11" si="4">SUBTOTAL(9,X7:X10)</f>
        <v>0</v>
      </c>
      <c r="Y11" s="1070">
        <f>SUBTOTAL(9,Y7:Y10)</f>
        <v>31200000</v>
      </c>
      <c r="Z11" s="670">
        <f>SUBTOTAL(9,Z7:Z10)</f>
        <v>31200000</v>
      </c>
      <c r="AA11" s="1070">
        <f t="shared" si="4"/>
        <v>0</v>
      </c>
      <c r="AB11" s="1070">
        <f>SUBTOTAL(9,AB7:AB10)</f>
        <v>31200000</v>
      </c>
      <c r="AC11" s="670">
        <f>SUBTOTAL(9,AC7:AC10)</f>
        <v>31200000</v>
      </c>
      <c r="AD11" s="1070">
        <f t="shared" si="4"/>
        <v>0</v>
      </c>
      <c r="AE11" s="1070">
        <f>SUBTOTAL(9,AE7:AE10)</f>
        <v>31200000</v>
      </c>
      <c r="AF11" s="670">
        <f>SUBTOTAL(9,AF7:AF10)</f>
        <v>31200000</v>
      </c>
      <c r="AG11" s="1079">
        <f>SUBTOTAL(9,AG7:AG10)</f>
        <v>0</v>
      </c>
    </row>
    <row r="12" spans="1:33" s="665" customFormat="1" ht="40" customHeight="1" x14ac:dyDescent="0.35">
      <c r="A12" s="1113" t="s">
        <v>75</v>
      </c>
      <c r="B12" s="660" t="s">
        <v>75</v>
      </c>
      <c r="C12" s="661" t="s">
        <v>551</v>
      </c>
      <c r="D12" s="662"/>
      <c r="E12" s="662"/>
      <c r="F12" s="663"/>
      <c r="G12" s="663"/>
      <c r="H12" s="662"/>
      <c r="I12" s="662"/>
      <c r="J12" s="662"/>
      <c r="K12" s="662"/>
      <c r="L12" s="662"/>
      <c r="M12" s="662"/>
      <c r="N12" s="662"/>
      <c r="O12" s="662"/>
      <c r="P12" s="662"/>
      <c r="Q12" s="662"/>
      <c r="R12" s="662"/>
      <c r="S12" s="662"/>
      <c r="T12" s="664"/>
      <c r="U12" s="1069"/>
      <c r="V12" s="1069"/>
      <c r="W12" s="1062"/>
      <c r="X12" s="1073"/>
      <c r="Y12" s="1069"/>
      <c r="Z12" s="1062"/>
      <c r="AA12" s="1076"/>
      <c r="AB12" s="1069"/>
      <c r="AC12" s="1062"/>
      <c r="AD12" s="1076"/>
      <c r="AE12" s="1069"/>
      <c r="AF12" s="1062"/>
      <c r="AG12" s="1082"/>
    </row>
    <row r="13" spans="1:33" s="665" customFormat="1" ht="40" customHeight="1" x14ac:dyDescent="0.35">
      <c r="A13" s="1113" t="s">
        <v>75</v>
      </c>
      <c r="B13" s="660">
        <v>1</v>
      </c>
      <c r="C13" s="666" t="s">
        <v>281</v>
      </c>
      <c r="D13" s="662"/>
      <c r="E13" s="662"/>
      <c r="F13" s="663">
        <f>'2018-2022'!D10</f>
        <v>1673400000</v>
      </c>
      <c r="G13" s="663">
        <v>12</v>
      </c>
      <c r="H13" s="662">
        <f>1578360000/12</f>
        <v>131530000</v>
      </c>
      <c r="I13" s="662">
        <f t="shared" ref="I13:S13" si="5">H13</f>
        <v>131530000</v>
      </c>
      <c r="J13" s="662">
        <f>I13</f>
        <v>131530000</v>
      </c>
      <c r="K13" s="662">
        <f>1705080000/12</f>
        <v>142090000</v>
      </c>
      <c r="L13" s="662">
        <f t="shared" si="5"/>
        <v>142090000</v>
      </c>
      <c r="M13" s="662">
        <f t="shared" si="5"/>
        <v>142090000</v>
      </c>
      <c r="N13" s="662">
        <f t="shared" si="5"/>
        <v>142090000</v>
      </c>
      <c r="O13" s="662">
        <f t="shared" si="5"/>
        <v>142090000</v>
      </c>
      <c r="P13" s="662">
        <f t="shared" si="5"/>
        <v>142090000</v>
      </c>
      <c r="Q13" s="662">
        <f t="shared" si="5"/>
        <v>142090000</v>
      </c>
      <c r="R13" s="662">
        <f t="shared" si="5"/>
        <v>142090000</v>
      </c>
      <c r="S13" s="662">
        <f t="shared" si="5"/>
        <v>142090000</v>
      </c>
      <c r="T13" s="664">
        <f>SUM(H13:S13)</f>
        <v>1673400000</v>
      </c>
      <c r="U13" s="1069">
        <f>MIN(F13-T13,F13/G13*12)</f>
        <v>0</v>
      </c>
      <c r="V13" s="1069">
        <f>'2018-2022'!E10</f>
        <v>1673400000</v>
      </c>
      <c r="W13" s="1062">
        <f>U13+V13</f>
        <v>1673400000</v>
      </c>
      <c r="X13" s="1073">
        <f>MIN(F13-T13-U13,F13/G13*12)</f>
        <v>0</v>
      </c>
      <c r="Y13" s="1069">
        <f>'2018-2022'!F10</f>
        <v>1673400000</v>
      </c>
      <c r="Z13" s="1062">
        <f>X13+Y13</f>
        <v>1673400000</v>
      </c>
      <c r="AA13" s="1076">
        <f>MIN(F13-T13-U13-X13,F13/G13*12)</f>
        <v>0</v>
      </c>
      <c r="AB13" s="1069">
        <f>'2018-2022'!G10</f>
        <v>1673400000</v>
      </c>
      <c r="AC13" s="1062">
        <f>AA13+AB13</f>
        <v>1673400000</v>
      </c>
      <c r="AD13" s="1076">
        <f>F13-T13-U13-X13-AA13</f>
        <v>0</v>
      </c>
      <c r="AE13" s="1069">
        <f>'2018-2022'!H10</f>
        <v>1673400000</v>
      </c>
      <c r="AF13" s="1062">
        <f>AD13+AE13</f>
        <v>1673400000</v>
      </c>
      <c r="AG13" s="1082" t="str">
        <f>'2018-2022'!I10</f>
        <v>BOC just agreed to reverse back from A type to C type maitenance. Probably Schindler will increase around 7-&gt; 8% maintenance cost in 2017</v>
      </c>
    </row>
    <row r="14" spans="1:33" s="665" customFormat="1" ht="40" customHeight="1" x14ac:dyDescent="0.35">
      <c r="A14" s="1114" t="s">
        <v>599</v>
      </c>
      <c r="B14" s="668"/>
      <c r="C14" s="669" t="s">
        <v>551</v>
      </c>
      <c r="D14" s="670"/>
      <c r="E14" s="670"/>
      <c r="F14" s="670">
        <f>SUBTOTAL(9,F13:F13)</f>
        <v>1673400000</v>
      </c>
      <c r="G14" s="670"/>
      <c r="H14" s="670">
        <f t="shared" ref="H14:T14" si="6">SUBTOTAL(9,H13:H13)</f>
        <v>131530000</v>
      </c>
      <c r="I14" s="670">
        <f t="shared" si="6"/>
        <v>131530000</v>
      </c>
      <c r="J14" s="670">
        <f t="shared" si="6"/>
        <v>131530000</v>
      </c>
      <c r="K14" s="670">
        <f t="shared" si="6"/>
        <v>142090000</v>
      </c>
      <c r="L14" s="670">
        <f t="shared" si="6"/>
        <v>142090000</v>
      </c>
      <c r="M14" s="670">
        <f t="shared" si="6"/>
        <v>142090000</v>
      </c>
      <c r="N14" s="670">
        <f t="shared" si="6"/>
        <v>142090000</v>
      </c>
      <c r="O14" s="670">
        <f t="shared" si="6"/>
        <v>142090000</v>
      </c>
      <c r="P14" s="670">
        <f t="shared" si="6"/>
        <v>142090000</v>
      </c>
      <c r="Q14" s="670">
        <f t="shared" si="6"/>
        <v>142090000</v>
      </c>
      <c r="R14" s="670">
        <f t="shared" si="6"/>
        <v>142090000</v>
      </c>
      <c r="S14" s="670">
        <f t="shared" si="6"/>
        <v>142090000</v>
      </c>
      <c r="T14" s="670">
        <f t="shared" si="6"/>
        <v>1673400000</v>
      </c>
      <c r="U14" s="1070">
        <f t="shared" ref="U14:AD14" si="7">SUBTOTAL(9,U13:U13)</f>
        <v>0</v>
      </c>
      <c r="V14" s="1070">
        <f t="shared" si="7"/>
        <v>1673400000</v>
      </c>
      <c r="W14" s="670">
        <f>SUBTOTAL(9,W13:W13)</f>
        <v>1673400000</v>
      </c>
      <c r="X14" s="1070">
        <f t="shared" si="7"/>
        <v>0</v>
      </c>
      <c r="Y14" s="1070">
        <f>SUBTOTAL(9,Y13:Y13)</f>
        <v>1673400000</v>
      </c>
      <c r="Z14" s="670">
        <f>SUBTOTAL(9,Z13:Z13)</f>
        <v>1673400000</v>
      </c>
      <c r="AA14" s="1070">
        <f t="shared" si="7"/>
        <v>0</v>
      </c>
      <c r="AB14" s="1070">
        <f t="shared" ref="AB14" si="8">SUBTOTAL(9,AB13:AB13)</f>
        <v>1673400000</v>
      </c>
      <c r="AC14" s="670">
        <f>SUBTOTAL(9,AC13:AC13)</f>
        <v>1673400000</v>
      </c>
      <c r="AD14" s="1070">
        <f t="shared" si="7"/>
        <v>0</v>
      </c>
      <c r="AE14" s="1070">
        <f t="shared" ref="AE14" si="9">SUBTOTAL(9,AE13:AE13)</f>
        <v>1673400000</v>
      </c>
      <c r="AF14" s="670">
        <f>SUBTOTAL(9,AF13:AF13)</f>
        <v>1673400000</v>
      </c>
      <c r="AG14" s="1079">
        <f>SUBTOTAL(9,AG13:AG13)</f>
        <v>0</v>
      </c>
    </row>
    <row r="15" spans="1:33" s="665" customFormat="1" ht="40" customHeight="1" x14ac:dyDescent="0.35">
      <c r="A15" s="1113" t="s">
        <v>73</v>
      </c>
      <c r="B15" s="660" t="s">
        <v>73</v>
      </c>
      <c r="C15" s="661" t="s">
        <v>559</v>
      </c>
      <c r="D15" s="662"/>
      <c r="E15" s="662"/>
      <c r="F15" s="663"/>
      <c r="G15" s="663"/>
      <c r="H15" s="662"/>
      <c r="I15" s="662"/>
      <c r="J15" s="662"/>
      <c r="K15" s="662"/>
      <c r="L15" s="662"/>
      <c r="M15" s="662"/>
      <c r="N15" s="662"/>
      <c r="O15" s="662"/>
      <c r="P15" s="662"/>
      <c r="Q15" s="662"/>
      <c r="R15" s="662"/>
      <c r="S15" s="662"/>
      <c r="T15" s="664"/>
      <c r="U15" s="1069"/>
      <c r="V15" s="1069"/>
      <c r="W15" s="1062"/>
      <c r="X15" s="1073"/>
      <c r="Y15" s="1069"/>
      <c r="Z15" s="1062"/>
      <c r="AA15" s="1076"/>
      <c r="AB15" s="1069"/>
      <c r="AC15" s="1062"/>
      <c r="AD15" s="1076"/>
      <c r="AE15" s="1069"/>
      <c r="AF15" s="1062"/>
      <c r="AG15" s="1082"/>
    </row>
    <row r="16" spans="1:33" s="665" customFormat="1" ht="40" customHeight="1" x14ac:dyDescent="0.35">
      <c r="A16" s="1113" t="s">
        <v>73</v>
      </c>
      <c r="B16" s="660">
        <v>1</v>
      </c>
      <c r="C16" s="666" t="s">
        <v>285</v>
      </c>
      <c r="D16" s="662"/>
      <c r="E16" s="662"/>
      <c r="F16" s="663">
        <f>'2018-2022'!D12</f>
        <v>71280000</v>
      </c>
      <c r="G16" s="663">
        <v>12</v>
      </c>
      <c r="H16" s="662">
        <f>F16/$G$16</f>
        <v>5940000</v>
      </c>
      <c r="I16" s="662">
        <f t="shared" ref="I16:I22" si="10">H16</f>
        <v>5940000</v>
      </c>
      <c r="J16" s="662">
        <f t="shared" ref="J16:S16" si="11">I16</f>
        <v>5940000</v>
      </c>
      <c r="K16" s="662">
        <f t="shared" si="11"/>
        <v>5940000</v>
      </c>
      <c r="L16" s="662">
        <f t="shared" si="11"/>
        <v>5940000</v>
      </c>
      <c r="M16" s="662">
        <f t="shared" si="11"/>
        <v>5940000</v>
      </c>
      <c r="N16" s="662">
        <f t="shared" si="11"/>
        <v>5940000</v>
      </c>
      <c r="O16" s="662">
        <f t="shared" si="11"/>
        <v>5940000</v>
      </c>
      <c r="P16" s="662">
        <f t="shared" si="11"/>
        <v>5940000</v>
      </c>
      <c r="Q16" s="662">
        <f t="shared" si="11"/>
        <v>5940000</v>
      </c>
      <c r="R16" s="662">
        <f t="shared" si="11"/>
        <v>5940000</v>
      </c>
      <c r="S16" s="662">
        <f t="shared" si="11"/>
        <v>5940000</v>
      </c>
      <c r="T16" s="664">
        <f t="shared" ref="T16:T22" si="12">SUM(H16:S16)</f>
        <v>71280000</v>
      </c>
      <c r="U16" s="1069">
        <f t="shared" ref="U16:U22" si="13">MIN(F16-T16,F16/G16*12)</f>
        <v>0</v>
      </c>
      <c r="V16" s="1069">
        <f>'2018-2022'!E12</f>
        <v>71280000</v>
      </c>
      <c r="W16" s="1062">
        <f t="shared" ref="W16:W17" si="14">U16+V16</f>
        <v>71280000</v>
      </c>
      <c r="X16" s="1073">
        <f t="shared" ref="X16:X22" si="15">MIN(F16-T16-U16,F16/G16*12)</f>
        <v>0</v>
      </c>
      <c r="Y16" s="1069">
        <f>'2018-2022'!F12</f>
        <v>71280000</v>
      </c>
      <c r="Z16" s="1062">
        <f t="shared" ref="Z16:Z17" si="16">X16+Y16</f>
        <v>71280000</v>
      </c>
      <c r="AA16" s="1076">
        <f t="shared" ref="AA16:AA22" si="17">MIN(F16-T16-U16-X16,F16/G16*12)</f>
        <v>0</v>
      </c>
      <c r="AB16" s="1069">
        <f>'2018-2022'!G12</f>
        <v>71280000</v>
      </c>
      <c r="AC16" s="1062">
        <f t="shared" ref="AC16:AC17" si="18">AA16+AB16</f>
        <v>71280000</v>
      </c>
      <c r="AD16" s="1076">
        <f t="shared" ref="AD16:AD22" si="19">F16-T16-U16-X16-AA16</f>
        <v>0</v>
      </c>
      <c r="AE16" s="1069">
        <f>'2018-2022'!H12</f>
        <v>71280000</v>
      </c>
      <c r="AF16" s="1062">
        <f t="shared" ref="AF16:AF17" si="20">AD16+AE16</f>
        <v>71280000</v>
      </c>
      <c r="AG16" s="1082">
        <f>'2018-2022'!I12</f>
        <v>0</v>
      </c>
    </row>
    <row r="17" spans="1:33" s="665" customFormat="1" ht="40" customHeight="1" x14ac:dyDescent="0.35">
      <c r="A17" s="1113" t="s">
        <v>73</v>
      </c>
      <c r="B17" s="660">
        <v>2.1</v>
      </c>
      <c r="C17" s="666" t="s">
        <v>239</v>
      </c>
      <c r="D17" s="662"/>
      <c r="E17" s="662"/>
      <c r="F17" s="663">
        <f>'2018-2022'!D14</f>
        <v>18000000</v>
      </c>
      <c r="G17" s="663">
        <f>12*2</f>
        <v>24</v>
      </c>
      <c r="H17" s="662">
        <f>F17/G17</f>
        <v>750000</v>
      </c>
      <c r="I17" s="662">
        <f t="shared" si="10"/>
        <v>750000</v>
      </c>
      <c r="J17" s="662">
        <f t="shared" ref="J17:S17" si="21">I17</f>
        <v>750000</v>
      </c>
      <c r="K17" s="662">
        <f t="shared" si="21"/>
        <v>750000</v>
      </c>
      <c r="L17" s="662">
        <f t="shared" si="21"/>
        <v>750000</v>
      </c>
      <c r="M17" s="662">
        <f t="shared" si="21"/>
        <v>750000</v>
      </c>
      <c r="N17" s="662">
        <f t="shared" si="21"/>
        <v>750000</v>
      </c>
      <c r="O17" s="662">
        <f t="shared" si="21"/>
        <v>750000</v>
      </c>
      <c r="P17" s="662">
        <f t="shared" si="21"/>
        <v>750000</v>
      </c>
      <c r="Q17" s="662">
        <f t="shared" si="21"/>
        <v>750000</v>
      </c>
      <c r="R17" s="662">
        <f t="shared" si="21"/>
        <v>750000</v>
      </c>
      <c r="S17" s="662">
        <f t="shared" si="21"/>
        <v>750000</v>
      </c>
      <c r="T17" s="664">
        <f t="shared" si="12"/>
        <v>9000000</v>
      </c>
      <c r="U17" s="1069">
        <f t="shared" si="13"/>
        <v>9000000</v>
      </c>
      <c r="V17" s="1069">
        <f>'2018-2022'!E14</f>
        <v>18000000</v>
      </c>
      <c r="W17" s="1062">
        <f t="shared" si="14"/>
        <v>27000000</v>
      </c>
      <c r="X17" s="1073">
        <f t="shared" si="15"/>
        <v>0</v>
      </c>
      <c r="Y17" s="1069">
        <f>'2018-2022'!F14</f>
        <v>0</v>
      </c>
      <c r="Z17" s="1062">
        <f t="shared" si="16"/>
        <v>0</v>
      </c>
      <c r="AA17" s="1076">
        <f t="shared" si="17"/>
        <v>0</v>
      </c>
      <c r="AB17" s="1069">
        <f>'2018-2022'!G14</f>
        <v>0</v>
      </c>
      <c r="AC17" s="1062">
        <f t="shared" si="18"/>
        <v>0</v>
      </c>
      <c r="AD17" s="1076">
        <f t="shared" si="19"/>
        <v>0</v>
      </c>
      <c r="AE17" s="1069">
        <f>'2018-2022'!H14</f>
        <v>18000000</v>
      </c>
      <c r="AF17" s="1062">
        <f t="shared" si="20"/>
        <v>18000000</v>
      </c>
      <c r="AG17" s="1082" t="str">
        <f>'2018-2022'!I14</f>
        <v>Replacement for generator 2,3 (last changed 2016)</v>
      </c>
    </row>
    <row r="18" spans="1:33" s="665" customFormat="1" ht="40" customHeight="1" x14ac:dyDescent="0.35">
      <c r="A18" s="1113" t="s">
        <v>73</v>
      </c>
      <c r="B18" s="660">
        <v>2.2000000000000002</v>
      </c>
      <c r="C18" s="666" t="s">
        <v>241</v>
      </c>
      <c r="D18" s="662"/>
      <c r="E18" s="662"/>
      <c r="F18" s="663">
        <f>'2018-2022'!D15</f>
        <v>6000000</v>
      </c>
      <c r="G18" s="663">
        <v>12</v>
      </c>
      <c r="H18" s="662">
        <f>F18/$G$18</f>
        <v>500000</v>
      </c>
      <c r="I18" s="662">
        <f t="shared" si="10"/>
        <v>500000</v>
      </c>
      <c r="J18" s="662">
        <f t="shared" ref="J18:S18" si="22">I18</f>
        <v>500000</v>
      </c>
      <c r="K18" s="662">
        <f t="shared" si="22"/>
        <v>500000</v>
      </c>
      <c r="L18" s="662">
        <f t="shared" si="22"/>
        <v>500000</v>
      </c>
      <c r="M18" s="662">
        <f t="shared" si="22"/>
        <v>500000</v>
      </c>
      <c r="N18" s="662">
        <f t="shared" si="22"/>
        <v>500000</v>
      </c>
      <c r="O18" s="662">
        <f t="shared" si="22"/>
        <v>500000</v>
      </c>
      <c r="P18" s="662">
        <f t="shared" si="22"/>
        <v>500000</v>
      </c>
      <c r="Q18" s="662">
        <f t="shared" si="22"/>
        <v>500000</v>
      </c>
      <c r="R18" s="662">
        <f t="shared" si="22"/>
        <v>500000</v>
      </c>
      <c r="S18" s="662">
        <f t="shared" si="22"/>
        <v>500000</v>
      </c>
      <c r="T18" s="664">
        <f t="shared" si="12"/>
        <v>6000000</v>
      </c>
      <c r="U18" s="1069">
        <f t="shared" si="13"/>
        <v>0</v>
      </c>
      <c r="V18" s="1069">
        <f>'2018-2022'!E15</f>
        <v>6000000</v>
      </c>
      <c r="W18" s="1062">
        <f>U18+V18</f>
        <v>6000000</v>
      </c>
      <c r="X18" s="1073">
        <f t="shared" si="15"/>
        <v>0</v>
      </c>
      <c r="Y18" s="1069">
        <f>'2018-2022'!F15</f>
        <v>0</v>
      </c>
      <c r="Z18" s="1062">
        <f>X18+Y18</f>
        <v>0</v>
      </c>
      <c r="AA18" s="1076">
        <f t="shared" si="17"/>
        <v>0</v>
      </c>
      <c r="AB18" s="1069">
        <f>'2018-2022'!G15</f>
        <v>0</v>
      </c>
      <c r="AC18" s="1062">
        <f>AA18+AB18</f>
        <v>0</v>
      </c>
      <c r="AD18" s="1076">
        <f t="shared" si="19"/>
        <v>0</v>
      </c>
      <c r="AE18" s="1069">
        <f>'2018-2022'!H15</f>
        <v>6000000</v>
      </c>
      <c r="AF18" s="1062">
        <f>AD18+AE18</f>
        <v>6000000</v>
      </c>
      <c r="AG18" s="1082" t="str">
        <f>'2018-2022'!I15</f>
        <v>Replacement for generator 1 or 3</v>
      </c>
    </row>
    <row r="19" spans="1:33" s="665" customFormat="1" ht="40" customHeight="1" x14ac:dyDescent="0.35">
      <c r="A19" s="1113" t="s">
        <v>73</v>
      </c>
      <c r="B19" s="660">
        <v>2.2999999999999998</v>
      </c>
      <c r="C19" s="666" t="s">
        <v>243</v>
      </c>
      <c r="D19" s="662"/>
      <c r="E19" s="662"/>
      <c r="F19" s="663">
        <f>'2018-2022'!D16</f>
        <v>3000000</v>
      </c>
      <c r="G19" s="663">
        <v>12</v>
      </c>
      <c r="H19" s="662">
        <f>F19/$G$19</f>
        <v>250000</v>
      </c>
      <c r="I19" s="662">
        <f t="shared" si="10"/>
        <v>250000</v>
      </c>
      <c r="J19" s="662">
        <f t="shared" ref="J19:S20" si="23">I19</f>
        <v>250000</v>
      </c>
      <c r="K19" s="662">
        <f t="shared" si="23"/>
        <v>250000</v>
      </c>
      <c r="L19" s="662">
        <f t="shared" si="23"/>
        <v>250000</v>
      </c>
      <c r="M19" s="662">
        <f t="shared" si="23"/>
        <v>250000</v>
      </c>
      <c r="N19" s="662">
        <f t="shared" si="23"/>
        <v>250000</v>
      </c>
      <c r="O19" s="662">
        <f t="shared" si="23"/>
        <v>250000</v>
      </c>
      <c r="P19" s="662">
        <f t="shared" si="23"/>
        <v>250000</v>
      </c>
      <c r="Q19" s="662">
        <f t="shared" si="23"/>
        <v>250000</v>
      </c>
      <c r="R19" s="662">
        <f t="shared" si="23"/>
        <v>250000</v>
      </c>
      <c r="S19" s="662">
        <f t="shared" si="23"/>
        <v>250000</v>
      </c>
      <c r="T19" s="664">
        <f t="shared" si="12"/>
        <v>3000000</v>
      </c>
      <c r="U19" s="1069">
        <f t="shared" si="13"/>
        <v>0</v>
      </c>
      <c r="V19" s="1069">
        <f>'2018-2022'!E16</f>
        <v>3000000</v>
      </c>
      <c r="W19" s="1062">
        <f>U19+V19</f>
        <v>3000000</v>
      </c>
      <c r="X19" s="1073">
        <f t="shared" si="15"/>
        <v>0</v>
      </c>
      <c r="Y19" s="1069">
        <f>'2018-2022'!F16</f>
        <v>3000000</v>
      </c>
      <c r="Z19" s="1062">
        <f>X19+Y19</f>
        <v>3000000</v>
      </c>
      <c r="AA19" s="1076">
        <f t="shared" si="17"/>
        <v>0</v>
      </c>
      <c r="AB19" s="1069">
        <f>'2018-2022'!G16</f>
        <v>3000000</v>
      </c>
      <c r="AC19" s="1062">
        <f>AA19+AB19</f>
        <v>3000000</v>
      </c>
      <c r="AD19" s="1076">
        <f t="shared" si="19"/>
        <v>0</v>
      </c>
      <c r="AE19" s="1069">
        <f>'2018-2022'!H16</f>
        <v>3000000</v>
      </c>
      <c r="AF19" s="1062">
        <f>AD19+AE19</f>
        <v>3000000</v>
      </c>
      <c r="AG19" s="1082">
        <f>'2018-2022'!I16</f>
        <v>0</v>
      </c>
    </row>
    <row r="20" spans="1:33" s="665" customFormat="1" ht="40" customHeight="1" x14ac:dyDescent="0.35">
      <c r="A20" s="1113" t="s">
        <v>73</v>
      </c>
      <c r="B20" s="660">
        <v>2.4</v>
      </c>
      <c r="C20" s="666" t="s">
        <v>463</v>
      </c>
      <c r="D20" s="662"/>
      <c r="E20" s="662"/>
      <c r="F20" s="663">
        <f>'2018-2022'!D17</f>
        <v>40500000</v>
      </c>
      <c r="G20" s="663">
        <v>12</v>
      </c>
      <c r="H20" s="662">
        <f>F20/$G$20</f>
        <v>3375000</v>
      </c>
      <c r="I20" s="662">
        <f t="shared" si="10"/>
        <v>3375000</v>
      </c>
      <c r="J20" s="662">
        <f t="shared" si="23"/>
        <v>3375000</v>
      </c>
      <c r="K20" s="662">
        <f t="shared" si="23"/>
        <v>3375000</v>
      </c>
      <c r="L20" s="662">
        <f t="shared" si="23"/>
        <v>3375000</v>
      </c>
      <c r="M20" s="662">
        <f t="shared" si="23"/>
        <v>3375000</v>
      </c>
      <c r="N20" s="662">
        <f t="shared" si="23"/>
        <v>3375000</v>
      </c>
      <c r="O20" s="662">
        <f t="shared" si="23"/>
        <v>3375000</v>
      </c>
      <c r="P20" s="662">
        <f t="shared" si="23"/>
        <v>3375000</v>
      </c>
      <c r="Q20" s="662">
        <f t="shared" si="23"/>
        <v>3375000</v>
      </c>
      <c r="R20" s="662">
        <f t="shared" si="23"/>
        <v>3375000</v>
      </c>
      <c r="S20" s="662">
        <f t="shared" si="23"/>
        <v>3375000</v>
      </c>
      <c r="T20" s="664">
        <f t="shared" si="12"/>
        <v>40500000</v>
      </c>
      <c r="U20" s="1069">
        <f t="shared" si="13"/>
        <v>0</v>
      </c>
      <c r="V20" s="1069">
        <f>'2018-2022'!E17</f>
        <v>40500000</v>
      </c>
      <c r="W20" s="1062">
        <f>U20+V20</f>
        <v>40500000</v>
      </c>
      <c r="X20" s="1073">
        <f t="shared" si="15"/>
        <v>0</v>
      </c>
      <c r="Y20" s="1069">
        <f>'2018-2022'!F17</f>
        <v>40500000</v>
      </c>
      <c r="Z20" s="1062">
        <f>X20+Y20</f>
        <v>40500000</v>
      </c>
      <c r="AA20" s="1076">
        <f t="shared" si="17"/>
        <v>0</v>
      </c>
      <c r="AB20" s="1069">
        <f>'2018-2022'!G17</f>
        <v>40500000</v>
      </c>
      <c r="AC20" s="1062">
        <f>AA20+AB20</f>
        <v>40500000</v>
      </c>
      <c r="AD20" s="1076">
        <f t="shared" si="19"/>
        <v>0</v>
      </c>
      <c r="AE20" s="1069">
        <f>'2018-2022'!H17</f>
        <v>40500000</v>
      </c>
      <c r="AF20" s="1062">
        <f>AD20+AE20</f>
        <v>40500000</v>
      </c>
      <c r="AG20" s="1082">
        <f>'2018-2022'!I17</f>
        <v>0</v>
      </c>
    </row>
    <row r="21" spans="1:33" s="665" customFormat="1" ht="40" customHeight="1" x14ac:dyDescent="0.35">
      <c r="A21" s="1113" t="s">
        <v>73</v>
      </c>
      <c r="B21" s="660">
        <v>2.5</v>
      </c>
      <c r="C21" s="666" t="s">
        <v>464</v>
      </c>
      <c r="D21" s="662"/>
      <c r="E21" s="662"/>
      <c r="F21" s="663">
        <f>'2018-2022'!D18</f>
        <v>85500000</v>
      </c>
      <c r="G21" s="663">
        <v>12</v>
      </c>
      <c r="H21" s="662">
        <f>F21/$G$21</f>
        <v>7125000</v>
      </c>
      <c r="I21" s="662">
        <f t="shared" si="10"/>
        <v>7125000</v>
      </c>
      <c r="J21" s="662">
        <f t="shared" ref="J21:S21" si="24">I21</f>
        <v>7125000</v>
      </c>
      <c r="K21" s="662">
        <f t="shared" si="24"/>
        <v>7125000</v>
      </c>
      <c r="L21" s="662">
        <f t="shared" si="24"/>
        <v>7125000</v>
      </c>
      <c r="M21" s="662">
        <f t="shared" si="24"/>
        <v>7125000</v>
      </c>
      <c r="N21" s="662">
        <f t="shared" si="24"/>
        <v>7125000</v>
      </c>
      <c r="O21" s="662">
        <f t="shared" si="24"/>
        <v>7125000</v>
      </c>
      <c r="P21" s="662">
        <f t="shared" si="24"/>
        <v>7125000</v>
      </c>
      <c r="Q21" s="662">
        <f t="shared" si="24"/>
        <v>7125000</v>
      </c>
      <c r="R21" s="662">
        <f t="shared" si="24"/>
        <v>7125000</v>
      </c>
      <c r="S21" s="662">
        <f t="shared" si="24"/>
        <v>7125000</v>
      </c>
      <c r="T21" s="664">
        <f t="shared" si="12"/>
        <v>85500000</v>
      </c>
      <c r="U21" s="1069">
        <f t="shared" si="13"/>
        <v>0</v>
      </c>
      <c r="V21" s="1069">
        <f>'2018-2022'!E18</f>
        <v>85500000</v>
      </c>
      <c r="W21" s="1062">
        <f>U21+V21</f>
        <v>85500000</v>
      </c>
      <c r="X21" s="1073">
        <f t="shared" si="15"/>
        <v>0</v>
      </c>
      <c r="Y21" s="1069">
        <f>'2018-2022'!F18</f>
        <v>85500000</v>
      </c>
      <c r="Z21" s="1062">
        <f>X21+Y21</f>
        <v>85500000</v>
      </c>
      <c r="AA21" s="1076">
        <f t="shared" si="17"/>
        <v>0</v>
      </c>
      <c r="AB21" s="1069">
        <f>'2018-2022'!G18</f>
        <v>85500000</v>
      </c>
      <c r="AC21" s="1062">
        <f>AA21+AB21</f>
        <v>85500000</v>
      </c>
      <c r="AD21" s="1076">
        <f t="shared" si="19"/>
        <v>0</v>
      </c>
      <c r="AE21" s="1069">
        <f>'2018-2022'!H18</f>
        <v>85500000</v>
      </c>
      <c r="AF21" s="1062">
        <f>AD21+AE21</f>
        <v>85500000</v>
      </c>
      <c r="AG21" s="1082">
        <f>'2018-2022'!I18</f>
        <v>0</v>
      </c>
    </row>
    <row r="22" spans="1:33" s="665" customFormat="1" ht="40" customHeight="1" x14ac:dyDescent="0.35">
      <c r="A22" s="1113" t="s">
        <v>73</v>
      </c>
      <c r="B22" s="660">
        <v>2.6</v>
      </c>
      <c r="C22" s="666" t="s">
        <v>465</v>
      </c>
      <c r="D22" s="662"/>
      <c r="E22" s="662"/>
      <c r="F22" s="663">
        <f>'2018-2022'!D19</f>
        <v>60000000</v>
      </c>
      <c r="G22" s="663">
        <v>12</v>
      </c>
      <c r="H22" s="662">
        <f>F22/12</f>
        <v>5000000</v>
      </c>
      <c r="I22" s="662">
        <f t="shared" si="10"/>
        <v>5000000</v>
      </c>
      <c r="J22" s="662">
        <f t="shared" ref="J22:S22" si="25">I22</f>
        <v>5000000</v>
      </c>
      <c r="K22" s="662">
        <f t="shared" si="25"/>
        <v>5000000</v>
      </c>
      <c r="L22" s="662">
        <f t="shared" si="25"/>
        <v>5000000</v>
      </c>
      <c r="M22" s="662">
        <f t="shared" si="25"/>
        <v>5000000</v>
      </c>
      <c r="N22" s="662">
        <f t="shared" si="25"/>
        <v>5000000</v>
      </c>
      <c r="O22" s="662">
        <f t="shared" si="25"/>
        <v>5000000</v>
      </c>
      <c r="P22" s="662">
        <f t="shared" si="25"/>
        <v>5000000</v>
      </c>
      <c r="Q22" s="662">
        <f t="shared" si="25"/>
        <v>5000000</v>
      </c>
      <c r="R22" s="662">
        <f t="shared" si="25"/>
        <v>5000000</v>
      </c>
      <c r="S22" s="662">
        <f t="shared" si="25"/>
        <v>5000000</v>
      </c>
      <c r="T22" s="664">
        <f t="shared" si="12"/>
        <v>60000000</v>
      </c>
      <c r="U22" s="1069">
        <f t="shared" si="13"/>
        <v>0</v>
      </c>
      <c r="V22" s="1069">
        <f>'2018-2022'!E19</f>
        <v>60000000</v>
      </c>
      <c r="W22" s="1062">
        <f>U22+V22</f>
        <v>60000000</v>
      </c>
      <c r="X22" s="1073">
        <f t="shared" si="15"/>
        <v>0</v>
      </c>
      <c r="Y22" s="1069">
        <f>'2018-2022'!F19</f>
        <v>60000000</v>
      </c>
      <c r="Z22" s="1062">
        <f>X22+Y22</f>
        <v>60000000</v>
      </c>
      <c r="AA22" s="1076">
        <f t="shared" si="17"/>
        <v>0</v>
      </c>
      <c r="AB22" s="1069">
        <f>'2018-2022'!G19</f>
        <v>60000000</v>
      </c>
      <c r="AC22" s="1062">
        <f>AA22+AB22</f>
        <v>60000000</v>
      </c>
      <c r="AD22" s="1076">
        <f t="shared" si="19"/>
        <v>0</v>
      </c>
      <c r="AE22" s="1069">
        <f>'2018-2022'!H19</f>
        <v>60000000</v>
      </c>
      <c r="AF22" s="1062">
        <f>AD22+AE22</f>
        <v>60000000</v>
      </c>
      <c r="AG22" s="1082">
        <f>'2018-2022'!I19</f>
        <v>0</v>
      </c>
    </row>
    <row r="23" spans="1:33" s="665" customFormat="1" ht="40" customHeight="1" x14ac:dyDescent="0.35">
      <c r="A23" s="1114" t="s">
        <v>600</v>
      </c>
      <c r="B23" s="668"/>
      <c r="C23" s="669" t="s">
        <v>559</v>
      </c>
      <c r="D23" s="670"/>
      <c r="E23" s="670"/>
      <c r="F23" s="670">
        <f>SUBTOTAL(9,F15:F22)</f>
        <v>284280000</v>
      </c>
      <c r="G23" s="670"/>
      <c r="H23" s="670">
        <f t="shared" ref="H23:AD23" si="26">SUBTOTAL(9,H15:H22)</f>
        <v>22940000</v>
      </c>
      <c r="I23" s="670">
        <f t="shared" si="26"/>
        <v>22940000</v>
      </c>
      <c r="J23" s="670">
        <f t="shared" si="26"/>
        <v>22940000</v>
      </c>
      <c r="K23" s="670">
        <f t="shared" si="26"/>
        <v>22940000</v>
      </c>
      <c r="L23" s="670">
        <f t="shared" si="26"/>
        <v>22940000</v>
      </c>
      <c r="M23" s="670">
        <f t="shared" si="26"/>
        <v>22940000</v>
      </c>
      <c r="N23" s="670">
        <f t="shared" si="26"/>
        <v>22940000</v>
      </c>
      <c r="O23" s="670">
        <f t="shared" si="26"/>
        <v>22940000</v>
      </c>
      <c r="P23" s="670">
        <f t="shared" si="26"/>
        <v>22940000</v>
      </c>
      <c r="Q23" s="670">
        <f t="shared" si="26"/>
        <v>22940000</v>
      </c>
      <c r="R23" s="670">
        <f t="shared" si="26"/>
        <v>22940000</v>
      </c>
      <c r="S23" s="670">
        <f>SUBTOTAL(9,S15:S22)</f>
        <v>22940000</v>
      </c>
      <c r="T23" s="670">
        <f t="shared" si="26"/>
        <v>275280000</v>
      </c>
      <c r="U23" s="1070">
        <f t="shared" si="26"/>
        <v>9000000</v>
      </c>
      <c r="V23" s="1070">
        <f>SUBTOTAL(9,V15:V22)</f>
        <v>284280000</v>
      </c>
      <c r="W23" s="670">
        <f>SUBTOTAL(9,W15:W22)</f>
        <v>293280000</v>
      </c>
      <c r="X23" s="1070">
        <f t="shared" si="26"/>
        <v>0</v>
      </c>
      <c r="Y23" s="1070">
        <f>SUBTOTAL(9,Y15:Y22)</f>
        <v>260280000</v>
      </c>
      <c r="Z23" s="670">
        <f>SUBTOTAL(9,Z15:Z22)</f>
        <v>260280000</v>
      </c>
      <c r="AA23" s="1070">
        <f t="shared" si="26"/>
        <v>0</v>
      </c>
      <c r="AB23" s="1070">
        <f>SUBTOTAL(9,AB15:AB22)</f>
        <v>260280000</v>
      </c>
      <c r="AC23" s="670">
        <f>SUBTOTAL(9,AC15:AC22)</f>
        <v>260280000</v>
      </c>
      <c r="AD23" s="1070">
        <f t="shared" si="26"/>
        <v>0</v>
      </c>
      <c r="AE23" s="1070">
        <f>SUBTOTAL(9,AE15:AE22)</f>
        <v>284280000</v>
      </c>
      <c r="AF23" s="670">
        <f>SUBTOTAL(9,AF15:AF22)</f>
        <v>284280000</v>
      </c>
      <c r="AG23" s="1079">
        <f>SUBTOTAL(9,AG15:AG22)</f>
        <v>0</v>
      </c>
    </row>
    <row r="24" spans="1:33" s="665" customFormat="1" ht="40" customHeight="1" x14ac:dyDescent="0.35">
      <c r="A24" s="1113" t="s">
        <v>67</v>
      </c>
      <c r="B24" s="660" t="s">
        <v>67</v>
      </c>
      <c r="C24" s="661" t="s">
        <v>561</v>
      </c>
      <c r="D24" s="662"/>
      <c r="E24" s="662"/>
      <c r="F24" s="663"/>
      <c r="G24" s="663"/>
      <c r="H24" s="662"/>
      <c r="I24" s="662"/>
      <c r="J24" s="662"/>
      <c r="K24" s="662"/>
      <c r="L24" s="662"/>
      <c r="M24" s="662"/>
      <c r="N24" s="662"/>
      <c r="O24" s="662"/>
      <c r="P24" s="662"/>
      <c r="Q24" s="662"/>
      <c r="R24" s="662"/>
      <c r="S24" s="662"/>
      <c r="T24" s="664"/>
      <c r="U24" s="1069"/>
      <c r="V24" s="1069"/>
      <c r="W24" s="1062"/>
      <c r="X24" s="1073"/>
      <c r="Y24" s="1069"/>
      <c r="Z24" s="1062"/>
      <c r="AA24" s="1076"/>
      <c r="AB24" s="1069"/>
      <c r="AC24" s="1062"/>
      <c r="AD24" s="1076"/>
      <c r="AE24" s="1069"/>
      <c r="AF24" s="1062"/>
      <c r="AG24" s="1082"/>
    </row>
    <row r="25" spans="1:33" s="665" customFormat="1" ht="40" customHeight="1" x14ac:dyDescent="0.35">
      <c r="A25" s="1113" t="s">
        <v>67</v>
      </c>
      <c r="B25" s="660">
        <v>1</v>
      </c>
      <c r="C25" s="666" t="s">
        <v>285</v>
      </c>
      <c r="D25" s="662"/>
      <c r="E25" s="662"/>
      <c r="F25" s="663">
        <f>'2018-2022'!D21</f>
        <v>250000000</v>
      </c>
      <c r="G25" s="663">
        <v>12</v>
      </c>
      <c r="H25" s="662">
        <f>F25/$G$25</f>
        <v>20833333.333333332</v>
      </c>
      <c r="I25" s="662">
        <f>H25</f>
        <v>20833333.333333332</v>
      </c>
      <c r="J25" s="662">
        <f t="shared" ref="J25:S25" si="27">I25</f>
        <v>20833333.333333332</v>
      </c>
      <c r="K25" s="662">
        <f t="shared" si="27"/>
        <v>20833333.333333332</v>
      </c>
      <c r="L25" s="662">
        <f t="shared" si="27"/>
        <v>20833333.333333332</v>
      </c>
      <c r="M25" s="662">
        <f t="shared" si="27"/>
        <v>20833333.333333332</v>
      </c>
      <c r="N25" s="662">
        <f t="shared" si="27"/>
        <v>20833333.333333332</v>
      </c>
      <c r="O25" s="662">
        <f t="shared" si="27"/>
        <v>20833333.333333332</v>
      </c>
      <c r="P25" s="662">
        <f t="shared" si="27"/>
        <v>20833333.333333332</v>
      </c>
      <c r="Q25" s="662">
        <f t="shared" si="27"/>
        <v>20833333.333333332</v>
      </c>
      <c r="R25" s="662">
        <f t="shared" si="27"/>
        <v>20833333.333333332</v>
      </c>
      <c r="S25" s="662">
        <f t="shared" si="27"/>
        <v>20833333.333333332</v>
      </c>
      <c r="T25" s="664">
        <f t="shared" ref="T25:T33" si="28">SUM(H25:S25)</f>
        <v>250000000.00000003</v>
      </c>
      <c r="U25" s="1069">
        <f t="shared" ref="U25:U33" si="29">MIN(F25-T25,F25/G25*12)</f>
        <v>-2.9802322387695313E-8</v>
      </c>
      <c r="V25" s="1069">
        <f>'2018-2022'!E21</f>
        <v>250000000</v>
      </c>
      <c r="W25" s="1062">
        <f>U25+V25</f>
        <v>249999999.99999997</v>
      </c>
      <c r="X25" s="1073">
        <f t="shared" ref="X25:X33" si="30">MIN(F25-T25-U25,F25/G25*12)</f>
        <v>0</v>
      </c>
      <c r="Y25" s="1069">
        <f>'2018-2022'!F21</f>
        <v>250000000</v>
      </c>
      <c r="Z25" s="1062">
        <f>X25+Y25</f>
        <v>250000000</v>
      </c>
      <c r="AA25" s="1076">
        <f t="shared" ref="AA25:AA33" si="31">MIN(F25-T25-U25-X25,F25/G25*12)</f>
        <v>0</v>
      </c>
      <c r="AB25" s="1069">
        <f>'2018-2022'!G21</f>
        <v>250000000</v>
      </c>
      <c r="AC25" s="1062">
        <f>AA25+AB25</f>
        <v>250000000</v>
      </c>
      <c r="AD25" s="1076">
        <f t="shared" ref="AD25:AD33" si="32">F25-T25-U25-X25-AA25</f>
        <v>0</v>
      </c>
      <c r="AE25" s="1069">
        <f>'2018-2022'!H21</f>
        <v>250000000</v>
      </c>
      <c r="AF25" s="1062">
        <f>AD25+AE25</f>
        <v>250000000</v>
      </c>
      <c r="AG25" s="1082">
        <f>'2018-2022'!I21</f>
        <v>0</v>
      </c>
    </row>
    <row r="26" spans="1:33" s="665" customFormat="1" ht="40" customHeight="1" x14ac:dyDescent="0.35">
      <c r="A26" s="1113" t="s">
        <v>67</v>
      </c>
      <c r="B26" s="660">
        <v>2.1</v>
      </c>
      <c r="C26" s="666" t="s">
        <v>244</v>
      </c>
      <c r="D26" s="662"/>
      <c r="E26" s="662"/>
      <c r="F26" s="663">
        <f>'2018-2022'!D23</f>
        <v>30000000</v>
      </c>
      <c r="G26" s="663">
        <v>12</v>
      </c>
      <c r="H26" s="662">
        <f>F26/G26</f>
        <v>2500000</v>
      </c>
      <c r="I26" s="662">
        <f>H26</f>
        <v>2500000</v>
      </c>
      <c r="J26" s="662">
        <f t="shared" ref="J26:S26" si="33">I26</f>
        <v>2500000</v>
      </c>
      <c r="K26" s="662">
        <f t="shared" si="33"/>
        <v>2500000</v>
      </c>
      <c r="L26" s="662">
        <f t="shared" si="33"/>
        <v>2500000</v>
      </c>
      <c r="M26" s="662">
        <f t="shared" si="33"/>
        <v>2500000</v>
      </c>
      <c r="N26" s="662">
        <f t="shared" si="33"/>
        <v>2500000</v>
      </c>
      <c r="O26" s="662">
        <f t="shared" si="33"/>
        <v>2500000</v>
      </c>
      <c r="P26" s="662">
        <f t="shared" si="33"/>
        <v>2500000</v>
      </c>
      <c r="Q26" s="662">
        <f t="shared" si="33"/>
        <v>2500000</v>
      </c>
      <c r="R26" s="662">
        <f t="shared" si="33"/>
        <v>2500000</v>
      </c>
      <c r="S26" s="662">
        <f t="shared" si="33"/>
        <v>2500000</v>
      </c>
      <c r="T26" s="664">
        <f t="shared" si="28"/>
        <v>30000000</v>
      </c>
      <c r="U26" s="1069">
        <f t="shared" si="29"/>
        <v>0</v>
      </c>
      <c r="V26" s="1069">
        <f>'2018-2022'!E23</f>
        <v>30000000</v>
      </c>
      <c r="W26" s="1062">
        <f>U26+V26</f>
        <v>30000000</v>
      </c>
      <c r="X26" s="1073">
        <f t="shared" si="30"/>
        <v>0</v>
      </c>
      <c r="Y26" s="1069">
        <f>'2018-2022'!F23</f>
        <v>30000000</v>
      </c>
      <c r="Z26" s="1062">
        <f>X26+Y26</f>
        <v>30000000</v>
      </c>
      <c r="AA26" s="1076">
        <f t="shared" si="31"/>
        <v>0</v>
      </c>
      <c r="AB26" s="1069">
        <f>'2018-2022'!G23</f>
        <v>30000000</v>
      </c>
      <c r="AC26" s="1062">
        <f>AA26+AB26</f>
        <v>30000000</v>
      </c>
      <c r="AD26" s="1076">
        <f t="shared" si="32"/>
        <v>0</v>
      </c>
      <c r="AE26" s="1069">
        <f>'2018-2022'!H23</f>
        <v>30000000</v>
      </c>
      <c r="AF26" s="1062">
        <f>AD26+AE26</f>
        <v>30000000</v>
      </c>
      <c r="AG26" s="1082" t="str">
        <f>'2018-2022'!I23</f>
        <v>Required by Fire Dept: 01 time per year.</v>
      </c>
    </row>
    <row r="27" spans="1:33" s="665" customFormat="1" ht="40" customHeight="1" x14ac:dyDescent="0.35">
      <c r="A27" s="1113" t="s">
        <v>67</v>
      </c>
      <c r="B27" s="660">
        <v>2.2000000000000002</v>
      </c>
      <c r="C27" s="666" t="s">
        <v>325</v>
      </c>
      <c r="D27" s="662"/>
      <c r="E27" s="662"/>
      <c r="F27" s="663">
        <f>'2018-2022'!D24</f>
        <v>73296000</v>
      </c>
      <c r="G27" s="663">
        <v>12</v>
      </c>
      <c r="H27" s="662">
        <f>F27/$G27</f>
        <v>6108000</v>
      </c>
      <c r="I27" s="662">
        <f>H27</f>
        <v>6108000</v>
      </c>
      <c r="J27" s="662">
        <f t="shared" ref="J27:S27" si="34">I27</f>
        <v>6108000</v>
      </c>
      <c r="K27" s="662">
        <f t="shared" si="34"/>
        <v>6108000</v>
      </c>
      <c r="L27" s="662">
        <f t="shared" si="34"/>
        <v>6108000</v>
      </c>
      <c r="M27" s="662">
        <f t="shared" si="34"/>
        <v>6108000</v>
      </c>
      <c r="N27" s="662">
        <f t="shared" si="34"/>
        <v>6108000</v>
      </c>
      <c r="O27" s="662">
        <f t="shared" si="34"/>
        <v>6108000</v>
      </c>
      <c r="P27" s="662">
        <f t="shared" si="34"/>
        <v>6108000</v>
      </c>
      <c r="Q27" s="662">
        <f t="shared" si="34"/>
        <v>6108000</v>
      </c>
      <c r="R27" s="662">
        <f t="shared" si="34"/>
        <v>6108000</v>
      </c>
      <c r="S27" s="662">
        <f t="shared" si="34"/>
        <v>6108000</v>
      </c>
      <c r="T27" s="664">
        <f t="shared" si="28"/>
        <v>73296000</v>
      </c>
      <c r="U27" s="1069">
        <f t="shared" si="29"/>
        <v>0</v>
      </c>
      <c r="V27" s="1069">
        <f>'2018-2022'!E24</f>
        <v>73296000</v>
      </c>
      <c r="W27" s="1062">
        <f>U27+V27</f>
        <v>73296000</v>
      </c>
      <c r="X27" s="1073">
        <f t="shared" si="30"/>
        <v>0</v>
      </c>
      <c r="Y27" s="1069">
        <f>'2018-2022'!F24</f>
        <v>73296000</v>
      </c>
      <c r="Z27" s="1062">
        <f>X27+Y27</f>
        <v>73296000</v>
      </c>
      <c r="AA27" s="1076">
        <f t="shared" si="31"/>
        <v>0</v>
      </c>
      <c r="AB27" s="1069">
        <f>'2018-2022'!G24</f>
        <v>73296000</v>
      </c>
      <c r="AC27" s="1062">
        <f>AA27+AB27</f>
        <v>73296000</v>
      </c>
      <c r="AD27" s="1076">
        <f t="shared" si="32"/>
        <v>0</v>
      </c>
      <c r="AE27" s="1069">
        <f>'2018-2022'!H24</f>
        <v>73296000</v>
      </c>
      <c r="AF27" s="1062">
        <f>AD27+AE27</f>
        <v>73296000</v>
      </c>
      <c r="AG27" s="1082" t="str">
        <f>'2018-2022'!I24</f>
        <v>Recharge powder fire extinguisher 2 times /year (552pcs MFZ8 + 8pcs ABC)</v>
      </c>
    </row>
    <row r="28" spans="1:33" s="665" customFormat="1" ht="40" customHeight="1" x14ac:dyDescent="0.35">
      <c r="A28" s="1113" t="s">
        <v>67</v>
      </c>
      <c r="B28" s="660">
        <v>2.2999999999999998</v>
      </c>
      <c r="C28" s="666" t="s">
        <v>487</v>
      </c>
      <c r="D28" s="662"/>
      <c r="E28" s="662"/>
      <c r="F28" s="663">
        <f>'2018-2022'!D25</f>
        <v>39000000</v>
      </c>
      <c r="G28" s="663">
        <v>12</v>
      </c>
      <c r="H28" s="662">
        <f>F28/$G28</f>
        <v>3250000</v>
      </c>
      <c r="I28" s="662">
        <f>H28</f>
        <v>3250000</v>
      </c>
      <c r="J28" s="662">
        <f t="shared" ref="J28:S28" si="35">I28</f>
        <v>3250000</v>
      </c>
      <c r="K28" s="662">
        <f t="shared" si="35"/>
        <v>3250000</v>
      </c>
      <c r="L28" s="662">
        <f t="shared" si="35"/>
        <v>3250000</v>
      </c>
      <c r="M28" s="662">
        <f t="shared" si="35"/>
        <v>3250000</v>
      </c>
      <c r="N28" s="662">
        <f t="shared" si="35"/>
        <v>3250000</v>
      </c>
      <c r="O28" s="662">
        <f t="shared" si="35"/>
        <v>3250000</v>
      </c>
      <c r="P28" s="662">
        <f t="shared" si="35"/>
        <v>3250000</v>
      </c>
      <c r="Q28" s="662">
        <f t="shared" si="35"/>
        <v>3250000</v>
      </c>
      <c r="R28" s="662">
        <f t="shared" si="35"/>
        <v>3250000</v>
      </c>
      <c r="S28" s="662">
        <f t="shared" si="35"/>
        <v>3250000</v>
      </c>
      <c r="T28" s="664">
        <f t="shared" si="28"/>
        <v>39000000</v>
      </c>
      <c r="U28" s="1069">
        <f t="shared" si="29"/>
        <v>0</v>
      </c>
      <c r="V28" s="1069">
        <f>'2018-2022'!E25</f>
        <v>39000000</v>
      </c>
      <c r="W28" s="1062">
        <f t="shared" ref="W28:W32" si="36">U28+V28</f>
        <v>39000000</v>
      </c>
      <c r="X28" s="1073">
        <f t="shared" si="30"/>
        <v>0</v>
      </c>
      <c r="Y28" s="1069">
        <f>'2018-2022'!F25</f>
        <v>39000000</v>
      </c>
      <c r="Z28" s="1062">
        <f t="shared" ref="Z28:Z32" si="37">X28+Y28</f>
        <v>39000000</v>
      </c>
      <c r="AA28" s="1076">
        <f t="shared" si="31"/>
        <v>0</v>
      </c>
      <c r="AB28" s="1069">
        <f>'2018-2022'!G25</f>
        <v>39000000</v>
      </c>
      <c r="AC28" s="1062">
        <f t="shared" ref="AC28:AC32" si="38">AA28+AB28</f>
        <v>39000000</v>
      </c>
      <c r="AD28" s="1076">
        <f t="shared" si="32"/>
        <v>0</v>
      </c>
      <c r="AE28" s="1069">
        <f>'2018-2022'!H25</f>
        <v>39000000</v>
      </c>
      <c r="AF28" s="1062">
        <f t="shared" ref="AF28:AF32" si="39">AD28+AE28</f>
        <v>39000000</v>
      </c>
      <c r="AG28" s="1082" t="str">
        <f>'2018-2022'!I25</f>
        <v>Plans to replace 20 smoke detectors ,10 heat detectors, 7  Modulators per year.</v>
      </c>
    </row>
    <row r="29" spans="1:33" s="665" customFormat="1" ht="40" customHeight="1" x14ac:dyDescent="0.35">
      <c r="A29" s="1113" t="s">
        <v>67</v>
      </c>
      <c r="B29" s="660">
        <v>2.4</v>
      </c>
      <c r="C29" s="666" t="s">
        <v>488</v>
      </c>
      <c r="D29" s="662"/>
      <c r="E29" s="662"/>
      <c r="F29" s="663">
        <f>'2018-2022'!D26</f>
        <v>10000000</v>
      </c>
      <c r="G29" s="663">
        <v>12</v>
      </c>
      <c r="H29" s="662">
        <f t="shared" ref="H29:H33" si="40">F29/$G29</f>
        <v>833333.33333333337</v>
      </c>
      <c r="I29" s="662">
        <f t="shared" ref="I29:S33" si="41">H29</f>
        <v>833333.33333333337</v>
      </c>
      <c r="J29" s="662">
        <f t="shared" si="41"/>
        <v>833333.33333333337</v>
      </c>
      <c r="K29" s="662">
        <f t="shared" si="41"/>
        <v>833333.33333333337</v>
      </c>
      <c r="L29" s="662">
        <f t="shared" si="41"/>
        <v>833333.33333333337</v>
      </c>
      <c r="M29" s="662">
        <f t="shared" si="41"/>
        <v>833333.33333333337</v>
      </c>
      <c r="N29" s="662">
        <f t="shared" si="41"/>
        <v>833333.33333333337</v>
      </c>
      <c r="O29" s="662">
        <f t="shared" si="41"/>
        <v>833333.33333333337</v>
      </c>
      <c r="P29" s="662">
        <f t="shared" si="41"/>
        <v>833333.33333333337</v>
      </c>
      <c r="Q29" s="662">
        <f t="shared" si="41"/>
        <v>833333.33333333337</v>
      </c>
      <c r="R29" s="662">
        <f t="shared" si="41"/>
        <v>833333.33333333337</v>
      </c>
      <c r="S29" s="662">
        <f t="shared" si="41"/>
        <v>833333.33333333337</v>
      </c>
      <c r="T29" s="664">
        <f t="shared" si="28"/>
        <v>10000000</v>
      </c>
      <c r="U29" s="1069">
        <f t="shared" si="29"/>
        <v>0</v>
      </c>
      <c r="V29" s="1069">
        <f>'2018-2022'!E26</f>
        <v>10000000</v>
      </c>
      <c r="W29" s="1062">
        <f t="shared" si="36"/>
        <v>10000000</v>
      </c>
      <c r="X29" s="1073">
        <f t="shared" si="30"/>
        <v>0</v>
      </c>
      <c r="Y29" s="1069">
        <f>'2018-2022'!F26</f>
        <v>10000000</v>
      </c>
      <c r="Z29" s="1062">
        <f t="shared" si="37"/>
        <v>10000000</v>
      </c>
      <c r="AA29" s="1076">
        <f t="shared" si="31"/>
        <v>0</v>
      </c>
      <c r="AB29" s="1069">
        <f>'2018-2022'!G26</f>
        <v>10000000</v>
      </c>
      <c r="AC29" s="1062">
        <f t="shared" si="38"/>
        <v>10000000</v>
      </c>
      <c r="AD29" s="1076">
        <f t="shared" si="32"/>
        <v>0</v>
      </c>
      <c r="AE29" s="1069">
        <f>'2018-2022'!H26</f>
        <v>10000000</v>
      </c>
      <c r="AF29" s="1062">
        <f t="shared" si="39"/>
        <v>10000000</v>
      </c>
      <c r="AG29" s="1082">
        <f>'2018-2022'!I26</f>
        <v>0</v>
      </c>
    </row>
    <row r="30" spans="1:33" s="665" customFormat="1" ht="40" customHeight="1" x14ac:dyDescent="0.35">
      <c r="A30" s="1113" t="s">
        <v>67</v>
      </c>
      <c r="B30" s="660">
        <v>2.5</v>
      </c>
      <c r="C30" s="666" t="s">
        <v>489</v>
      </c>
      <c r="D30" s="662"/>
      <c r="E30" s="662"/>
      <c r="F30" s="663">
        <f>'2018-2022'!D27</f>
        <v>19600000</v>
      </c>
      <c r="G30" s="663">
        <v>12</v>
      </c>
      <c r="H30" s="662">
        <f t="shared" si="40"/>
        <v>1633333.3333333333</v>
      </c>
      <c r="I30" s="662">
        <f t="shared" si="41"/>
        <v>1633333.3333333333</v>
      </c>
      <c r="J30" s="662">
        <f t="shared" si="41"/>
        <v>1633333.3333333333</v>
      </c>
      <c r="K30" s="662">
        <f t="shared" si="41"/>
        <v>1633333.3333333333</v>
      </c>
      <c r="L30" s="662">
        <f t="shared" si="41"/>
        <v>1633333.3333333333</v>
      </c>
      <c r="M30" s="662">
        <f t="shared" si="41"/>
        <v>1633333.3333333333</v>
      </c>
      <c r="N30" s="662">
        <f t="shared" si="41"/>
        <v>1633333.3333333333</v>
      </c>
      <c r="O30" s="662">
        <f t="shared" si="41"/>
        <v>1633333.3333333333</v>
      </c>
      <c r="P30" s="662">
        <f t="shared" si="41"/>
        <v>1633333.3333333333</v>
      </c>
      <c r="Q30" s="662">
        <f t="shared" si="41"/>
        <v>1633333.3333333333</v>
      </c>
      <c r="R30" s="662">
        <f t="shared" si="41"/>
        <v>1633333.3333333333</v>
      </c>
      <c r="S30" s="662">
        <f t="shared" si="41"/>
        <v>1633333.3333333333</v>
      </c>
      <c r="T30" s="664">
        <f t="shared" si="28"/>
        <v>19600000</v>
      </c>
      <c r="U30" s="1069">
        <f t="shared" si="29"/>
        <v>0</v>
      </c>
      <c r="V30" s="1069">
        <f>'2018-2022'!E27</f>
        <v>19600000</v>
      </c>
      <c r="W30" s="1062">
        <f t="shared" si="36"/>
        <v>19600000</v>
      </c>
      <c r="X30" s="1073">
        <f t="shared" si="30"/>
        <v>0</v>
      </c>
      <c r="Y30" s="1069">
        <f>'2018-2022'!F27</f>
        <v>19600000</v>
      </c>
      <c r="Z30" s="1062">
        <f t="shared" si="37"/>
        <v>19600000</v>
      </c>
      <c r="AA30" s="1076">
        <f t="shared" si="31"/>
        <v>0</v>
      </c>
      <c r="AB30" s="1069">
        <f>'2018-2022'!G27</f>
        <v>19600000</v>
      </c>
      <c r="AC30" s="1062">
        <f t="shared" si="38"/>
        <v>19600000</v>
      </c>
      <c r="AD30" s="1076">
        <f t="shared" si="32"/>
        <v>0</v>
      </c>
      <c r="AE30" s="1069">
        <f>'2018-2022'!H27</f>
        <v>19600000</v>
      </c>
      <c r="AF30" s="1062">
        <f t="shared" si="39"/>
        <v>19600000</v>
      </c>
      <c r="AG30" s="1082">
        <f>'2018-2022'!I27</f>
        <v>0</v>
      </c>
    </row>
    <row r="31" spans="1:33" s="665" customFormat="1" ht="40" customHeight="1" x14ac:dyDescent="0.35">
      <c r="A31" s="1113" t="s">
        <v>67</v>
      </c>
      <c r="B31" s="660">
        <v>2.6</v>
      </c>
      <c r="C31" s="666" t="s">
        <v>490</v>
      </c>
      <c r="D31" s="662"/>
      <c r="E31" s="662"/>
      <c r="F31" s="663">
        <f>'2018-2022'!D28</f>
        <v>600000</v>
      </c>
      <c r="G31" s="663">
        <v>12</v>
      </c>
      <c r="H31" s="662">
        <f t="shared" si="40"/>
        <v>50000</v>
      </c>
      <c r="I31" s="662">
        <f t="shared" si="41"/>
        <v>50000</v>
      </c>
      <c r="J31" s="662">
        <f t="shared" si="41"/>
        <v>50000</v>
      </c>
      <c r="K31" s="662">
        <f t="shared" si="41"/>
        <v>50000</v>
      </c>
      <c r="L31" s="662">
        <f t="shared" si="41"/>
        <v>50000</v>
      </c>
      <c r="M31" s="662">
        <f t="shared" si="41"/>
        <v>50000</v>
      </c>
      <c r="N31" s="662">
        <f t="shared" si="41"/>
        <v>50000</v>
      </c>
      <c r="O31" s="662">
        <f t="shared" si="41"/>
        <v>50000</v>
      </c>
      <c r="P31" s="662">
        <f t="shared" si="41"/>
        <v>50000</v>
      </c>
      <c r="Q31" s="662">
        <f t="shared" si="41"/>
        <v>50000</v>
      </c>
      <c r="R31" s="662">
        <f t="shared" si="41"/>
        <v>50000</v>
      </c>
      <c r="S31" s="662">
        <f t="shared" si="41"/>
        <v>50000</v>
      </c>
      <c r="T31" s="664">
        <f t="shared" si="28"/>
        <v>600000</v>
      </c>
      <c r="U31" s="1069">
        <f t="shared" si="29"/>
        <v>0</v>
      </c>
      <c r="V31" s="1069">
        <f>'2018-2022'!E28</f>
        <v>600000</v>
      </c>
      <c r="W31" s="1062">
        <f t="shared" si="36"/>
        <v>600000</v>
      </c>
      <c r="X31" s="1073">
        <f t="shared" si="30"/>
        <v>0</v>
      </c>
      <c r="Y31" s="1069">
        <f>'2018-2022'!F28</f>
        <v>600000</v>
      </c>
      <c r="Z31" s="1062">
        <f t="shared" si="37"/>
        <v>600000</v>
      </c>
      <c r="AA31" s="1076">
        <f t="shared" si="31"/>
        <v>0</v>
      </c>
      <c r="AB31" s="1069">
        <f>'2018-2022'!G28</f>
        <v>600000</v>
      </c>
      <c r="AC31" s="1062">
        <f t="shared" si="38"/>
        <v>600000</v>
      </c>
      <c r="AD31" s="1076">
        <f t="shared" si="32"/>
        <v>0</v>
      </c>
      <c r="AE31" s="1069">
        <f>'2018-2022'!H28</f>
        <v>600000</v>
      </c>
      <c r="AF31" s="1062">
        <f t="shared" si="39"/>
        <v>600000</v>
      </c>
      <c r="AG31" s="1082">
        <f>'2018-2022'!I28</f>
        <v>0</v>
      </c>
    </row>
    <row r="32" spans="1:33" s="665" customFormat="1" ht="40" customHeight="1" x14ac:dyDescent="0.35">
      <c r="A32" s="1113" t="s">
        <v>67</v>
      </c>
      <c r="B32" s="660">
        <v>2.7</v>
      </c>
      <c r="C32" s="666" t="s">
        <v>491</v>
      </c>
      <c r="D32" s="662"/>
      <c r="E32" s="662"/>
      <c r="F32" s="663">
        <f>'2018-2022'!D29</f>
        <v>2500000</v>
      </c>
      <c r="G32" s="663">
        <v>12</v>
      </c>
      <c r="H32" s="662">
        <f t="shared" si="40"/>
        <v>208333.33333333334</v>
      </c>
      <c r="I32" s="662">
        <f t="shared" si="41"/>
        <v>208333.33333333334</v>
      </c>
      <c r="J32" s="662">
        <f t="shared" si="41"/>
        <v>208333.33333333334</v>
      </c>
      <c r="K32" s="662">
        <f t="shared" si="41"/>
        <v>208333.33333333334</v>
      </c>
      <c r="L32" s="662">
        <f t="shared" si="41"/>
        <v>208333.33333333334</v>
      </c>
      <c r="M32" s="662">
        <f t="shared" si="41"/>
        <v>208333.33333333334</v>
      </c>
      <c r="N32" s="662">
        <f t="shared" si="41"/>
        <v>208333.33333333334</v>
      </c>
      <c r="O32" s="662">
        <f t="shared" si="41"/>
        <v>208333.33333333334</v>
      </c>
      <c r="P32" s="662">
        <f t="shared" si="41"/>
        <v>208333.33333333334</v>
      </c>
      <c r="Q32" s="662">
        <f t="shared" si="41"/>
        <v>208333.33333333334</v>
      </c>
      <c r="R32" s="662">
        <f t="shared" si="41"/>
        <v>208333.33333333334</v>
      </c>
      <c r="S32" s="662">
        <f t="shared" si="41"/>
        <v>208333.33333333334</v>
      </c>
      <c r="T32" s="664">
        <f t="shared" si="28"/>
        <v>2500000</v>
      </c>
      <c r="U32" s="1069">
        <f t="shared" si="29"/>
        <v>0</v>
      </c>
      <c r="V32" s="1069">
        <f>'2018-2022'!E29</f>
        <v>2500000</v>
      </c>
      <c r="W32" s="1062">
        <f t="shared" si="36"/>
        <v>2500000</v>
      </c>
      <c r="X32" s="1073">
        <f t="shared" si="30"/>
        <v>0</v>
      </c>
      <c r="Y32" s="1069">
        <f>'2018-2022'!F29</f>
        <v>2500000</v>
      </c>
      <c r="Z32" s="1062">
        <f t="shared" si="37"/>
        <v>2500000</v>
      </c>
      <c r="AA32" s="1076">
        <f t="shared" si="31"/>
        <v>0</v>
      </c>
      <c r="AB32" s="1069">
        <f>'2018-2022'!G29</f>
        <v>2500000</v>
      </c>
      <c r="AC32" s="1062">
        <f t="shared" si="38"/>
        <v>2500000</v>
      </c>
      <c r="AD32" s="1076">
        <f t="shared" si="32"/>
        <v>0</v>
      </c>
      <c r="AE32" s="1069">
        <f>'2018-2022'!H29</f>
        <v>2500000</v>
      </c>
      <c r="AF32" s="1062">
        <f t="shared" si="39"/>
        <v>2500000</v>
      </c>
      <c r="AG32" s="1082" t="str">
        <f>'2018-2022'!I29</f>
        <v>Plans to replace 10 Rechargeable batteries in the year 2018</v>
      </c>
    </row>
    <row r="33" spans="1:33" s="665" customFormat="1" ht="40" customHeight="1" x14ac:dyDescent="0.35">
      <c r="A33" s="1113" t="s">
        <v>67</v>
      </c>
      <c r="B33" s="660">
        <v>2.8</v>
      </c>
      <c r="C33" s="666" t="s">
        <v>246</v>
      </c>
      <c r="D33" s="662"/>
      <c r="E33" s="662"/>
      <c r="F33" s="663">
        <f>'2018-2022'!D30</f>
        <v>20000000</v>
      </c>
      <c r="G33" s="663">
        <v>12</v>
      </c>
      <c r="H33" s="662">
        <f t="shared" si="40"/>
        <v>1666666.6666666667</v>
      </c>
      <c r="I33" s="662">
        <f t="shared" si="41"/>
        <v>1666666.6666666667</v>
      </c>
      <c r="J33" s="662">
        <f t="shared" si="41"/>
        <v>1666666.6666666667</v>
      </c>
      <c r="K33" s="662">
        <f t="shared" si="41"/>
        <v>1666666.6666666667</v>
      </c>
      <c r="L33" s="662">
        <f t="shared" si="41"/>
        <v>1666666.6666666667</v>
      </c>
      <c r="M33" s="662">
        <f t="shared" si="41"/>
        <v>1666666.6666666667</v>
      </c>
      <c r="N33" s="662">
        <f t="shared" si="41"/>
        <v>1666666.6666666667</v>
      </c>
      <c r="O33" s="662">
        <f t="shared" si="41"/>
        <v>1666666.6666666667</v>
      </c>
      <c r="P33" s="662">
        <f t="shared" si="41"/>
        <v>1666666.6666666667</v>
      </c>
      <c r="Q33" s="662">
        <f t="shared" si="41"/>
        <v>1666666.6666666667</v>
      </c>
      <c r="R33" s="662">
        <f t="shared" si="41"/>
        <v>1666666.6666666667</v>
      </c>
      <c r="S33" s="662">
        <f t="shared" si="41"/>
        <v>1666666.6666666667</v>
      </c>
      <c r="T33" s="664">
        <f t="shared" si="28"/>
        <v>20000000</v>
      </c>
      <c r="U33" s="1069">
        <f t="shared" si="29"/>
        <v>0</v>
      </c>
      <c r="V33" s="1069">
        <f>'2018-2022'!E30</f>
        <v>20000000</v>
      </c>
      <c r="W33" s="1062">
        <f>U33+V33</f>
        <v>20000000</v>
      </c>
      <c r="X33" s="1073">
        <f t="shared" si="30"/>
        <v>0</v>
      </c>
      <c r="Y33" s="1069">
        <f>'2018-2022'!F30</f>
        <v>20000000</v>
      </c>
      <c r="Z33" s="1062">
        <f>X33+Y33</f>
        <v>20000000</v>
      </c>
      <c r="AA33" s="1076">
        <f t="shared" si="31"/>
        <v>0</v>
      </c>
      <c r="AB33" s="1069">
        <f>'2018-2022'!G30</f>
        <v>20000000</v>
      </c>
      <c r="AC33" s="1062">
        <f>AA33+AB33</f>
        <v>20000000</v>
      </c>
      <c r="AD33" s="1076">
        <f t="shared" si="32"/>
        <v>0</v>
      </c>
      <c r="AE33" s="1069">
        <f>'2018-2022'!H30</f>
        <v>20000000</v>
      </c>
      <c r="AF33" s="1062">
        <f>AD33+AE33</f>
        <v>20000000</v>
      </c>
      <c r="AG33" s="1082">
        <f>'2018-2022'!I30</f>
        <v>0</v>
      </c>
    </row>
    <row r="34" spans="1:33" s="665" customFormat="1" ht="40" customHeight="1" x14ac:dyDescent="0.35">
      <c r="A34" s="1114" t="s">
        <v>601</v>
      </c>
      <c r="B34" s="668"/>
      <c r="C34" s="669" t="s">
        <v>561</v>
      </c>
      <c r="D34" s="670"/>
      <c r="E34" s="670"/>
      <c r="F34" s="670">
        <f>SUBTOTAL(9,F24:F33)</f>
        <v>444996000</v>
      </c>
      <c r="G34" s="670"/>
      <c r="H34" s="670">
        <f t="shared" ref="H34:AD34" si="42">SUBTOTAL(9,H24:H33)</f>
        <v>37083000</v>
      </c>
      <c r="I34" s="670">
        <f t="shared" si="42"/>
        <v>37083000</v>
      </c>
      <c r="J34" s="670">
        <f t="shared" si="42"/>
        <v>37083000</v>
      </c>
      <c r="K34" s="670">
        <f t="shared" si="42"/>
        <v>37083000</v>
      </c>
      <c r="L34" s="670">
        <f t="shared" si="42"/>
        <v>37083000</v>
      </c>
      <c r="M34" s="670">
        <f t="shared" si="42"/>
        <v>37083000</v>
      </c>
      <c r="N34" s="670">
        <f t="shared" si="42"/>
        <v>37083000</v>
      </c>
      <c r="O34" s="670">
        <f t="shared" si="42"/>
        <v>37083000</v>
      </c>
      <c r="P34" s="670">
        <f t="shared" si="42"/>
        <v>37083000</v>
      </c>
      <c r="Q34" s="670">
        <f t="shared" si="42"/>
        <v>37083000</v>
      </c>
      <c r="R34" s="670">
        <f t="shared" si="42"/>
        <v>37083000</v>
      </c>
      <c r="S34" s="670">
        <f t="shared" si="42"/>
        <v>37083000</v>
      </c>
      <c r="T34" s="670">
        <f t="shared" si="42"/>
        <v>444996000</v>
      </c>
      <c r="U34" s="1070">
        <f t="shared" si="42"/>
        <v>-2.9802322387695313E-8</v>
      </c>
      <c r="V34" s="1070">
        <f t="shared" si="42"/>
        <v>444996000</v>
      </c>
      <c r="W34" s="670">
        <f>SUBTOTAL(9,W24:W33)</f>
        <v>444996000</v>
      </c>
      <c r="X34" s="1070">
        <f t="shared" si="42"/>
        <v>0</v>
      </c>
      <c r="Y34" s="1070">
        <f>SUBTOTAL(9,Y24:Y33)</f>
        <v>444996000</v>
      </c>
      <c r="Z34" s="670">
        <f>SUBTOTAL(9,Z24:Z33)</f>
        <v>444996000</v>
      </c>
      <c r="AA34" s="1070">
        <f t="shared" si="42"/>
        <v>0</v>
      </c>
      <c r="AB34" s="1070">
        <f t="shared" ref="AB34" si="43">SUBTOTAL(9,AB24:AB33)</f>
        <v>444996000</v>
      </c>
      <c r="AC34" s="670">
        <f>SUBTOTAL(9,AC24:AC33)</f>
        <v>444996000</v>
      </c>
      <c r="AD34" s="1070">
        <f t="shared" si="42"/>
        <v>0</v>
      </c>
      <c r="AE34" s="1070">
        <f t="shared" ref="AE34:AG34" si="44">SUBTOTAL(9,AE24:AE33)</f>
        <v>444996000</v>
      </c>
      <c r="AF34" s="670">
        <f>SUBTOTAL(9,AF24:AF33)</f>
        <v>444996000</v>
      </c>
      <c r="AG34" s="1079">
        <f t="shared" si="44"/>
        <v>0</v>
      </c>
    </row>
    <row r="35" spans="1:33" s="665" customFormat="1" ht="40" customHeight="1" x14ac:dyDescent="0.35">
      <c r="A35" s="1113" t="s">
        <v>61</v>
      </c>
      <c r="B35" s="660" t="s">
        <v>61</v>
      </c>
      <c r="C35" s="661" t="s">
        <v>564</v>
      </c>
      <c r="D35" s="662"/>
      <c r="E35" s="662"/>
      <c r="F35" s="663"/>
      <c r="G35" s="663"/>
      <c r="H35" s="662"/>
      <c r="I35" s="662"/>
      <c r="J35" s="662"/>
      <c r="K35" s="662"/>
      <c r="L35" s="662"/>
      <c r="M35" s="662"/>
      <c r="N35" s="662"/>
      <c r="O35" s="662"/>
      <c r="P35" s="662"/>
      <c r="Q35" s="662"/>
      <c r="R35" s="662"/>
      <c r="S35" s="662"/>
      <c r="T35" s="664"/>
      <c r="U35" s="1069"/>
      <c r="V35" s="1069"/>
      <c r="W35" s="1062"/>
      <c r="X35" s="1073"/>
      <c r="Y35" s="1069"/>
      <c r="Z35" s="1062"/>
      <c r="AA35" s="1076"/>
      <c r="AB35" s="1069"/>
      <c r="AC35" s="1062"/>
      <c r="AD35" s="1076"/>
      <c r="AE35" s="1069"/>
      <c r="AF35" s="1062"/>
      <c r="AG35" s="1082"/>
    </row>
    <row r="36" spans="1:33" s="665" customFormat="1" ht="40" customHeight="1" x14ac:dyDescent="0.35">
      <c r="A36" s="1113" t="s">
        <v>61</v>
      </c>
      <c r="B36" s="660">
        <v>1</v>
      </c>
      <c r="C36" s="666" t="s">
        <v>466</v>
      </c>
      <c r="D36" s="662"/>
      <c r="E36" s="662"/>
      <c r="F36" s="663">
        <f>'2018-2022'!D32</f>
        <v>19000000</v>
      </c>
      <c r="G36" s="663">
        <v>12</v>
      </c>
      <c r="H36" s="662">
        <f t="shared" ref="H36:H42" si="45">F36/G36</f>
        <v>1583333.3333333333</v>
      </c>
      <c r="I36" s="662">
        <f>H36</f>
        <v>1583333.3333333333</v>
      </c>
      <c r="J36" s="662">
        <f t="shared" ref="J36:S36" si="46">I36</f>
        <v>1583333.3333333333</v>
      </c>
      <c r="K36" s="662">
        <f t="shared" si="46"/>
        <v>1583333.3333333333</v>
      </c>
      <c r="L36" s="662">
        <f t="shared" si="46"/>
        <v>1583333.3333333333</v>
      </c>
      <c r="M36" s="662">
        <f t="shared" si="46"/>
        <v>1583333.3333333333</v>
      </c>
      <c r="N36" s="662">
        <f t="shared" si="46"/>
        <v>1583333.3333333333</v>
      </c>
      <c r="O36" s="662">
        <f t="shared" si="46"/>
        <v>1583333.3333333333</v>
      </c>
      <c r="P36" s="662">
        <f t="shared" si="46"/>
        <v>1583333.3333333333</v>
      </c>
      <c r="Q36" s="662">
        <f t="shared" si="46"/>
        <v>1583333.3333333333</v>
      </c>
      <c r="R36" s="662">
        <f t="shared" si="46"/>
        <v>1583333.3333333333</v>
      </c>
      <c r="S36" s="662">
        <f t="shared" si="46"/>
        <v>1583333.3333333333</v>
      </c>
      <c r="T36" s="664">
        <f t="shared" ref="T36:T42" si="47">SUM(H36:S36)</f>
        <v>19000000</v>
      </c>
      <c r="U36" s="1069">
        <f t="shared" ref="U36:U42" si="48">MIN(F36-T36,F36/G36*12)</f>
        <v>0</v>
      </c>
      <c r="V36" s="1069">
        <f>'2018-2022'!E32</f>
        <v>19000000</v>
      </c>
      <c r="W36" s="1062">
        <f t="shared" ref="W36:W42" si="49">U36+V36</f>
        <v>19000000</v>
      </c>
      <c r="X36" s="1073">
        <f t="shared" ref="X36:X42" si="50">MIN(F36-T36-U36,F36/G36*12)</f>
        <v>0</v>
      </c>
      <c r="Y36" s="1069">
        <f>'2018-2022'!F32</f>
        <v>19000000</v>
      </c>
      <c r="Z36" s="1062">
        <f t="shared" ref="Z36:Z42" si="51">X36+Y36</f>
        <v>19000000</v>
      </c>
      <c r="AA36" s="1076">
        <f t="shared" ref="AA36:AA42" si="52">MIN(F36-T36-U36-X36,F36/G36*12)</f>
        <v>0</v>
      </c>
      <c r="AB36" s="1069">
        <f>'2018-2022'!G32</f>
        <v>19000000</v>
      </c>
      <c r="AC36" s="1062">
        <f t="shared" ref="AC36:AC42" si="53">AA36+AB36</f>
        <v>19000000</v>
      </c>
      <c r="AD36" s="1076">
        <f t="shared" ref="AD36:AD42" si="54">F36-T36-U36-X36-AA36</f>
        <v>0</v>
      </c>
      <c r="AE36" s="1069">
        <f>'2018-2022'!H32</f>
        <v>19000000</v>
      </c>
      <c r="AF36" s="1062">
        <f t="shared" ref="AF36:AF42" si="55">AD36+AE36</f>
        <v>19000000</v>
      </c>
      <c r="AG36" s="1082" t="str">
        <f>'2018-2022'!I32</f>
        <v>Replaced 21 camera lens in 2016 and 10 camera lens in the year 2017</v>
      </c>
    </row>
    <row r="37" spans="1:33" s="665" customFormat="1" ht="40" customHeight="1" x14ac:dyDescent="0.35">
      <c r="A37" s="1113" t="s">
        <v>61</v>
      </c>
      <c r="B37" s="660">
        <v>2</v>
      </c>
      <c r="C37" s="666" t="s">
        <v>467</v>
      </c>
      <c r="D37" s="662"/>
      <c r="E37" s="662"/>
      <c r="F37" s="663">
        <f>'2018-2022'!D33</f>
        <v>10000000</v>
      </c>
      <c r="G37" s="663">
        <v>12</v>
      </c>
      <c r="H37" s="662">
        <f t="shared" si="45"/>
        <v>833333.33333333337</v>
      </c>
      <c r="I37" s="662">
        <f t="shared" ref="I37" si="56">H37</f>
        <v>833333.33333333337</v>
      </c>
      <c r="J37" s="662">
        <f t="shared" ref="J37:S37" si="57">I37</f>
        <v>833333.33333333337</v>
      </c>
      <c r="K37" s="662">
        <f t="shared" si="57"/>
        <v>833333.33333333337</v>
      </c>
      <c r="L37" s="662">
        <f t="shared" si="57"/>
        <v>833333.33333333337</v>
      </c>
      <c r="M37" s="662">
        <f t="shared" si="57"/>
        <v>833333.33333333337</v>
      </c>
      <c r="N37" s="662">
        <f t="shared" si="57"/>
        <v>833333.33333333337</v>
      </c>
      <c r="O37" s="662">
        <f t="shared" si="57"/>
        <v>833333.33333333337</v>
      </c>
      <c r="P37" s="662">
        <f t="shared" si="57"/>
        <v>833333.33333333337</v>
      </c>
      <c r="Q37" s="662">
        <f t="shared" si="57"/>
        <v>833333.33333333337</v>
      </c>
      <c r="R37" s="662">
        <f t="shared" si="57"/>
        <v>833333.33333333337</v>
      </c>
      <c r="S37" s="662">
        <f t="shared" si="57"/>
        <v>833333.33333333337</v>
      </c>
      <c r="T37" s="664">
        <f t="shared" si="47"/>
        <v>10000000</v>
      </c>
      <c r="U37" s="1069">
        <f t="shared" si="48"/>
        <v>0</v>
      </c>
      <c r="V37" s="1069">
        <f>'2018-2022'!E33</f>
        <v>10000000</v>
      </c>
      <c r="W37" s="1062">
        <f t="shared" si="49"/>
        <v>10000000</v>
      </c>
      <c r="X37" s="1073">
        <f t="shared" si="50"/>
        <v>0</v>
      </c>
      <c r="Y37" s="1069">
        <f>'2018-2022'!F33</f>
        <v>10000000</v>
      </c>
      <c r="Z37" s="1062">
        <f t="shared" si="51"/>
        <v>10000000</v>
      </c>
      <c r="AA37" s="1076">
        <f t="shared" si="52"/>
        <v>0</v>
      </c>
      <c r="AB37" s="1069">
        <f>'2018-2022'!G33</f>
        <v>10000000</v>
      </c>
      <c r="AC37" s="1062">
        <f t="shared" si="53"/>
        <v>10000000</v>
      </c>
      <c r="AD37" s="1076">
        <f t="shared" si="54"/>
        <v>0</v>
      </c>
      <c r="AE37" s="1069">
        <f>'2018-2022'!H33</f>
        <v>10000000</v>
      </c>
      <c r="AF37" s="1062">
        <f t="shared" si="55"/>
        <v>10000000</v>
      </c>
      <c r="AG37" s="1082" t="str">
        <f>'2018-2022'!I33</f>
        <v>Plans to replace 02 CCU in 2018</v>
      </c>
    </row>
    <row r="38" spans="1:33" s="665" customFormat="1" ht="40" customHeight="1" x14ac:dyDescent="0.35">
      <c r="A38" s="1113" t="s">
        <v>61</v>
      </c>
      <c r="B38" s="660">
        <v>3</v>
      </c>
      <c r="C38" s="666" t="s">
        <v>468</v>
      </c>
      <c r="D38" s="662"/>
      <c r="E38" s="662"/>
      <c r="F38" s="663">
        <f>'2018-2022'!D34</f>
        <v>2500000</v>
      </c>
      <c r="G38" s="663">
        <v>12</v>
      </c>
      <c r="H38" s="662">
        <f t="shared" si="45"/>
        <v>208333.33333333334</v>
      </c>
      <c r="I38" s="662">
        <f>H38</f>
        <v>208333.33333333334</v>
      </c>
      <c r="J38" s="662">
        <f t="shared" ref="J38:S38" si="58">I38</f>
        <v>208333.33333333334</v>
      </c>
      <c r="K38" s="662">
        <f t="shared" si="58"/>
        <v>208333.33333333334</v>
      </c>
      <c r="L38" s="662">
        <f t="shared" si="58"/>
        <v>208333.33333333334</v>
      </c>
      <c r="M38" s="662">
        <f t="shared" si="58"/>
        <v>208333.33333333334</v>
      </c>
      <c r="N38" s="662">
        <f t="shared" si="58"/>
        <v>208333.33333333334</v>
      </c>
      <c r="O38" s="662">
        <f t="shared" si="58"/>
        <v>208333.33333333334</v>
      </c>
      <c r="P38" s="662">
        <f t="shared" si="58"/>
        <v>208333.33333333334</v>
      </c>
      <c r="Q38" s="662">
        <f t="shared" si="58"/>
        <v>208333.33333333334</v>
      </c>
      <c r="R38" s="662">
        <f t="shared" si="58"/>
        <v>208333.33333333334</v>
      </c>
      <c r="S38" s="662">
        <f t="shared" si="58"/>
        <v>208333.33333333334</v>
      </c>
      <c r="T38" s="664">
        <f t="shared" si="47"/>
        <v>2500000</v>
      </c>
      <c r="U38" s="1069">
        <f t="shared" si="48"/>
        <v>0</v>
      </c>
      <c r="V38" s="1069">
        <f>'2018-2022'!E34</f>
        <v>2500000</v>
      </c>
      <c r="W38" s="1062">
        <f t="shared" si="49"/>
        <v>2500000</v>
      </c>
      <c r="X38" s="1073">
        <f t="shared" si="50"/>
        <v>0</v>
      </c>
      <c r="Y38" s="1069">
        <f>'2018-2022'!F34</f>
        <v>2500000</v>
      </c>
      <c r="Z38" s="1062">
        <f t="shared" si="51"/>
        <v>2500000</v>
      </c>
      <c r="AA38" s="1076">
        <f t="shared" si="52"/>
        <v>0</v>
      </c>
      <c r="AB38" s="1069">
        <f>'2018-2022'!G34</f>
        <v>2500000</v>
      </c>
      <c r="AC38" s="1062">
        <f t="shared" si="53"/>
        <v>2500000</v>
      </c>
      <c r="AD38" s="1076">
        <f t="shared" si="54"/>
        <v>0</v>
      </c>
      <c r="AE38" s="1069">
        <f>'2018-2022'!H34</f>
        <v>2500000</v>
      </c>
      <c r="AF38" s="1062">
        <f t="shared" si="55"/>
        <v>2500000</v>
      </c>
      <c r="AG38" s="1082" t="str">
        <f>'2018-2022'!I34</f>
        <v>Plans to replace 5 out of order speakers in 2018</v>
      </c>
    </row>
    <row r="39" spans="1:33" s="665" customFormat="1" ht="40" customHeight="1" x14ac:dyDescent="0.35">
      <c r="A39" s="1113" t="s">
        <v>61</v>
      </c>
      <c r="B39" s="660">
        <v>4</v>
      </c>
      <c r="C39" s="666" t="s">
        <v>469</v>
      </c>
      <c r="D39" s="662"/>
      <c r="E39" s="662"/>
      <c r="F39" s="663">
        <f>'2018-2022'!D35</f>
        <v>6800000</v>
      </c>
      <c r="G39" s="663">
        <v>12</v>
      </c>
      <c r="H39" s="662">
        <f t="shared" si="45"/>
        <v>566666.66666666663</v>
      </c>
      <c r="I39" s="662">
        <f t="shared" ref="I39" si="59">H39</f>
        <v>566666.66666666663</v>
      </c>
      <c r="J39" s="662">
        <f t="shared" ref="J39:S39" si="60">I39</f>
        <v>566666.66666666663</v>
      </c>
      <c r="K39" s="662">
        <f t="shared" si="60"/>
        <v>566666.66666666663</v>
      </c>
      <c r="L39" s="662">
        <f t="shared" si="60"/>
        <v>566666.66666666663</v>
      </c>
      <c r="M39" s="662">
        <f t="shared" si="60"/>
        <v>566666.66666666663</v>
      </c>
      <c r="N39" s="662">
        <f t="shared" si="60"/>
        <v>566666.66666666663</v>
      </c>
      <c r="O39" s="662">
        <f t="shared" si="60"/>
        <v>566666.66666666663</v>
      </c>
      <c r="P39" s="662">
        <f t="shared" si="60"/>
        <v>566666.66666666663</v>
      </c>
      <c r="Q39" s="662">
        <f t="shared" si="60"/>
        <v>566666.66666666663</v>
      </c>
      <c r="R39" s="662">
        <f t="shared" si="60"/>
        <v>566666.66666666663</v>
      </c>
      <c r="S39" s="662">
        <f t="shared" si="60"/>
        <v>566666.66666666663</v>
      </c>
      <c r="T39" s="664">
        <f t="shared" si="47"/>
        <v>6800000.0000000009</v>
      </c>
      <c r="U39" s="1069">
        <f t="shared" si="48"/>
        <v>-9.3132257461547852E-10</v>
      </c>
      <c r="V39" s="1069">
        <f>'2018-2022'!E35</f>
        <v>6800000</v>
      </c>
      <c r="W39" s="1062">
        <f t="shared" si="49"/>
        <v>6799999.9999999991</v>
      </c>
      <c r="X39" s="1073">
        <f t="shared" si="50"/>
        <v>0</v>
      </c>
      <c r="Y39" s="1069">
        <f>'2018-2022'!F35</f>
        <v>6800000</v>
      </c>
      <c r="Z39" s="1062">
        <f t="shared" si="51"/>
        <v>6800000</v>
      </c>
      <c r="AA39" s="1076">
        <f t="shared" si="52"/>
        <v>0</v>
      </c>
      <c r="AB39" s="1069">
        <f>'2018-2022'!G35</f>
        <v>6800000</v>
      </c>
      <c r="AC39" s="1062">
        <f t="shared" si="53"/>
        <v>6800000</v>
      </c>
      <c r="AD39" s="1076">
        <f t="shared" si="54"/>
        <v>0</v>
      </c>
      <c r="AE39" s="1069">
        <f>'2018-2022'!H35</f>
        <v>6800000</v>
      </c>
      <c r="AF39" s="1062">
        <f t="shared" si="55"/>
        <v>6800000</v>
      </c>
      <c r="AG39" s="1082" t="str">
        <f>'2018-2022'!I35</f>
        <v>Plans to replace 2 out of order monitor  in 2018</v>
      </c>
    </row>
    <row r="40" spans="1:33" s="665" customFormat="1" ht="40" customHeight="1" x14ac:dyDescent="0.35">
      <c r="A40" s="1113" t="s">
        <v>61</v>
      </c>
      <c r="B40" s="660">
        <v>5</v>
      </c>
      <c r="C40" s="666" t="s">
        <v>292</v>
      </c>
      <c r="D40" s="662"/>
      <c r="E40" s="662"/>
      <c r="F40" s="663">
        <f>'2018-2022'!D36</f>
        <v>12000000</v>
      </c>
      <c r="G40" s="663">
        <v>12</v>
      </c>
      <c r="H40" s="662">
        <f t="shared" si="45"/>
        <v>1000000</v>
      </c>
      <c r="I40" s="662">
        <f t="shared" ref="I40" si="61">H40</f>
        <v>1000000</v>
      </c>
      <c r="J40" s="662">
        <f t="shared" ref="J40:S40" si="62">I40</f>
        <v>1000000</v>
      </c>
      <c r="K40" s="662">
        <f t="shared" si="62"/>
        <v>1000000</v>
      </c>
      <c r="L40" s="662">
        <f t="shared" si="62"/>
        <v>1000000</v>
      </c>
      <c r="M40" s="662">
        <f t="shared" si="62"/>
        <v>1000000</v>
      </c>
      <c r="N40" s="662">
        <f t="shared" si="62"/>
        <v>1000000</v>
      </c>
      <c r="O40" s="662">
        <f t="shared" si="62"/>
        <v>1000000</v>
      </c>
      <c r="P40" s="662">
        <f t="shared" si="62"/>
        <v>1000000</v>
      </c>
      <c r="Q40" s="662">
        <f t="shared" si="62"/>
        <v>1000000</v>
      </c>
      <c r="R40" s="662">
        <f t="shared" si="62"/>
        <v>1000000</v>
      </c>
      <c r="S40" s="662">
        <f t="shared" si="62"/>
        <v>1000000</v>
      </c>
      <c r="T40" s="664">
        <f t="shared" si="47"/>
        <v>12000000</v>
      </c>
      <c r="U40" s="1069">
        <f t="shared" si="48"/>
        <v>0</v>
      </c>
      <c r="V40" s="1069">
        <f>'2018-2022'!E36</f>
        <v>12000000</v>
      </c>
      <c r="W40" s="1062">
        <f t="shared" si="49"/>
        <v>12000000</v>
      </c>
      <c r="X40" s="1073">
        <f t="shared" si="50"/>
        <v>0</v>
      </c>
      <c r="Y40" s="1069">
        <f>'2018-2022'!F36</f>
        <v>12000000</v>
      </c>
      <c r="Z40" s="1062">
        <f t="shared" si="51"/>
        <v>12000000</v>
      </c>
      <c r="AA40" s="1076">
        <f t="shared" si="52"/>
        <v>0</v>
      </c>
      <c r="AB40" s="1069">
        <f>'2018-2022'!G36</f>
        <v>12000000</v>
      </c>
      <c r="AC40" s="1062">
        <f t="shared" si="53"/>
        <v>12000000</v>
      </c>
      <c r="AD40" s="1076">
        <f t="shared" si="54"/>
        <v>0</v>
      </c>
      <c r="AE40" s="1069">
        <f>'2018-2022'!H36</f>
        <v>12000000</v>
      </c>
      <c r="AF40" s="1062">
        <f t="shared" si="55"/>
        <v>12000000</v>
      </c>
      <c r="AG40" s="1082" t="str">
        <f>'2018-2022'!I36</f>
        <v>life span 05 years (total 40 units)</v>
      </c>
    </row>
    <row r="41" spans="1:33" s="665" customFormat="1" ht="40" customHeight="1" x14ac:dyDescent="0.35">
      <c r="A41" s="1113" t="s">
        <v>61</v>
      </c>
      <c r="B41" s="660">
        <v>6</v>
      </c>
      <c r="C41" s="666" t="s">
        <v>294</v>
      </c>
      <c r="D41" s="662"/>
      <c r="E41" s="662"/>
      <c r="F41" s="663">
        <f>'2018-2022'!D37</f>
        <v>600000000</v>
      </c>
      <c r="G41" s="663">
        <f>12*5</f>
        <v>60</v>
      </c>
      <c r="H41" s="662">
        <f t="shared" si="45"/>
        <v>10000000</v>
      </c>
      <c r="I41" s="662">
        <f t="shared" ref="I41" si="63">H41</f>
        <v>10000000</v>
      </c>
      <c r="J41" s="662">
        <f t="shared" ref="J41:S41" si="64">I41</f>
        <v>10000000</v>
      </c>
      <c r="K41" s="662">
        <f t="shared" si="64"/>
        <v>10000000</v>
      </c>
      <c r="L41" s="662">
        <f t="shared" si="64"/>
        <v>10000000</v>
      </c>
      <c r="M41" s="662">
        <f t="shared" si="64"/>
        <v>10000000</v>
      </c>
      <c r="N41" s="662">
        <f t="shared" si="64"/>
        <v>10000000</v>
      </c>
      <c r="O41" s="662">
        <f t="shared" si="64"/>
        <v>10000000</v>
      </c>
      <c r="P41" s="662">
        <f t="shared" si="64"/>
        <v>10000000</v>
      </c>
      <c r="Q41" s="662">
        <f t="shared" si="64"/>
        <v>10000000</v>
      </c>
      <c r="R41" s="662">
        <f t="shared" si="64"/>
        <v>10000000</v>
      </c>
      <c r="S41" s="662">
        <f t="shared" si="64"/>
        <v>10000000</v>
      </c>
      <c r="T41" s="664">
        <f t="shared" si="47"/>
        <v>120000000</v>
      </c>
      <c r="U41" s="1069">
        <f t="shared" si="48"/>
        <v>120000000</v>
      </c>
      <c r="V41" s="1069">
        <f>'2018-2022'!E37</f>
        <v>0</v>
      </c>
      <c r="W41" s="1062">
        <f t="shared" si="49"/>
        <v>120000000</v>
      </c>
      <c r="X41" s="1073">
        <f t="shared" si="50"/>
        <v>120000000</v>
      </c>
      <c r="Y41" s="1069">
        <f>'2018-2022'!F37</f>
        <v>0</v>
      </c>
      <c r="Z41" s="1062">
        <f t="shared" si="51"/>
        <v>120000000</v>
      </c>
      <c r="AA41" s="1076">
        <f t="shared" si="52"/>
        <v>120000000</v>
      </c>
      <c r="AB41" s="1069">
        <f>'2018-2022'!G37</f>
        <v>0</v>
      </c>
      <c r="AC41" s="1062">
        <f t="shared" si="53"/>
        <v>120000000</v>
      </c>
      <c r="AD41" s="1076">
        <f t="shared" si="54"/>
        <v>120000000</v>
      </c>
      <c r="AE41" s="1069">
        <f>'2018-2022'!H37</f>
        <v>600000000</v>
      </c>
      <c r="AF41" s="1062">
        <f t="shared" si="55"/>
        <v>720000000</v>
      </c>
      <c r="AG41" s="1082" t="str">
        <f>'2018-2022'!I37</f>
        <v>upgrade, repair and centralize</v>
      </c>
    </row>
    <row r="42" spans="1:33" s="665" customFormat="1" ht="40" customHeight="1" x14ac:dyDescent="0.35">
      <c r="A42" s="1113" t="s">
        <v>61</v>
      </c>
      <c r="B42" s="660">
        <v>7</v>
      </c>
      <c r="C42" s="666" t="s">
        <v>247</v>
      </c>
      <c r="D42" s="662"/>
      <c r="E42" s="662"/>
      <c r="F42" s="663">
        <f>'2018-2022'!D38</f>
        <v>20000000</v>
      </c>
      <c r="G42" s="663">
        <v>12</v>
      </c>
      <c r="H42" s="662">
        <f t="shared" si="45"/>
        <v>1666666.6666666667</v>
      </c>
      <c r="I42" s="662">
        <f t="shared" ref="I42" si="65">H42</f>
        <v>1666666.6666666667</v>
      </c>
      <c r="J42" s="662">
        <f t="shared" ref="J42:S42" si="66">I42</f>
        <v>1666666.6666666667</v>
      </c>
      <c r="K42" s="662">
        <f t="shared" si="66"/>
        <v>1666666.6666666667</v>
      </c>
      <c r="L42" s="662">
        <f t="shared" si="66"/>
        <v>1666666.6666666667</v>
      </c>
      <c r="M42" s="662">
        <f t="shared" si="66"/>
        <v>1666666.6666666667</v>
      </c>
      <c r="N42" s="662">
        <f t="shared" si="66"/>
        <v>1666666.6666666667</v>
      </c>
      <c r="O42" s="662">
        <f t="shared" si="66"/>
        <v>1666666.6666666667</v>
      </c>
      <c r="P42" s="662">
        <f t="shared" si="66"/>
        <v>1666666.6666666667</v>
      </c>
      <c r="Q42" s="662">
        <f t="shared" si="66"/>
        <v>1666666.6666666667</v>
      </c>
      <c r="R42" s="662">
        <f t="shared" si="66"/>
        <v>1666666.6666666667</v>
      </c>
      <c r="S42" s="662">
        <f t="shared" si="66"/>
        <v>1666666.6666666667</v>
      </c>
      <c r="T42" s="664">
        <f t="shared" si="47"/>
        <v>20000000</v>
      </c>
      <c r="U42" s="1069">
        <f t="shared" si="48"/>
        <v>0</v>
      </c>
      <c r="V42" s="1069">
        <f>'2018-2022'!E38</f>
        <v>20000000</v>
      </c>
      <c r="W42" s="1062">
        <f t="shared" si="49"/>
        <v>20000000</v>
      </c>
      <c r="X42" s="1073">
        <f t="shared" si="50"/>
        <v>0</v>
      </c>
      <c r="Y42" s="1069">
        <f>'2018-2022'!F38</f>
        <v>20000000</v>
      </c>
      <c r="Z42" s="1062">
        <f t="shared" si="51"/>
        <v>20000000</v>
      </c>
      <c r="AA42" s="1076">
        <f t="shared" si="52"/>
        <v>0</v>
      </c>
      <c r="AB42" s="1069">
        <f>'2018-2022'!G38</f>
        <v>20000000</v>
      </c>
      <c r="AC42" s="1062">
        <f t="shared" si="53"/>
        <v>20000000</v>
      </c>
      <c r="AD42" s="1076">
        <f t="shared" si="54"/>
        <v>0</v>
      </c>
      <c r="AE42" s="1069">
        <f>'2018-2022'!H38</f>
        <v>20000000</v>
      </c>
      <c r="AF42" s="1062">
        <f t="shared" si="55"/>
        <v>20000000</v>
      </c>
      <c r="AG42" s="1082">
        <f>'2018-2022'!I38</f>
        <v>0</v>
      </c>
    </row>
    <row r="43" spans="1:33" s="665" customFormat="1" ht="40" customHeight="1" x14ac:dyDescent="0.35">
      <c r="A43" s="1114" t="s">
        <v>602</v>
      </c>
      <c r="B43" s="668"/>
      <c r="C43" s="669" t="s">
        <v>564</v>
      </c>
      <c r="D43" s="670"/>
      <c r="E43" s="670"/>
      <c r="F43" s="670">
        <f>SUBTOTAL(9,F35:F42)</f>
        <v>670300000</v>
      </c>
      <c r="G43" s="670"/>
      <c r="H43" s="670">
        <f t="shared" ref="H43:S43" si="67">SUBTOTAL(9,H35:H42)</f>
        <v>15858333.333333332</v>
      </c>
      <c r="I43" s="670">
        <f t="shared" si="67"/>
        <v>15858333.333333332</v>
      </c>
      <c r="J43" s="670">
        <f t="shared" si="67"/>
        <v>15858333.333333332</v>
      </c>
      <c r="K43" s="670">
        <f t="shared" si="67"/>
        <v>15858333.333333332</v>
      </c>
      <c r="L43" s="670">
        <f t="shared" si="67"/>
        <v>15858333.333333332</v>
      </c>
      <c r="M43" s="670">
        <f t="shared" si="67"/>
        <v>15858333.333333332</v>
      </c>
      <c r="N43" s="670">
        <f t="shared" si="67"/>
        <v>15858333.333333332</v>
      </c>
      <c r="O43" s="670">
        <f t="shared" si="67"/>
        <v>15858333.333333332</v>
      </c>
      <c r="P43" s="670">
        <f t="shared" si="67"/>
        <v>15858333.333333332</v>
      </c>
      <c r="Q43" s="670">
        <f t="shared" si="67"/>
        <v>15858333.333333332</v>
      </c>
      <c r="R43" s="670">
        <f t="shared" si="67"/>
        <v>15858333.333333332</v>
      </c>
      <c r="S43" s="670">
        <f t="shared" si="67"/>
        <v>15858333.333333332</v>
      </c>
      <c r="T43" s="670">
        <f>SUBTOTAL(9,T35:T42)</f>
        <v>190300000</v>
      </c>
      <c r="U43" s="1070">
        <f t="shared" ref="U43:AF43" si="68">SUBTOTAL(9,U35:U42)</f>
        <v>120000000</v>
      </c>
      <c r="V43" s="1070">
        <f>SUBTOTAL(9,V35:V42)</f>
        <v>70300000</v>
      </c>
      <c r="W43" s="670">
        <f t="shared" si="68"/>
        <v>190300000</v>
      </c>
      <c r="X43" s="1070">
        <f t="shared" si="68"/>
        <v>120000000</v>
      </c>
      <c r="Y43" s="1070">
        <f>SUBTOTAL(9,Y35:Y42)</f>
        <v>70300000</v>
      </c>
      <c r="Z43" s="670">
        <f t="shared" si="68"/>
        <v>190300000</v>
      </c>
      <c r="AA43" s="1070">
        <f t="shared" si="68"/>
        <v>120000000</v>
      </c>
      <c r="AB43" s="1070">
        <f>SUBTOTAL(9,AB35:AB42)</f>
        <v>70300000</v>
      </c>
      <c r="AC43" s="670">
        <f t="shared" si="68"/>
        <v>190300000</v>
      </c>
      <c r="AD43" s="1070">
        <f t="shared" si="68"/>
        <v>120000000</v>
      </c>
      <c r="AE43" s="1070">
        <f>SUBTOTAL(9,AE35:AE42)</f>
        <v>670300000</v>
      </c>
      <c r="AF43" s="670">
        <f t="shared" si="68"/>
        <v>790300000</v>
      </c>
      <c r="AG43" s="1079">
        <f>SUBTOTAL(9,AG35:AG42)</f>
        <v>0</v>
      </c>
    </row>
    <row r="44" spans="1:33" s="665" customFormat="1" ht="40" customHeight="1" x14ac:dyDescent="0.35">
      <c r="A44" s="1113" t="s">
        <v>59</v>
      </c>
      <c r="B44" s="660" t="s">
        <v>59</v>
      </c>
      <c r="C44" s="661" t="s">
        <v>301</v>
      </c>
      <c r="D44" s="662"/>
      <c r="E44" s="662"/>
      <c r="F44" s="663"/>
      <c r="G44" s="663"/>
      <c r="H44" s="662"/>
      <c r="I44" s="662"/>
      <c r="J44" s="662"/>
      <c r="K44" s="662"/>
      <c r="L44" s="662"/>
      <c r="M44" s="662"/>
      <c r="N44" s="662"/>
      <c r="O44" s="662"/>
      <c r="P44" s="662"/>
      <c r="Q44" s="662"/>
      <c r="R44" s="662"/>
      <c r="S44" s="662"/>
      <c r="T44" s="664"/>
      <c r="U44" s="1069"/>
      <c r="V44" s="1069"/>
      <c r="W44" s="1062"/>
      <c r="X44" s="1073"/>
      <c r="Y44" s="1069"/>
      <c r="Z44" s="1062"/>
      <c r="AA44" s="1076"/>
      <c r="AB44" s="1069"/>
      <c r="AC44" s="1062"/>
      <c r="AD44" s="1076"/>
      <c r="AE44" s="1069"/>
      <c r="AF44" s="1062"/>
      <c r="AG44" s="1082"/>
    </row>
    <row r="45" spans="1:33" s="665" customFormat="1" ht="40" customHeight="1" x14ac:dyDescent="0.35">
      <c r="A45" s="1113" t="s">
        <v>59</v>
      </c>
      <c r="B45" s="660">
        <v>1</v>
      </c>
      <c r="C45" s="666" t="s">
        <v>285</v>
      </c>
      <c r="D45" s="662"/>
      <c r="E45" s="662"/>
      <c r="F45" s="663">
        <f>'2018-2022'!D40</f>
        <v>198550000</v>
      </c>
      <c r="G45" s="663">
        <v>12</v>
      </c>
      <c r="H45" s="671">
        <f t="shared" ref="H45:H54" si="69">F45/G45</f>
        <v>16545833.333333334</v>
      </c>
      <c r="I45" s="662">
        <f>H45</f>
        <v>16545833.333333334</v>
      </c>
      <c r="J45" s="662">
        <f t="shared" ref="J45:S46" si="70">I45</f>
        <v>16545833.333333334</v>
      </c>
      <c r="K45" s="662">
        <f t="shared" si="70"/>
        <v>16545833.333333334</v>
      </c>
      <c r="L45" s="662">
        <f t="shared" si="70"/>
        <v>16545833.333333334</v>
      </c>
      <c r="M45" s="662">
        <f t="shared" si="70"/>
        <v>16545833.333333334</v>
      </c>
      <c r="N45" s="662">
        <f t="shared" si="70"/>
        <v>16545833.333333334</v>
      </c>
      <c r="O45" s="662">
        <f t="shared" si="70"/>
        <v>16545833.333333334</v>
      </c>
      <c r="P45" s="662">
        <f t="shared" si="70"/>
        <v>16545833.333333334</v>
      </c>
      <c r="Q45" s="662">
        <f t="shared" si="70"/>
        <v>16545833.333333334</v>
      </c>
      <c r="R45" s="662">
        <f t="shared" si="70"/>
        <v>16545833.333333334</v>
      </c>
      <c r="S45" s="662">
        <f t="shared" si="70"/>
        <v>16545833.333333334</v>
      </c>
      <c r="T45" s="664">
        <f t="shared" ref="T45:T54" si="71">SUM(H45:S45)</f>
        <v>198550000.00000003</v>
      </c>
      <c r="U45" s="1069">
        <f t="shared" ref="U45:U54" si="72">MIN(F45-T45,F45/G45*12)</f>
        <v>-2.9802322387695313E-8</v>
      </c>
      <c r="V45" s="1069">
        <f>'2018-2022'!E40</f>
        <v>198550000</v>
      </c>
      <c r="W45" s="1062">
        <f>U45+V45</f>
        <v>198549999.99999997</v>
      </c>
      <c r="X45" s="1073">
        <f t="shared" ref="X45:X54" si="73">MIN(F45-T45-U45,F45/G45*12)</f>
        <v>0</v>
      </c>
      <c r="Y45" s="1069">
        <f>'2018-2022'!F40</f>
        <v>198550000</v>
      </c>
      <c r="Z45" s="1062">
        <f>X45+Y45</f>
        <v>198550000</v>
      </c>
      <c r="AA45" s="1076">
        <f t="shared" ref="AA45:AA54" si="74">MIN(F45-T45-U45-X45,F45/G45*12)</f>
        <v>0</v>
      </c>
      <c r="AB45" s="1069">
        <f>'2018-2022'!G40</f>
        <v>198550000</v>
      </c>
      <c r="AC45" s="1062">
        <f>AA45+AB45</f>
        <v>198550000</v>
      </c>
      <c r="AD45" s="1076">
        <f t="shared" ref="AD45:AD54" si="75">F45-T45-U45-X45-AA45</f>
        <v>0</v>
      </c>
      <c r="AE45" s="1069">
        <f>'2018-2022'!H40</f>
        <v>198550000</v>
      </c>
      <c r="AF45" s="1062">
        <f>AD45+AE45</f>
        <v>198550000</v>
      </c>
      <c r="AG45" s="1082" t="str">
        <f>'2018-2022'!I40</f>
        <v>As Dai Phong's quotation (Salmson) DV-QVN-08-16 on 02 Feb 2016</v>
      </c>
    </row>
    <row r="46" spans="1:33" s="665" customFormat="1" ht="40" customHeight="1" x14ac:dyDescent="0.35">
      <c r="A46" s="1113" t="s">
        <v>59</v>
      </c>
      <c r="B46" s="660">
        <v>2.1</v>
      </c>
      <c r="C46" s="666" t="s">
        <v>303</v>
      </c>
      <c r="D46" s="662"/>
      <c r="E46" s="662"/>
      <c r="F46" s="663">
        <f>'2018-2022'!D42</f>
        <v>75000000</v>
      </c>
      <c r="G46" s="663">
        <v>12</v>
      </c>
      <c r="H46" s="662">
        <f t="shared" si="69"/>
        <v>6250000</v>
      </c>
      <c r="I46" s="662">
        <f>H46</f>
        <v>6250000</v>
      </c>
      <c r="J46" s="662">
        <f t="shared" si="70"/>
        <v>6250000</v>
      </c>
      <c r="K46" s="662">
        <f t="shared" si="70"/>
        <v>6250000</v>
      </c>
      <c r="L46" s="662">
        <f t="shared" si="70"/>
        <v>6250000</v>
      </c>
      <c r="M46" s="662">
        <f t="shared" si="70"/>
        <v>6250000</v>
      </c>
      <c r="N46" s="662">
        <f t="shared" si="70"/>
        <v>6250000</v>
      </c>
      <c r="O46" s="662">
        <f t="shared" si="70"/>
        <v>6250000</v>
      </c>
      <c r="P46" s="662">
        <f t="shared" si="70"/>
        <v>6250000</v>
      </c>
      <c r="Q46" s="662">
        <f t="shared" si="70"/>
        <v>6250000</v>
      </c>
      <c r="R46" s="662">
        <f t="shared" si="70"/>
        <v>6250000</v>
      </c>
      <c r="S46" s="662">
        <f t="shared" si="70"/>
        <v>6250000</v>
      </c>
      <c r="T46" s="664">
        <f t="shared" si="71"/>
        <v>75000000</v>
      </c>
      <c r="U46" s="1069">
        <f t="shared" si="72"/>
        <v>0</v>
      </c>
      <c r="V46" s="1069">
        <f>'2018-2022'!E42</f>
        <v>75000000</v>
      </c>
      <c r="W46" s="1062">
        <f t="shared" ref="W46:W53" si="76">U46+V46</f>
        <v>75000000</v>
      </c>
      <c r="X46" s="1073">
        <f t="shared" si="73"/>
        <v>0</v>
      </c>
      <c r="Y46" s="1069">
        <f>'2018-2022'!F42</f>
        <v>75000000</v>
      </c>
      <c r="Z46" s="1062">
        <f t="shared" ref="Z46:Z53" si="77">X46+Y46</f>
        <v>75000000</v>
      </c>
      <c r="AA46" s="1076">
        <f t="shared" si="74"/>
        <v>0</v>
      </c>
      <c r="AB46" s="1069">
        <f>'2018-2022'!G42</f>
        <v>75000000</v>
      </c>
      <c r="AC46" s="1062">
        <f t="shared" ref="AC46:AC53" si="78">AA46+AB46</f>
        <v>75000000</v>
      </c>
      <c r="AD46" s="1076">
        <f t="shared" si="75"/>
        <v>0</v>
      </c>
      <c r="AE46" s="1069">
        <f>'2018-2022'!H42</f>
        <v>75000000</v>
      </c>
      <c r="AF46" s="1062">
        <f t="shared" ref="AF46:AF53" si="79">AD46+AE46</f>
        <v>75000000</v>
      </c>
      <c r="AG46" s="1082" t="str">
        <f>'2018-2022'!I42</f>
        <v>Filters replacement (Filtration system T5), order 2017 75milion</v>
      </c>
    </row>
    <row r="47" spans="1:33" s="665" customFormat="1" ht="40" customHeight="1" x14ac:dyDescent="0.35">
      <c r="A47" s="1113" t="s">
        <v>59</v>
      </c>
      <c r="B47" s="660">
        <v>2.2000000000000002</v>
      </c>
      <c r="C47" s="666" t="s">
        <v>471</v>
      </c>
      <c r="D47" s="662"/>
      <c r="E47" s="662"/>
      <c r="F47" s="663">
        <f>'2018-2022'!D43</f>
        <v>5000000</v>
      </c>
      <c r="G47" s="663">
        <v>12</v>
      </c>
      <c r="H47" s="662">
        <f t="shared" si="69"/>
        <v>416666.66666666669</v>
      </c>
      <c r="I47" s="662">
        <f t="shared" ref="I47:S54" si="80">H47</f>
        <v>416666.66666666669</v>
      </c>
      <c r="J47" s="662">
        <f t="shared" si="80"/>
        <v>416666.66666666669</v>
      </c>
      <c r="K47" s="662">
        <f t="shared" si="80"/>
        <v>416666.66666666669</v>
      </c>
      <c r="L47" s="662">
        <f t="shared" si="80"/>
        <v>416666.66666666669</v>
      </c>
      <c r="M47" s="662">
        <f t="shared" si="80"/>
        <v>416666.66666666669</v>
      </c>
      <c r="N47" s="662">
        <f t="shared" si="80"/>
        <v>416666.66666666669</v>
      </c>
      <c r="O47" s="662">
        <f t="shared" si="80"/>
        <v>416666.66666666669</v>
      </c>
      <c r="P47" s="662">
        <f t="shared" si="80"/>
        <v>416666.66666666669</v>
      </c>
      <c r="Q47" s="662">
        <f t="shared" si="80"/>
        <v>416666.66666666669</v>
      </c>
      <c r="R47" s="662">
        <f t="shared" si="80"/>
        <v>416666.66666666669</v>
      </c>
      <c r="S47" s="662">
        <f t="shared" si="80"/>
        <v>416666.66666666669</v>
      </c>
      <c r="T47" s="664">
        <f t="shared" si="71"/>
        <v>5000000</v>
      </c>
      <c r="U47" s="1069">
        <f t="shared" si="72"/>
        <v>0</v>
      </c>
      <c r="V47" s="1069">
        <f>'2018-2022'!E43</f>
        <v>5000000</v>
      </c>
      <c r="W47" s="1062">
        <f t="shared" si="76"/>
        <v>5000000</v>
      </c>
      <c r="X47" s="1073">
        <f t="shared" si="73"/>
        <v>0</v>
      </c>
      <c r="Y47" s="1069">
        <f>'2018-2022'!F43</f>
        <v>5000000</v>
      </c>
      <c r="Z47" s="1062">
        <f t="shared" si="77"/>
        <v>5000000</v>
      </c>
      <c r="AA47" s="1076">
        <f t="shared" si="74"/>
        <v>0</v>
      </c>
      <c r="AB47" s="1069">
        <f>'2018-2022'!G43</f>
        <v>5000000</v>
      </c>
      <c r="AC47" s="1062">
        <f t="shared" si="78"/>
        <v>5000000</v>
      </c>
      <c r="AD47" s="1076">
        <f t="shared" si="75"/>
        <v>0</v>
      </c>
      <c r="AE47" s="1069">
        <f>'2018-2022'!H43</f>
        <v>5000000</v>
      </c>
      <c r="AF47" s="1062">
        <f t="shared" si="79"/>
        <v>5000000</v>
      </c>
      <c r="AG47" s="1082">
        <f>'2018-2022'!I43</f>
        <v>0</v>
      </c>
    </row>
    <row r="48" spans="1:33" s="665" customFormat="1" ht="40" customHeight="1" x14ac:dyDescent="0.35">
      <c r="A48" s="1113" t="s">
        <v>59</v>
      </c>
      <c r="B48" s="660">
        <v>2.2999999999999998</v>
      </c>
      <c r="C48" s="666" t="s">
        <v>472</v>
      </c>
      <c r="D48" s="662"/>
      <c r="E48" s="662"/>
      <c r="F48" s="663">
        <f>'2018-2022'!D44</f>
        <v>20000000</v>
      </c>
      <c r="G48" s="663">
        <v>12</v>
      </c>
      <c r="H48" s="662">
        <f t="shared" si="69"/>
        <v>1666666.6666666667</v>
      </c>
      <c r="I48" s="662">
        <f t="shared" si="80"/>
        <v>1666666.6666666667</v>
      </c>
      <c r="J48" s="662">
        <f t="shared" si="80"/>
        <v>1666666.6666666667</v>
      </c>
      <c r="K48" s="662">
        <f t="shared" si="80"/>
        <v>1666666.6666666667</v>
      </c>
      <c r="L48" s="662">
        <f t="shared" si="80"/>
        <v>1666666.6666666667</v>
      </c>
      <c r="M48" s="662">
        <f t="shared" si="80"/>
        <v>1666666.6666666667</v>
      </c>
      <c r="N48" s="662">
        <f t="shared" si="80"/>
        <v>1666666.6666666667</v>
      </c>
      <c r="O48" s="662">
        <f t="shared" si="80"/>
        <v>1666666.6666666667</v>
      </c>
      <c r="P48" s="662">
        <f t="shared" si="80"/>
        <v>1666666.6666666667</v>
      </c>
      <c r="Q48" s="662">
        <f t="shared" si="80"/>
        <v>1666666.6666666667</v>
      </c>
      <c r="R48" s="662">
        <f t="shared" si="80"/>
        <v>1666666.6666666667</v>
      </c>
      <c r="S48" s="662">
        <f t="shared" si="80"/>
        <v>1666666.6666666667</v>
      </c>
      <c r="T48" s="664">
        <f t="shared" si="71"/>
        <v>20000000</v>
      </c>
      <c r="U48" s="1069">
        <f t="shared" si="72"/>
        <v>0</v>
      </c>
      <c r="V48" s="1069">
        <f>'2018-2022'!E44</f>
        <v>20000000</v>
      </c>
      <c r="W48" s="1062">
        <f t="shared" si="76"/>
        <v>20000000</v>
      </c>
      <c r="X48" s="1073">
        <f t="shared" si="73"/>
        <v>0</v>
      </c>
      <c r="Y48" s="1069">
        <f>'2018-2022'!F44</f>
        <v>20000000</v>
      </c>
      <c r="Z48" s="1062">
        <f t="shared" si="77"/>
        <v>20000000</v>
      </c>
      <c r="AA48" s="1076">
        <f t="shared" si="74"/>
        <v>0</v>
      </c>
      <c r="AB48" s="1069">
        <f>'2018-2022'!G44</f>
        <v>20000000</v>
      </c>
      <c r="AC48" s="1062">
        <f t="shared" si="78"/>
        <v>20000000</v>
      </c>
      <c r="AD48" s="1076">
        <f t="shared" si="75"/>
        <v>0</v>
      </c>
      <c r="AE48" s="1069">
        <f>'2018-2022'!H44</f>
        <v>20000000</v>
      </c>
      <c r="AF48" s="1062">
        <f t="shared" si="79"/>
        <v>20000000</v>
      </c>
      <c r="AG48" s="1082">
        <f>'2018-2022'!I44</f>
        <v>0</v>
      </c>
    </row>
    <row r="49" spans="1:33" s="665" customFormat="1" ht="40" customHeight="1" x14ac:dyDescent="0.35">
      <c r="A49" s="1113" t="s">
        <v>59</v>
      </c>
      <c r="B49" s="660">
        <v>2.4</v>
      </c>
      <c r="C49" s="666" t="s">
        <v>473</v>
      </c>
      <c r="D49" s="662"/>
      <c r="E49" s="662"/>
      <c r="F49" s="663">
        <f>'2018-2022'!D45</f>
        <v>1000000</v>
      </c>
      <c r="G49" s="663">
        <v>12</v>
      </c>
      <c r="H49" s="662">
        <f t="shared" si="69"/>
        <v>83333.333333333328</v>
      </c>
      <c r="I49" s="662">
        <f t="shared" si="80"/>
        <v>83333.333333333328</v>
      </c>
      <c r="J49" s="662">
        <f t="shared" si="80"/>
        <v>83333.333333333328</v>
      </c>
      <c r="K49" s="662">
        <f t="shared" si="80"/>
        <v>83333.333333333328</v>
      </c>
      <c r="L49" s="662">
        <f t="shared" si="80"/>
        <v>83333.333333333328</v>
      </c>
      <c r="M49" s="662">
        <f t="shared" si="80"/>
        <v>83333.333333333328</v>
      </c>
      <c r="N49" s="662">
        <f t="shared" si="80"/>
        <v>83333.333333333328</v>
      </c>
      <c r="O49" s="662">
        <f t="shared" si="80"/>
        <v>83333.333333333328</v>
      </c>
      <c r="P49" s="662">
        <f t="shared" si="80"/>
        <v>83333.333333333328</v>
      </c>
      <c r="Q49" s="662">
        <f t="shared" si="80"/>
        <v>83333.333333333328</v>
      </c>
      <c r="R49" s="662">
        <f t="shared" si="80"/>
        <v>83333.333333333328</v>
      </c>
      <c r="S49" s="662">
        <f t="shared" si="80"/>
        <v>83333.333333333328</v>
      </c>
      <c r="T49" s="664">
        <f t="shared" si="71"/>
        <v>1000000.0000000001</v>
      </c>
      <c r="U49" s="1069">
        <f t="shared" si="72"/>
        <v>-1.1641532182693481E-10</v>
      </c>
      <c r="V49" s="1069">
        <f>'2018-2022'!E45</f>
        <v>1000000</v>
      </c>
      <c r="W49" s="1062">
        <f t="shared" si="76"/>
        <v>999999.99999999988</v>
      </c>
      <c r="X49" s="1073">
        <f t="shared" si="73"/>
        <v>0</v>
      </c>
      <c r="Y49" s="1069">
        <f>'2018-2022'!F45</f>
        <v>1000000</v>
      </c>
      <c r="Z49" s="1062">
        <f t="shared" si="77"/>
        <v>1000000</v>
      </c>
      <c r="AA49" s="1076">
        <f t="shared" si="74"/>
        <v>0</v>
      </c>
      <c r="AB49" s="1069">
        <f>'2018-2022'!G45</f>
        <v>1000000</v>
      </c>
      <c r="AC49" s="1062">
        <f t="shared" si="78"/>
        <v>1000000</v>
      </c>
      <c r="AD49" s="1076">
        <f t="shared" si="75"/>
        <v>0</v>
      </c>
      <c r="AE49" s="1069">
        <f>'2018-2022'!H45</f>
        <v>1000000</v>
      </c>
      <c r="AF49" s="1062">
        <f t="shared" si="79"/>
        <v>1000000</v>
      </c>
      <c r="AG49" s="1082">
        <f>'2018-2022'!I45</f>
        <v>0</v>
      </c>
    </row>
    <row r="50" spans="1:33" s="665" customFormat="1" ht="67.5" customHeight="1" x14ac:dyDescent="0.35">
      <c r="A50" s="1113" t="s">
        <v>59</v>
      </c>
      <c r="B50" s="660">
        <v>2.5</v>
      </c>
      <c r="C50" s="666" t="s">
        <v>474</v>
      </c>
      <c r="D50" s="662"/>
      <c r="E50" s="662"/>
      <c r="F50" s="663">
        <f>'2018-2022'!D46</f>
        <v>4000000</v>
      </c>
      <c r="G50" s="663">
        <v>12</v>
      </c>
      <c r="H50" s="662">
        <f t="shared" si="69"/>
        <v>333333.33333333331</v>
      </c>
      <c r="I50" s="662">
        <f t="shared" si="80"/>
        <v>333333.33333333331</v>
      </c>
      <c r="J50" s="662">
        <f t="shared" si="80"/>
        <v>333333.33333333331</v>
      </c>
      <c r="K50" s="662">
        <f t="shared" si="80"/>
        <v>333333.33333333331</v>
      </c>
      <c r="L50" s="662">
        <f t="shared" si="80"/>
        <v>333333.33333333331</v>
      </c>
      <c r="M50" s="662">
        <f t="shared" si="80"/>
        <v>333333.33333333331</v>
      </c>
      <c r="N50" s="662">
        <f t="shared" si="80"/>
        <v>333333.33333333331</v>
      </c>
      <c r="O50" s="662">
        <f t="shared" si="80"/>
        <v>333333.33333333331</v>
      </c>
      <c r="P50" s="662">
        <f t="shared" si="80"/>
        <v>333333.33333333331</v>
      </c>
      <c r="Q50" s="662">
        <f t="shared" si="80"/>
        <v>333333.33333333331</v>
      </c>
      <c r="R50" s="662">
        <f t="shared" si="80"/>
        <v>333333.33333333331</v>
      </c>
      <c r="S50" s="662">
        <f t="shared" si="80"/>
        <v>333333.33333333331</v>
      </c>
      <c r="T50" s="664">
        <f t="shared" si="71"/>
        <v>4000000.0000000005</v>
      </c>
      <c r="U50" s="1069">
        <f t="shared" si="72"/>
        <v>-4.6566128730773926E-10</v>
      </c>
      <c r="V50" s="1069">
        <f>'2018-2022'!E46</f>
        <v>4000000</v>
      </c>
      <c r="W50" s="1062">
        <f t="shared" si="76"/>
        <v>3999999.9999999995</v>
      </c>
      <c r="X50" s="1073">
        <f t="shared" si="73"/>
        <v>0</v>
      </c>
      <c r="Y50" s="1069">
        <f>'2018-2022'!F46</f>
        <v>4000000</v>
      </c>
      <c r="Z50" s="1062">
        <f t="shared" si="77"/>
        <v>4000000</v>
      </c>
      <c r="AA50" s="1076">
        <f t="shared" si="74"/>
        <v>0</v>
      </c>
      <c r="AB50" s="1069">
        <f>'2018-2022'!G46</f>
        <v>4000000</v>
      </c>
      <c r="AC50" s="1062">
        <f t="shared" si="78"/>
        <v>4000000</v>
      </c>
      <c r="AD50" s="1076">
        <f t="shared" si="75"/>
        <v>0</v>
      </c>
      <c r="AE50" s="1069">
        <f>'2018-2022'!H46</f>
        <v>4000000</v>
      </c>
      <c r="AF50" s="1062">
        <f t="shared" si="79"/>
        <v>4000000</v>
      </c>
      <c r="AG50" s="1082">
        <f>'2018-2022'!I46</f>
        <v>0</v>
      </c>
    </row>
    <row r="51" spans="1:33" s="665" customFormat="1" ht="48.75" customHeight="1" x14ac:dyDescent="0.35">
      <c r="A51" s="1113" t="s">
        <v>59</v>
      </c>
      <c r="B51" s="660">
        <v>2.6</v>
      </c>
      <c r="C51" s="666" t="s">
        <v>476</v>
      </c>
      <c r="D51" s="662"/>
      <c r="E51" s="662"/>
      <c r="F51" s="663">
        <f>'2018-2022'!D47</f>
        <v>12500000</v>
      </c>
      <c r="G51" s="663">
        <v>12</v>
      </c>
      <c r="H51" s="662">
        <f t="shared" si="69"/>
        <v>1041666.6666666666</v>
      </c>
      <c r="I51" s="662">
        <f t="shared" si="80"/>
        <v>1041666.6666666666</v>
      </c>
      <c r="J51" s="662">
        <f t="shared" si="80"/>
        <v>1041666.6666666666</v>
      </c>
      <c r="K51" s="662">
        <f t="shared" si="80"/>
        <v>1041666.6666666666</v>
      </c>
      <c r="L51" s="662">
        <f t="shared" si="80"/>
        <v>1041666.6666666666</v>
      </c>
      <c r="M51" s="662">
        <f t="shared" si="80"/>
        <v>1041666.6666666666</v>
      </c>
      <c r="N51" s="662">
        <f t="shared" si="80"/>
        <v>1041666.6666666666</v>
      </c>
      <c r="O51" s="662">
        <f t="shared" si="80"/>
        <v>1041666.6666666666</v>
      </c>
      <c r="P51" s="662">
        <f t="shared" si="80"/>
        <v>1041666.6666666666</v>
      </c>
      <c r="Q51" s="662">
        <f t="shared" si="80"/>
        <v>1041666.6666666666</v>
      </c>
      <c r="R51" s="662">
        <f t="shared" si="80"/>
        <v>1041666.6666666666</v>
      </c>
      <c r="S51" s="662">
        <f t="shared" si="80"/>
        <v>1041666.6666666666</v>
      </c>
      <c r="T51" s="664">
        <f>SUM(H51:S51)</f>
        <v>12499999.999999998</v>
      </c>
      <c r="U51" s="1069">
        <f>MIN(F51-T51,F51/G51*12)</f>
        <v>1.862645149230957E-9</v>
      </c>
      <c r="V51" s="1069">
        <f>'2018-2022'!E47</f>
        <v>12500000</v>
      </c>
      <c r="W51" s="1062">
        <f t="shared" si="76"/>
        <v>12500000.000000002</v>
      </c>
      <c r="X51" s="1073">
        <f t="shared" si="73"/>
        <v>0</v>
      </c>
      <c r="Y51" s="1069">
        <f>'2018-2022'!F47</f>
        <v>12500000</v>
      </c>
      <c r="Z51" s="1062">
        <f t="shared" si="77"/>
        <v>12500000</v>
      </c>
      <c r="AA51" s="1076">
        <f t="shared" si="74"/>
        <v>0</v>
      </c>
      <c r="AB51" s="1069">
        <f>'2018-2022'!G47</f>
        <v>12500000</v>
      </c>
      <c r="AC51" s="1062">
        <f t="shared" si="78"/>
        <v>12500000</v>
      </c>
      <c r="AD51" s="1076">
        <f t="shared" si="75"/>
        <v>0</v>
      </c>
      <c r="AE51" s="1069">
        <f>'2018-2022'!H47</f>
        <v>12500000</v>
      </c>
      <c r="AF51" s="1062">
        <f t="shared" si="79"/>
        <v>12500000</v>
      </c>
      <c r="AG51" s="1082">
        <f>'2018-2022'!I47</f>
        <v>0</v>
      </c>
    </row>
    <row r="52" spans="1:33" s="665" customFormat="1" ht="40" customHeight="1" x14ac:dyDescent="0.35">
      <c r="A52" s="1113" t="s">
        <v>59</v>
      </c>
      <c r="B52" s="660">
        <v>2.7</v>
      </c>
      <c r="C52" s="666" t="s">
        <v>898</v>
      </c>
      <c r="D52" s="662"/>
      <c r="E52" s="662"/>
      <c r="F52" s="663">
        <f>'2018-2022'!D48</f>
        <v>42000000</v>
      </c>
      <c r="G52" s="663">
        <v>12</v>
      </c>
      <c r="H52" s="662">
        <f t="shared" si="69"/>
        <v>3500000</v>
      </c>
      <c r="I52" s="662">
        <f t="shared" si="80"/>
        <v>3500000</v>
      </c>
      <c r="J52" s="662">
        <f t="shared" si="80"/>
        <v>3500000</v>
      </c>
      <c r="K52" s="662">
        <f t="shared" si="80"/>
        <v>3500000</v>
      </c>
      <c r="L52" s="662">
        <f t="shared" si="80"/>
        <v>3500000</v>
      </c>
      <c r="M52" s="662">
        <f t="shared" si="80"/>
        <v>3500000</v>
      </c>
      <c r="N52" s="662">
        <f t="shared" si="80"/>
        <v>3500000</v>
      </c>
      <c r="O52" s="662">
        <f t="shared" si="80"/>
        <v>3500000</v>
      </c>
      <c r="P52" s="662">
        <f t="shared" si="80"/>
        <v>3500000</v>
      </c>
      <c r="Q52" s="662">
        <f t="shared" si="80"/>
        <v>3500000</v>
      </c>
      <c r="R52" s="662">
        <f t="shared" si="80"/>
        <v>3500000</v>
      </c>
      <c r="S52" s="662">
        <f t="shared" si="80"/>
        <v>3500000</v>
      </c>
      <c r="T52" s="664">
        <f>SUM(H52:S52)</f>
        <v>42000000</v>
      </c>
      <c r="U52" s="1069">
        <f>MIN(F52-T52,F52/G52*12)</f>
        <v>0</v>
      </c>
      <c r="V52" s="1069">
        <f>'2018-2022'!E48</f>
        <v>42000000</v>
      </c>
      <c r="W52" s="1062">
        <f t="shared" si="76"/>
        <v>42000000</v>
      </c>
      <c r="X52" s="1073">
        <f t="shared" si="73"/>
        <v>0</v>
      </c>
      <c r="Y52" s="1069">
        <f>'2018-2022'!F48</f>
        <v>42000000</v>
      </c>
      <c r="Z52" s="1062">
        <f t="shared" si="77"/>
        <v>42000000</v>
      </c>
      <c r="AA52" s="1076">
        <f t="shared" si="74"/>
        <v>0</v>
      </c>
      <c r="AB52" s="1069">
        <f>'2018-2022'!G48</f>
        <v>42000000</v>
      </c>
      <c r="AC52" s="1062">
        <f t="shared" si="78"/>
        <v>42000000</v>
      </c>
      <c r="AD52" s="1076">
        <f t="shared" si="75"/>
        <v>0</v>
      </c>
      <c r="AE52" s="1069">
        <f>'2018-2022'!H48</f>
        <v>42000000</v>
      </c>
      <c r="AF52" s="1062">
        <f t="shared" si="79"/>
        <v>42000000</v>
      </c>
      <c r="AG52" s="1082" t="str">
        <f>'2018-2022'!I48</f>
        <v>3pcs/ year 2018</v>
      </c>
    </row>
    <row r="53" spans="1:33" s="665" customFormat="1" ht="40" customHeight="1" x14ac:dyDescent="0.35">
      <c r="A53" s="1113" t="s">
        <v>59</v>
      </c>
      <c r="B53" s="660">
        <v>2.8</v>
      </c>
      <c r="C53" s="666" t="s">
        <v>470</v>
      </c>
      <c r="D53" s="662"/>
      <c r="E53" s="662"/>
      <c r="F53" s="663">
        <f>'2018-2022'!D49</f>
        <v>10000000</v>
      </c>
      <c r="G53" s="663">
        <v>12</v>
      </c>
      <c r="H53" s="662">
        <f t="shared" si="69"/>
        <v>833333.33333333337</v>
      </c>
      <c r="I53" s="662">
        <f t="shared" si="80"/>
        <v>833333.33333333337</v>
      </c>
      <c r="J53" s="662">
        <f t="shared" si="80"/>
        <v>833333.33333333337</v>
      </c>
      <c r="K53" s="662">
        <f t="shared" si="80"/>
        <v>833333.33333333337</v>
      </c>
      <c r="L53" s="662">
        <f t="shared" si="80"/>
        <v>833333.33333333337</v>
      </c>
      <c r="M53" s="662">
        <f t="shared" si="80"/>
        <v>833333.33333333337</v>
      </c>
      <c r="N53" s="662">
        <f t="shared" si="80"/>
        <v>833333.33333333337</v>
      </c>
      <c r="O53" s="662">
        <f t="shared" si="80"/>
        <v>833333.33333333337</v>
      </c>
      <c r="P53" s="662">
        <f t="shared" si="80"/>
        <v>833333.33333333337</v>
      </c>
      <c r="Q53" s="662">
        <f t="shared" si="80"/>
        <v>833333.33333333337</v>
      </c>
      <c r="R53" s="662">
        <f t="shared" si="80"/>
        <v>833333.33333333337</v>
      </c>
      <c r="S53" s="662">
        <f t="shared" si="80"/>
        <v>833333.33333333337</v>
      </c>
      <c r="T53" s="664">
        <f t="shared" si="71"/>
        <v>10000000</v>
      </c>
      <c r="U53" s="1069">
        <f t="shared" si="72"/>
        <v>0</v>
      </c>
      <c r="V53" s="1069">
        <f>'2018-2022'!E49</f>
        <v>10000000</v>
      </c>
      <c r="W53" s="1062">
        <f t="shared" si="76"/>
        <v>10000000</v>
      </c>
      <c r="X53" s="1073">
        <f t="shared" si="73"/>
        <v>0</v>
      </c>
      <c r="Y53" s="1069">
        <f>'2018-2022'!F49</f>
        <v>10000000</v>
      </c>
      <c r="Z53" s="1062">
        <f t="shared" si="77"/>
        <v>10000000</v>
      </c>
      <c r="AA53" s="1076">
        <f t="shared" si="74"/>
        <v>0</v>
      </c>
      <c r="AB53" s="1069">
        <f>'2018-2022'!G49</f>
        <v>10000000</v>
      </c>
      <c r="AC53" s="1062">
        <f t="shared" si="78"/>
        <v>10000000</v>
      </c>
      <c r="AD53" s="1076">
        <f t="shared" si="75"/>
        <v>0</v>
      </c>
      <c r="AE53" s="1069">
        <f>'2018-2022'!H49</f>
        <v>10000000</v>
      </c>
      <c r="AF53" s="1062">
        <f t="shared" si="79"/>
        <v>10000000</v>
      </c>
      <c r="AG53" s="1082">
        <f>'2018-2022'!I49</f>
        <v>0</v>
      </c>
    </row>
    <row r="54" spans="1:33" s="665" customFormat="1" ht="40" customHeight="1" x14ac:dyDescent="0.35">
      <c r="A54" s="1113" t="s">
        <v>59</v>
      </c>
      <c r="B54" s="660" t="s">
        <v>566</v>
      </c>
      <c r="C54" s="666" t="s">
        <v>248</v>
      </c>
      <c r="D54" s="662"/>
      <c r="E54" s="662"/>
      <c r="F54" s="663">
        <f>'2018-2022'!D50</f>
        <v>20000000</v>
      </c>
      <c r="G54" s="663">
        <v>12</v>
      </c>
      <c r="H54" s="662">
        <f t="shared" si="69"/>
        <v>1666666.6666666667</v>
      </c>
      <c r="I54" s="662">
        <f t="shared" si="80"/>
        <v>1666666.6666666667</v>
      </c>
      <c r="J54" s="662">
        <f t="shared" si="80"/>
        <v>1666666.6666666667</v>
      </c>
      <c r="K54" s="662">
        <f t="shared" si="80"/>
        <v>1666666.6666666667</v>
      </c>
      <c r="L54" s="662">
        <f t="shared" si="80"/>
        <v>1666666.6666666667</v>
      </c>
      <c r="M54" s="662">
        <f t="shared" si="80"/>
        <v>1666666.6666666667</v>
      </c>
      <c r="N54" s="662">
        <f t="shared" si="80"/>
        <v>1666666.6666666667</v>
      </c>
      <c r="O54" s="662">
        <f t="shared" si="80"/>
        <v>1666666.6666666667</v>
      </c>
      <c r="P54" s="662">
        <f t="shared" si="80"/>
        <v>1666666.6666666667</v>
      </c>
      <c r="Q54" s="662">
        <f t="shared" si="80"/>
        <v>1666666.6666666667</v>
      </c>
      <c r="R54" s="662">
        <f t="shared" si="80"/>
        <v>1666666.6666666667</v>
      </c>
      <c r="S54" s="662">
        <f t="shared" si="80"/>
        <v>1666666.6666666667</v>
      </c>
      <c r="T54" s="664">
        <f t="shared" si="71"/>
        <v>20000000</v>
      </c>
      <c r="U54" s="1069">
        <f t="shared" si="72"/>
        <v>0</v>
      </c>
      <c r="V54" s="1069">
        <f>'2018-2022'!E50</f>
        <v>20000000</v>
      </c>
      <c r="W54" s="1062">
        <f>U54+V54</f>
        <v>20000000</v>
      </c>
      <c r="X54" s="1073">
        <f t="shared" si="73"/>
        <v>0</v>
      </c>
      <c r="Y54" s="1069">
        <f>'2018-2022'!F50</f>
        <v>20000000</v>
      </c>
      <c r="Z54" s="1062">
        <f>X54+Y54</f>
        <v>20000000</v>
      </c>
      <c r="AA54" s="1076">
        <f t="shared" si="74"/>
        <v>0</v>
      </c>
      <c r="AB54" s="1069">
        <f>'2018-2022'!G50</f>
        <v>20000000</v>
      </c>
      <c r="AC54" s="1062">
        <f>AA54+AB54</f>
        <v>20000000</v>
      </c>
      <c r="AD54" s="1076">
        <f t="shared" si="75"/>
        <v>0</v>
      </c>
      <c r="AE54" s="1069">
        <f>'2018-2022'!H50</f>
        <v>20000000</v>
      </c>
      <c r="AF54" s="1062">
        <f>AD54+AE54</f>
        <v>20000000</v>
      </c>
      <c r="AG54" s="1082">
        <f>'2018-2022'!I50</f>
        <v>0</v>
      </c>
    </row>
    <row r="55" spans="1:33" s="665" customFormat="1" ht="40" customHeight="1" x14ac:dyDescent="0.35">
      <c r="A55" s="1114" t="s">
        <v>603</v>
      </c>
      <c r="B55" s="668"/>
      <c r="C55" s="669" t="s">
        <v>301</v>
      </c>
      <c r="D55" s="670"/>
      <c r="E55" s="670"/>
      <c r="F55" s="670">
        <f>SUBTOTAL(9,F44:F54)</f>
        <v>388050000</v>
      </c>
      <c r="G55" s="670"/>
      <c r="H55" s="670">
        <f t="shared" ref="H55:AD55" si="81">SUBTOTAL(9,H44:H54)</f>
        <v>32337500.000000004</v>
      </c>
      <c r="I55" s="670">
        <f t="shared" si="81"/>
        <v>32337500.000000004</v>
      </c>
      <c r="J55" s="670">
        <f t="shared" si="81"/>
        <v>32337500.000000004</v>
      </c>
      <c r="K55" s="670">
        <f t="shared" si="81"/>
        <v>32337500.000000004</v>
      </c>
      <c r="L55" s="670">
        <f t="shared" si="81"/>
        <v>32337500.000000004</v>
      </c>
      <c r="M55" s="670">
        <f t="shared" si="81"/>
        <v>32337500.000000004</v>
      </c>
      <c r="N55" s="670">
        <f t="shared" si="81"/>
        <v>32337500.000000004</v>
      </c>
      <c r="O55" s="670">
        <f t="shared" si="81"/>
        <v>32337500.000000004</v>
      </c>
      <c r="P55" s="670">
        <f t="shared" si="81"/>
        <v>32337500.000000004</v>
      </c>
      <c r="Q55" s="670">
        <f t="shared" si="81"/>
        <v>32337500.000000004</v>
      </c>
      <c r="R55" s="670">
        <f t="shared" si="81"/>
        <v>32337500.000000004</v>
      </c>
      <c r="S55" s="670">
        <f t="shared" si="81"/>
        <v>32337500.000000004</v>
      </c>
      <c r="T55" s="670">
        <f t="shared" si="81"/>
        <v>388050000</v>
      </c>
      <c r="U55" s="1070">
        <f t="shared" si="81"/>
        <v>-2.852175384759903E-8</v>
      </c>
      <c r="V55" s="1070">
        <f>SUBTOTAL(9,V44:V54)</f>
        <v>388050000</v>
      </c>
      <c r="W55" s="670">
        <f>SUBTOTAL(9,W44:W54)</f>
        <v>388050000</v>
      </c>
      <c r="X55" s="1070">
        <f t="shared" si="81"/>
        <v>0</v>
      </c>
      <c r="Y55" s="1070">
        <f>SUBTOTAL(9,Y44:Y54)</f>
        <v>388050000</v>
      </c>
      <c r="Z55" s="670">
        <f>SUBTOTAL(9,Z44:Z54)</f>
        <v>388050000</v>
      </c>
      <c r="AA55" s="1070">
        <f t="shared" si="81"/>
        <v>0</v>
      </c>
      <c r="AB55" s="1070">
        <f>SUBTOTAL(9,AB44:AB54)</f>
        <v>388050000</v>
      </c>
      <c r="AC55" s="670">
        <f>SUBTOTAL(9,AC44:AC54)</f>
        <v>388050000</v>
      </c>
      <c r="AD55" s="1070">
        <f t="shared" si="81"/>
        <v>0</v>
      </c>
      <c r="AE55" s="1070">
        <f>SUBTOTAL(9,AE44:AE54)</f>
        <v>388050000</v>
      </c>
      <c r="AF55" s="670">
        <f>SUBTOTAL(9,AF44:AF54)</f>
        <v>388050000</v>
      </c>
      <c r="AG55" s="1079">
        <f>SUBTOTAL(9,AG44:AG54)</f>
        <v>0</v>
      </c>
    </row>
    <row r="56" spans="1:33" s="665" customFormat="1" ht="40" customHeight="1" x14ac:dyDescent="0.35">
      <c r="A56" s="1113" t="s">
        <v>57</v>
      </c>
      <c r="B56" s="660" t="s">
        <v>57</v>
      </c>
      <c r="C56" s="661" t="s">
        <v>567</v>
      </c>
      <c r="D56" s="662"/>
      <c r="E56" s="662"/>
      <c r="F56" s="663"/>
      <c r="G56" s="663"/>
      <c r="H56" s="662"/>
      <c r="I56" s="662"/>
      <c r="J56" s="662"/>
      <c r="K56" s="662"/>
      <c r="L56" s="662"/>
      <c r="M56" s="662"/>
      <c r="N56" s="662"/>
      <c r="O56" s="662"/>
      <c r="P56" s="662"/>
      <c r="Q56" s="662"/>
      <c r="R56" s="662"/>
      <c r="S56" s="662"/>
      <c r="T56" s="664"/>
      <c r="U56" s="1069"/>
      <c r="V56" s="1069"/>
      <c r="W56" s="1062"/>
      <c r="X56" s="1073"/>
      <c r="Y56" s="1069"/>
      <c r="Z56" s="1062"/>
      <c r="AA56" s="1076"/>
      <c r="AB56" s="1069"/>
      <c r="AC56" s="1062"/>
      <c r="AD56" s="1076"/>
      <c r="AE56" s="1069"/>
      <c r="AF56" s="1062"/>
      <c r="AG56" s="1082"/>
    </row>
    <row r="57" spans="1:33" s="665" customFormat="1" ht="40" customHeight="1" x14ac:dyDescent="0.35">
      <c r="A57" s="1113" t="s">
        <v>57</v>
      </c>
      <c r="B57" s="660">
        <v>2.1</v>
      </c>
      <c r="C57" s="666" t="s">
        <v>250</v>
      </c>
      <c r="D57" s="662"/>
      <c r="E57" s="662"/>
      <c r="F57" s="663">
        <f>'2018-2022'!D52</f>
        <v>240000000</v>
      </c>
      <c r="G57" s="663">
        <v>12</v>
      </c>
      <c r="H57" s="662">
        <f>F57/G57</f>
        <v>20000000</v>
      </c>
      <c r="I57" s="662">
        <f>H57</f>
        <v>20000000</v>
      </c>
      <c r="J57" s="662">
        <f t="shared" ref="J57:S57" si="82">I57</f>
        <v>20000000</v>
      </c>
      <c r="K57" s="662">
        <f t="shared" si="82"/>
        <v>20000000</v>
      </c>
      <c r="L57" s="662">
        <f t="shared" si="82"/>
        <v>20000000</v>
      </c>
      <c r="M57" s="662">
        <f t="shared" si="82"/>
        <v>20000000</v>
      </c>
      <c r="N57" s="662">
        <f t="shared" si="82"/>
        <v>20000000</v>
      </c>
      <c r="O57" s="662">
        <f t="shared" si="82"/>
        <v>20000000</v>
      </c>
      <c r="P57" s="662">
        <f t="shared" si="82"/>
        <v>20000000</v>
      </c>
      <c r="Q57" s="662">
        <f t="shared" si="82"/>
        <v>20000000</v>
      </c>
      <c r="R57" s="662">
        <f t="shared" si="82"/>
        <v>20000000</v>
      </c>
      <c r="S57" s="662">
        <f t="shared" si="82"/>
        <v>20000000</v>
      </c>
      <c r="T57" s="664">
        <f t="shared" ref="T57:T68" si="83">SUM(H57:S57)</f>
        <v>240000000</v>
      </c>
      <c r="U57" s="1069">
        <f t="shared" ref="U57:U68" si="84">MIN(F57-T57,F57/G57*12)</f>
        <v>0</v>
      </c>
      <c r="V57" s="1069">
        <f>'2018-2022'!E52</f>
        <v>240000000</v>
      </c>
      <c r="W57" s="1062">
        <f t="shared" ref="W57:W68" si="85">U57+V57</f>
        <v>240000000</v>
      </c>
      <c r="X57" s="1073">
        <f t="shared" ref="X57:X68" si="86">MIN(F57-T57-U57,F57/G57*12)</f>
        <v>0</v>
      </c>
      <c r="Y57" s="1069">
        <f>'2018-2022'!F52</f>
        <v>240000000</v>
      </c>
      <c r="Z57" s="1062">
        <f t="shared" ref="Z57:Z68" si="87">X57+Y57</f>
        <v>240000000</v>
      </c>
      <c r="AA57" s="1076">
        <f t="shared" ref="AA57:AA68" si="88">MIN(F57-T57-U57-X57,F57/G57*12)</f>
        <v>0</v>
      </c>
      <c r="AB57" s="1069">
        <f>'2018-2022'!G52</f>
        <v>240000000</v>
      </c>
      <c r="AC57" s="1062">
        <f t="shared" ref="AC57:AC68" si="89">AA57+AB57</f>
        <v>240000000</v>
      </c>
      <c r="AD57" s="1076">
        <f t="shared" ref="AD57:AD68" si="90">F57-T57-U57-X57-AA57</f>
        <v>0</v>
      </c>
      <c r="AE57" s="1069">
        <f>'2018-2022'!H52</f>
        <v>240000000</v>
      </c>
      <c r="AF57" s="1062">
        <f t="shared" ref="AF57:AF68" si="91">AD57+AE57</f>
        <v>240000000</v>
      </c>
      <c r="AG57" s="1082">
        <f>'2018-2022'!I52</f>
        <v>0</v>
      </c>
    </row>
    <row r="58" spans="1:33" s="665" customFormat="1" ht="40" customHeight="1" x14ac:dyDescent="0.35">
      <c r="A58" s="1113" t="s">
        <v>57</v>
      </c>
      <c r="B58" s="660">
        <v>2.2000000000000002</v>
      </c>
      <c r="C58" s="666" t="s">
        <v>308</v>
      </c>
      <c r="D58" s="662"/>
      <c r="E58" s="662"/>
      <c r="F58" s="663">
        <f>'2018-2022'!D53</f>
        <v>15000000</v>
      </c>
      <c r="G58" s="663">
        <v>12</v>
      </c>
      <c r="H58" s="662">
        <f t="shared" ref="H58:H68" si="92">F58/G58</f>
        <v>1250000</v>
      </c>
      <c r="I58" s="662">
        <f t="shared" ref="I58:S68" si="93">H58</f>
        <v>1250000</v>
      </c>
      <c r="J58" s="662">
        <f t="shared" si="93"/>
        <v>1250000</v>
      </c>
      <c r="K58" s="662">
        <f t="shared" si="93"/>
        <v>1250000</v>
      </c>
      <c r="L58" s="662">
        <f t="shared" si="93"/>
        <v>1250000</v>
      </c>
      <c r="M58" s="662">
        <f t="shared" si="93"/>
        <v>1250000</v>
      </c>
      <c r="N58" s="662">
        <f t="shared" si="93"/>
        <v>1250000</v>
      </c>
      <c r="O58" s="662">
        <f t="shared" si="93"/>
        <v>1250000</v>
      </c>
      <c r="P58" s="662">
        <f t="shared" si="93"/>
        <v>1250000</v>
      </c>
      <c r="Q58" s="662">
        <f t="shared" si="93"/>
        <v>1250000</v>
      </c>
      <c r="R58" s="662">
        <f t="shared" si="93"/>
        <v>1250000</v>
      </c>
      <c r="S58" s="662">
        <f t="shared" si="93"/>
        <v>1250000</v>
      </c>
      <c r="T58" s="664">
        <f t="shared" si="83"/>
        <v>15000000</v>
      </c>
      <c r="U58" s="1069">
        <f t="shared" si="84"/>
        <v>0</v>
      </c>
      <c r="V58" s="1069">
        <f>'2018-2022'!E53</f>
        <v>15000000</v>
      </c>
      <c r="W58" s="1062">
        <f t="shared" si="85"/>
        <v>15000000</v>
      </c>
      <c r="X58" s="1073">
        <f t="shared" si="86"/>
        <v>0</v>
      </c>
      <c r="Y58" s="1069">
        <f>'2018-2022'!F53</f>
        <v>15000000</v>
      </c>
      <c r="Z58" s="1062">
        <f t="shared" si="87"/>
        <v>15000000</v>
      </c>
      <c r="AA58" s="1076">
        <f t="shared" si="88"/>
        <v>0</v>
      </c>
      <c r="AB58" s="1069">
        <f>'2018-2022'!G53</f>
        <v>15000000</v>
      </c>
      <c r="AC58" s="1062">
        <f t="shared" si="89"/>
        <v>15000000</v>
      </c>
      <c r="AD58" s="1076">
        <f t="shared" si="90"/>
        <v>0</v>
      </c>
      <c r="AE58" s="1069">
        <f>'2018-2022'!H53</f>
        <v>15000000</v>
      </c>
      <c r="AF58" s="1062">
        <f t="shared" si="91"/>
        <v>15000000</v>
      </c>
      <c r="AG58" s="1082" t="str">
        <f>'2018-2022'!I53</f>
        <v>Keep Techwood in good condition - 600m2</v>
      </c>
    </row>
    <row r="59" spans="1:33" s="665" customFormat="1" ht="40" customHeight="1" x14ac:dyDescent="0.35">
      <c r="A59" s="1113" t="s">
        <v>57</v>
      </c>
      <c r="B59" s="660">
        <v>2.2999999999999998</v>
      </c>
      <c r="C59" s="666" t="s">
        <v>477</v>
      </c>
      <c r="D59" s="662"/>
      <c r="E59" s="662"/>
      <c r="F59" s="663">
        <f>'2018-2022'!D54</f>
        <v>35000000</v>
      </c>
      <c r="G59" s="663">
        <f>4*12</f>
        <v>48</v>
      </c>
      <c r="H59" s="662">
        <f t="shared" si="92"/>
        <v>729166.66666666663</v>
      </c>
      <c r="I59" s="662">
        <f t="shared" si="93"/>
        <v>729166.66666666663</v>
      </c>
      <c r="J59" s="662">
        <f t="shared" si="93"/>
        <v>729166.66666666663</v>
      </c>
      <c r="K59" s="662">
        <f t="shared" si="93"/>
        <v>729166.66666666663</v>
      </c>
      <c r="L59" s="662">
        <f t="shared" si="93"/>
        <v>729166.66666666663</v>
      </c>
      <c r="M59" s="662">
        <f t="shared" si="93"/>
        <v>729166.66666666663</v>
      </c>
      <c r="N59" s="662">
        <f t="shared" si="93"/>
        <v>729166.66666666663</v>
      </c>
      <c r="O59" s="662">
        <f t="shared" si="93"/>
        <v>729166.66666666663</v>
      </c>
      <c r="P59" s="662">
        <f t="shared" si="93"/>
        <v>729166.66666666663</v>
      </c>
      <c r="Q59" s="662">
        <f t="shared" si="93"/>
        <v>729166.66666666663</v>
      </c>
      <c r="R59" s="662">
        <f t="shared" si="93"/>
        <v>729166.66666666663</v>
      </c>
      <c r="S59" s="662">
        <f t="shared" si="93"/>
        <v>729166.66666666663</v>
      </c>
      <c r="T59" s="664">
        <f t="shared" si="83"/>
        <v>8750000.0000000019</v>
      </c>
      <c r="U59" s="1069">
        <f t="shared" si="84"/>
        <v>8750000</v>
      </c>
      <c r="V59" s="1069">
        <f>'2018-2022'!E54</f>
        <v>0</v>
      </c>
      <c r="W59" s="1062">
        <f t="shared" si="85"/>
        <v>8750000</v>
      </c>
      <c r="X59" s="1073">
        <f t="shared" si="86"/>
        <v>8750000</v>
      </c>
      <c r="Y59" s="1069">
        <f>'2018-2022'!F54</f>
        <v>0</v>
      </c>
      <c r="Z59" s="1062">
        <f t="shared" si="87"/>
        <v>8750000</v>
      </c>
      <c r="AA59" s="1076">
        <f t="shared" si="88"/>
        <v>8750000</v>
      </c>
      <c r="AB59" s="1069">
        <f>'2018-2022'!G54</f>
        <v>0</v>
      </c>
      <c r="AC59" s="1062">
        <f t="shared" si="89"/>
        <v>8750000</v>
      </c>
      <c r="AD59" s="1076">
        <f t="shared" si="90"/>
        <v>0</v>
      </c>
      <c r="AE59" s="1069">
        <f>'2018-2022'!H54</f>
        <v>35000000</v>
      </c>
      <c r="AF59" s="1062">
        <f t="shared" si="91"/>
        <v>35000000</v>
      </c>
      <c r="AG59" s="1082" t="str">
        <f>'2018-2022'!I54</f>
        <v>lifespan 04 years as Manufacturer's notice (last changed in 08/2011)</v>
      </c>
    </row>
    <row r="60" spans="1:33" s="665" customFormat="1" ht="40" customHeight="1" x14ac:dyDescent="0.35">
      <c r="A60" s="1113" t="s">
        <v>57</v>
      </c>
      <c r="B60" s="660">
        <v>2.4</v>
      </c>
      <c r="C60" s="666" t="s">
        <v>478</v>
      </c>
      <c r="D60" s="662"/>
      <c r="E60" s="662"/>
      <c r="F60" s="663">
        <f>'2018-2022'!D55</f>
        <v>22000000</v>
      </c>
      <c r="G60" s="663">
        <f>12*4</f>
        <v>48</v>
      </c>
      <c r="H60" s="662">
        <f t="shared" si="92"/>
        <v>458333.33333333331</v>
      </c>
      <c r="I60" s="662">
        <f t="shared" si="93"/>
        <v>458333.33333333331</v>
      </c>
      <c r="J60" s="662">
        <f t="shared" si="93"/>
        <v>458333.33333333331</v>
      </c>
      <c r="K60" s="662">
        <f t="shared" si="93"/>
        <v>458333.33333333331</v>
      </c>
      <c r="L60" s="662">
        <f t="shared" si="93"/>
        <v>458333.33333333331</v>
      </c>
      <c r="M60" s="662">
        <f t="shared" si="93"/>
        <v>458333.33333333331</v>
      </c>
      <c r="N60" s="662">
        <f t="shared" si="93"/>
        <v>458333.33333333331</v>
      </c>
      <c r="O60" s="662">
        <f t="shared" si="93"/>
        <v>458333.33333333331</v>
      </c>
      <c r="P60" s="662">
        <f t="shared" si="93"/>
        <v>458333.33333333331</v>
      </c>
      <c r="Q60" s="662">
        <f t="shared" si="93"/>
        <v>458333.33333333331</v>
      </c>
      <c r="R60" s="662">
        <f t="shared" si="93"/>
        <v>458333.33333333331</v>
      </c>
      <c r="S60" s="662">
        <f t="shared" si="93"/>
        <v>458333.33333333331</v>
      </c>
      <c r="T60" s="664">
        <f t="shared" si="83"/>
        <v>5500000</v>
      </c>
      <c r="U60" s="1069">
        <f t="shared" si="84"/>
        <v>5500000</v>
      </c>
      <c r="V60" s="1069">
        <f>'2018-2022'!E55</f>
        <v>0</v>
      </c>
      <c r="W60" s="1062">
        <f t="shared" si="85"/>
        <v>5500000</v>
      </c>
      <c r="X60" s="1073">
        <f t="shared" si="86"/>
        <v>5500000</v>
      </c>
      <c r="Y60" s="1069">
        <f>'2018-2022'!F55</f>
        <v>0</v>
      </c>
      <c r="Z60" s="1062">
        <f t="shared" si="87"/>
        <v>5500000</v>
      </c>
      <c r="AA60" s="1076">
        <f t="shared" si="88"/>
        <v>5500000</v>
      </c>
      <c r="AB60" s="1069">
        <f>'2018-2022'!G55</f>
        <v>0</v>
      </c>
      <c r="AC60" s="1062">
        <f t="shared" si="89"/>
        <v>5500000</v>
      </c>
      <c r="AD60" s="1076">
        <f t="shared" si="90"/>
        <v>0</v>
      </c>
      <c r="AE60" s="1069">
        <f>'2018-2022'!H55</f>
        <v>22000000</v>
      </c>
      <c r="AF60" s="1062">
        <f t="shared" si="91"/>
        <v>22000000</v>
      </c>
      <c r="AG60" s="1082" t="str">
        <f>'2018-2022'!I55</f>
        <v>Plans to replace 1 out of order one in 2017 (Lifespan 04 years as Manufacturer's notice (last changed in 6/2012)</v>
      </c>
    </row>
    <row r="61" spans="1:33" s="665" customFormat="1" ht="40" customHeight="1" x14ac:dyDescent="0.35">
      <c r="A61" s="1113" t="s">
        <v>57</v>
      </c>
      <c r="B61" s="660">
        <v>2.5</v>
      </c>
      <c r="C61" s="666" t="s">
        <v>479</v>
      </c>
      <c r="D61" s="662"/>
      <c r="E61" s="662"/>
      <c r="F61" s="663">
        <f>'2018-2022'!D56</f>
        <v>16000000</v>
      </c>
      <c r="G61" s="663">
        <f>12*4</f>
        <v>48</v>
      </c>
      <c r="H61" s="662">
        <f t="shared" si="92"/>
        <v>333333.33333333331</v>
      </c>
      <c r="I61" s="662">
        <f t="shared" si="93"/>
        <v>333333.33333333331</v>
      </c>
      <c r="J61" s="662">
        <f t="shared" si="93"/>
        <v>333333.33333333331</v>
      </c>
      <c r="K61" s="662">
        <f t="shared" si="93"/>
        <v>333333.33333333331</v>
      </c>
      <c r="L61" s="662">
        <f t="shared" si="93"/>
        <v>333333.33333333331</v>
      </c>
      <c r="M61" s="662">
        <f t="shared" si="93"/>
        <v>333333.33333333331</v>
      </c>
      <c r="N61" s="662">
        <f t="shared" si="93"/>
        <v>333333.33333333331</v>
      </c>
      <c r="O61" s="662">
        <f t="shared" si="93"/>
        <v>333333.33333333331</v>
      </c>
      <c r="P61" s="662">
        <f t="shared" si="93"/>
        <v>333333.33333333331</v>
      </c>
      <c r="Q61" s="662">
        <f t="shared" si="93"/>
        <v>333333.33333333331</v>
      </c>
      <c r="R61" s="662">
        <f t="shared" si="93"/>
        <v>333333.33333333331</v>
      </c>
      <c r="S61" s="662">
        <f t="shared" si="93"/>
        <v>333333.33333333331</v>
      </c>
      <c r="T61" s="664">
        <f t="shared" si="83"/>
        <v>4000000.0000000005</v>
      </c>
      <c r="U61" s="1069">
        <f t="shared" si="84"/>
        <v>4000000</v>
      </c>
      <c r="V61" s="1069">
        <f>'2018-2022'!E56</f>
        <v>0</v>
      </c>
      <c r="W61" s="1062">
        <f t="shared" si="85"/>
        <v>4000000</v>
      </c>
      <c r="X61" s="1073">
        <f t="shared" si="86"/>
        <v>4000000</v>
      </c>
      <c r="Y61" s="1069">
        <f>'2018-2022'!F56</f>
        <v>0</v>
      </c>
      <c r="Z61" s="1062">
        <f t="shared" si="87"/>
        <v>4000000</v>
      </c>
      <c r="AA61" s="1076">
        <f t="shared" si="88"/>
        <v>4000000</v>
      </c>
      <c r="AB61" s="1069">
        <f>'2018-2022'!G56</f>
        <v>0</v>
      </c>
      <c r="AC61" s="1062">
        <f t="shared" si="89"/>
        <v>4000000</v>
      </c>
      <c r="AD61" s="1076">
        <f t="shared" si="90"/>
        <v>0</v>
      </c>
      <c r="AE61" s="1069">
        <f>'2018-2022'!H56</f>
        <v>16000000</v>
      </c>
      <c r="AF61" s="1062">
        <f t="shared" si="91"/>
        <v>16000000</v>
      </c>
      <c r="AG61" s="1082" t="str">
        <f>'2018-2022'!I56</f>
        <v>Plans to replace 2 pumps in 2017. Lifespan sand filter pump 6 years as Manufacturer's notice</v>
      </c>
    </row>
    <row r="62" spans="1:33" s="665" customFormat="1" ht="40" customHeight="1" x14ac:dyDescent="0.35">
      <c r="A62" s="1113" t="s">
        <v>59</v>
      </c>
      <c r="B62" s="660">
        <v>2.6</v>
      </c>
      <c r="C62" s="666" t="s">
        <v>475</v>
      </c>
      <c r="D62" s="662"/>
      <c r="E62" s="662"/>
      <c r="F62" s="663">
        <f>'2018-2022'!D57</f>
        <v>60000000</v>
      </c>
      <c r="G62" s="663">
        <f>12*2</f>
        <v>24</v>
      </c>
      <c r="H62" s="662">
        <f t="shared" si="92"/>
        <v>2500000</v>
      </c>
      <c r="I62" s="662">
        <f t="shared" si="93"/>
        <v>2500000</v>
      </c>
      <c r="J62" s="662">
        <f t="shared" si="93"/>
        <v>2500000</v>
      </c>
      <c r="K62" s="662">
        <f t="shared" si="93"/>
        <v>2500000</v>
      </c>
      <c r="L62" s="662">
        <f t="shared" si="93"/>
        <v>2500000</v>
      </c>
      <c r="M62" s="662">
        <f t="shared" si="93"/>
        <v>2500000</v>
      </c>
      <c r="N62" s="662">
        <f t="shared" si="93"/>
        <v>2500000</v>
      </c>
      <c r="O62" s="662">
        <f t="shared" si="93"/>
        <v>2500000</v>
      </c>
      <c r="P62" s="662">
        <f t="shared" si="93"/>
        <v>2500000</v>
      </c>
      <c r="Q62" s="662">
        <f t="shared" si="93"/>
        <v>2500000</v>
      </c>
      <c r="R62" s="662">
        <f t="shared" si="93"/>
        <v>2500000</v>
      </c>
      <c r="S62" s="662">
        <f t="shared" si="93"/>
        <v>2500000</v>
      </c>
      <c r="T62" s="664">
        <f>SUM(H62:S62)</f>
        <v>30000000</v>
      </c>
      <c r="U62" s="1069">
        <f>MIN(F62-T62,F62/G62*12)</f>
        <v>30000000</v>
      </c>
      <c r="V62" s="1069">
        <f>'2018-2022'!E57</f>
        <v>0</v>
      </c>
      <c r="W62" s="1062">
        <f t="shared" si="85"/>
        <v>30000000</v>
      </c>
      <c r="X62" s="1073">
        <f t="shared" si="86"/>
        <v>0</v>
      </c>
      <c r="Y62" s="1069">
        <f>'2018-2022'!F57</f>
        <v>60000000</v>
      </c>
      <c r="Z62" s="1062">
        <f t="shared" si="87"/>
        <v>60000000</v>
      </c>
      <c r="AA62" s="1076">
        <f t="shared" si="88"/>
        <v>0</v>
      </c>
      <c r="AB62" s="1069">
        <f>'2018-2022'!G57</f>
        <v>60000000</v>
      </c>
      <c r="AC62" s="1062">
        <f t="shared" si="89"/>
        <v>60000000</v>
      </c>
      <c r="AD62" s="1076">
        <f t="shared" si="90"/>
        <v>0</v>
      </c>
      <c r="AE62" s="1069">
        <f>'2018-2022'!H57</f>
        <v>60000000</v>
      </c>
      <c r="AF62" s="1062">
        <f t="shared" si="91"/>
        <v>60000000</v>
      </c>
      <c r="AG62" s="1082" t="str">
        <f>'2018-2022'!I57</f>
        <v xml:space="preserve">Replace filtration tanks of those pond &amp; fountains were cracked. </v>
      </c>
    </row>
    <row r="63" spans="1:33" s="665" customFormat="1" ht="40" customHeight="1" x14ac:dyDescent="0.35">
      <c r="A63" s="1113" t="s">
        <v>57</v>
      </c>
      <c r="B63" s="660">
        <v>2.7</v>
      </c>
      <c r="C63" s="666" t="s">
        <v>480</v>
      </c>
      <c r="D63" s="662"/>
      <c r="E63" s="662"/>
      <c r="F63" s="663">
        <f>'2018-2022'!D58</f>
        <v>3000000</v>
      </c>
      <c r="G63" s="663">
        <v>12</v>
      </c>
      <c r="H63" s="662">
        <f t="shared" si="92"/>
        <v>250000</v>
      </c>
      <c r="I63" s="662">
        <f t="shared" si="93"/>
        <v>250000</v>
      </c>
      <c r="J63" s="662">
        <f t="shared" si="93"/>
        <v>250000</v>
      </c>
      <c r="K63" s="662">
        <f t="shared" si="93"/>
        <v>250000</v>
      </c>
      <c r="L63" s="662">
        <f t="shared" si="93"/>
        <v>250000</v>
      </c>
      <c r="M63" s="662">
        <f t="shared" si="93"/>
        <v>250000</v>
      </c>
      <c r="N63" s="662">
        <f t="shared" si="93"/>
        <v>250000</v>
      </c>
      <c r="O63" s="662">
        <f t="shared" si="93"/>
        <v>250000</v>
      </c>
      <c r="P63" s="662">
        <f t="shared" si="93"/>
        <v>250000</v>
      </c>
      <c r="Q63" s="662">
        <f t="shared" si="93"/>
        <v>250000</v>
      </c>
      <c r="R63" s="662">
        <f t="shared" si="93"/>
        <v>250000</v>
      </c>
      <c r="S63" s="662">
        <f t="shared" si="93"/>
        <v>250000</v>
      </c>
      <c r="T63" s="664">
        <f t="shared" si="83"/>
        <v>3000000</v>
      </c>
      <c r="U63" s="1069">
        <f t="shared" si="84"/>
        <v>0</v>
      </c>
      <c r="V63" s="1069">
        <f>'2018-2022'!E58</f>
        <v>3000000</v>
      </c>
      <c r="W63" s="1062">
        <f t="shared" si="85"/>
        <v>3000000</v>
      </c>
      <c r="X63" s="1073">
        <f t="shared" si="86"/>
        <v>0</v>
      </c>
      <c r="Y63" s="1069">
        <f>'2018-2022'!F58</f>
        <v>3000000</v>
      </c>
      <c r="Z63" s="1062">
        <f t="shared" si="87"/>
        <v>3000000</v>
      </c>
      <c r="AA63" s="1076">
        <f t="shared" si="88"/>
        <v>0</v>
      </c>
      <c r="AB63" s="1069">
        <f>'2018-2022'!G58</f>
        <v>3000000</v>
      </c>
      <c r="AC63" s="1062">
        <f t="shared" si="89"/>
        <v>3000000</v>
      </c>
      <c r="AD63" s="1076">
        <f t="shared" si="90"/>
        <v>0</v>
      </c>
      <c r="AE63" s="1069">
        <f>'2018-2022'!H58</f>
        <v>3000000</v>
      </c>
      <c r="AF63" s="1062">
        <f t="shared" si="91"/>
        <v>3000000</v>
      </c>
      <c r="AG63" s="1082" t="str">
        <f>'2018-2022'!I58</f>
        <v xml:space="preserve"> 2 flexibale hoses, 1 brush,1 leaf rake</v>
      </c>
    </row>
    <row r="64" spans="1:33" s="665" customFormat="1" ht="40" customHeight="1" x14ac:dyDescent="0.35">
      <c r="A64" s="1113" t="s">
        <v>57</v>
      </c>
      <c r="B64" s="660">
        <v>2.8</v>
      </c>
      <c r="C64" s="666" t="s">
        <v>481</v>
      </c>
      <c r="D64" s="662"/>
      <c r="E64" s="662"/>
      <c r="F64" s="663">
        <f>'2018-2022'!D59</f>
        <v>6000000</v>
      </c>
      <c r="G64" s="663">
        <v>12</v>
      </c>
      <c r="H64" s="662">
        <f t="shared" si="92"/>
        <v>500000</v>
      </c>
      <c r="I64" s="662">
        <f t="shared" si="93"/>
        <v>500000</v>
      </c>
      <c r="J64" s="662">
        <f t="shared" si="93"/>
        <v>500000</v>
      </c>
      <c r="K64" s="662">
        <f t="shared" si="93"/>
        <v>500000</v>
      </c>
      <c r="L64" s="662">
        <f t="shared" si="93"/>
        <v>500000</v>
      </c>
      <c r="M64" s="662">
        <f t="shared" si="93"/>
        <v>500000</v>
      </c>
      <c r="N64" s="662">
        <f t="shared" si="93"/>
        <v>500000</v>
      </c>
      <c r="O64" s="662">
        <f t="shared" si="93"/>
        <v>500000</v>
      </c>
      <c r="P64" s="662">
        <f t="shared" si="93"/>
        <v>500000</v>
      </c>
      <c r="Q64" s="662">
        <f t="shared" si="93"/>
        <v>500000</v>
      </c>
      <c r="R64" s="662">
        <f t="shared" si="93"/>
        <v>500000</v>
      </c>
      <c r="S64" s="662">
        <f t="shared" si="93"/>
        <v>500000</v>
      </c>
      <c r="T64" s="664">
        <f t="shared" si="83"/>
        <v>6000000</v>
      </c>
      <c r="U64" s="1069">
        <f t="shared" si="84"/>
        <v>0</v>
      </c>
      <c r="V64" s="1069">
        <f>'2018-2022'!E59</f>
        <v>6000000</v>
      </c>
      <c r="W64" s="1062">
        <f t="shared" si="85"/>
        <v>6000000</v>
      </c>
      <c r="X64" s="1073">
        <f t="shared" si="86"/>
        <v>0</v>
      </c>
      <c r="Y64" s="1069">
        <f>'2018-2022'!F59</f>
        <v>6000000</v>
      </c>
      <c r="Z64" s="1062">
        <f t="shared" si="87"/>
        <v>6000000</v>
      </c>
      <c r="AA64" s="1076">
        <f t="shared" si="88"/>
        <v>0</v>
      </c>
      <c r="AB64" s="1069">
        <f>'2018-2022'!G59</f>
        <v>6000000</v>
      </c>
      <c r="AC64" s="1062">
        <f t="shared" si="89"/>
        <v>6000000</v>
      </c>
      <c r="AD64" s="1076">
        <f t="shared" si="90"/>
        <v>0</v>
      </c>
      <c r="AE64" s="1069">
        <f>'2018-2022'!H59</f>
        <v>6000000</v>
      </c>
      <c r="AF64" s="1062">
        <f t="shared" si="91"/>
        <v>6000000</v>
      </c>
      <c r="AG64" s="1082">
        <f>'2018-2022'!I59</f>
        <v>0</v>
      </c>
    </row>
    <row r="65" spans="1:33" s="665" customFormat="1" ht="40" customHeight="1" x14ac:dyDescent="0.35">
      <c r="A65" s="1113" t="s">
        <v>57</v>
      </c>
      <c r="B65" s="660">
        <v>2.9</v>
      </c>
      <c r="C65" s="666" t="s">
        <v>482</v>
      </c>
      <c r="D65" s="662"/>
      <c r="E65" s="662"/>
      <c r="F65" s="663">
        <f>'2018-2022'!D60</f>
        <v>15000000</v>
      </c>
      <c r="G65" s="663">
        <v>12</v>
      </c>
      <c r="H65" s="662">
        <f t="shared" si="92"/>
        <v>1250000</v>
      </c>
      <c r="I65" s="662">
        <f t="shared" si="93"/>
        <v>1250000</v>
      </c>
      <c r="J65" s="662">
        <f t="shared" si="93"/>
        <v>1250000</v>
      </c>
      <c r="K65" s="662">
        <f t="shared" si="93"/>
        <v>1250000</v>
      </c>
      <c r="L65" s="662">
        <f t="shared" si="93"/>
        <v>1250000</v>
      </c>
      <c r="M65" s="662">
        <f t="shared" si="93"/>
        <v>1250000</v>
      </c>
      <c r="N65" s="662">
        <f t="shared" si="93"/>
        <v>1250000</v>
      </c>
      <c r="O65" s="662">
        <f t="shared" si="93"/>
        <v>1250000</v>
      </c>
      <c r="P65" s="662">
        <f t="shared" si="93"/>
        <v>1250000</v>
      </c>
      <c r="Q65" s="662">
        <f t="shared" si="93"/>
        <v>1250000</v>
      </c>
      <c r="R65" s="662">
        <f t="shared" si="93"/>
        <v>1250000</v>
      </c>
      <c r="S65" s="662">
        <f t="shared" si="93"/>
        <v>1250000</v>
      </c>
      <c r="T65" s="664">
        <f t="shared" si="83"/>
        <v>15000000</v>
      </c>
      <c r="U65" s="1069">
        <f t="shared" si="84"/>
        <v>0</v>
      </c>
      <c r="V65" s="1069">
        <f>'2018-2022'!E60</f>
        <v>15000000</v>
      </c>
      <c r="W65" s="1062">
        <f t="shared" si="85"/>
        <v>15000000</v>
      </c>
      <c r="X65" s="1073">
        <f t="shared" si="86"/>
        <v>0</v>
      </c>
      <c r="Y65" s="1069">
        <f>'2018-2022'!F60</f>
        <v>15000000</v>
      </c>
      <c r="Z65" s="1062">
        <f t="shared" si="87"/>
        <v>15000000</v>
      </c>
      <c r="AA65" s="1076">
        <f t="shared" si="88"/>
        <v>0</v>
      </c>
      <c r="AB65" s="1069">
        <f>'2018-2022'!G60</f>
        <v>15000000</v>
      </c>
      <c r="AC65" s="1062">
        <f t="shared" si="89"/>
        <v>15000000</v>
      </c>
      <c r="AD65" s="1076">
        <f t="shared" si="90"/>
        <v>0</v>
      </c>
      <c r="AE65" s="1069">
        <f>'2018-2022'!H60</f>
        <v>15000000</v>
      </c>
      <c r="AF65" s="1062">
        <f t="shared" si="91"/>
        <v>15000000</v>
      </c>
      <c r="AG65" s="1082">
        <f>'2018-2022'!I60</f>
        <v>0</v>
      </c>
    </row>
    <row r="66" spans="1:33" s="665" customFormat="1" ht="40" customHeight="1" x14ac:dyDescent="0.35">
      <c r="A66" s="1113" t="s">
        <v>57</v>
      </c>
      <c r="B66" s="660" t="s">
        <v>569</v>
      </c>
      <c r="C66" s="666" t="s">
        <v>483</v>
      </c>
      <c r="D66" s="662"/>
      <c r="E66" s="662"/>
      <c r="F66" s="663">
        <f>'2018-2022'!D61</f>
        <v>2000000</v>
      </c>
      <c r="G66" s="663">
        <v>12</v>
      </c>
      <c r="H66" s="662">
        <f t="shared" si="92"/>
        <v>166666.66666666666</v>
      </c>
      <c r="I66" s="662">
        <f t="shared" si="93"/>
        <v>166666.66666666666</v>
      </c>
      <c r="J66" s="662">
        <f t="shared" si="93"/>
        <v>166666.66666666666</v>
      </c>
      <c r="K66" s="662">
        <f t="shared" si="93"/>
        <v>166666.66666666666</v>
      </c>
      <c r="L66" s="662">
        <f t="shared" si="93"/>
        <v>166666.66666666666</v>
      </c>
      <c r="M66" s="662">
        <f t="shared" si="93"/>
        <v>166666.66666666666</v>
      </c>
      <c r="N66" s="662">
        <f t="shared" si="93"/>
        <v>166666.66666666666</v>
      </c>
      <c r="O66" s="662">
        <f t="shared" si="93"/>
        <v>166666.66666666666</v>
      </c>
      <c r="P66" s="662">
        <f t="shared" si="93"/>
        <v>166666.66666666666</v>
      </c>
      <c r="Q66" s="662">
        <f t="shared" si="93"/>
        <v>166666.66666666666</v>
      </c>
      <c r="R66" s="662">
        <f t="shared" si="93"/>
        <v>166666.66666666666</v>
      </c>
      <c r="S66" s="662">
        <f t="shared" si="93"/>
        <v>166666.66666666666</v>
      </c>
      <c r="T66" s="664">
        <f t="shared" si="83"/>
        <v>2000000.0000000002</v>
      </c>
      <c r="U66" s="1069">
        <f t="shared" si="84"/>
        <v>-2.3283064365386963E-10</v>
      </c>
      <c r="V66" s="1069">
        <f>'2018-2022'!E61</f>
        <v>2000000</v>
      </c>
      <c r="W66" s="1062">
        <f t="shared" si="85"/>
        <v>1999999.9999999998</v>
      </c>
      <c r="X66" s="1073">
        <f t="shared" si="86"/>
        <v>0</v>
      </c>
      <c r="Y66" s="1069">
        <f>'2018-2022'!F61</f>
        <v>2000000</v>
      </c>
      <c r="Z66" s="1062">
        <f t="shared" si="87"/>
        <v>2000000</v>
      </c>
      <c r="AA66" s="1076">
        <f t="shared" si="88"/>
        <v>0</v>
      </c>
      <c r="AB66" s="1069">
        <f>'2018-2022'!G61</f>
        <v>2000000</v>
      </c>
      <c r="AC66" s="1062">
        <f t="shared" si="89"/>
        <v>2000000</v>
      </c>
      <c r="AD66" s="1076">
        <f t="shared" si="90"/>
        <v>0</v>
      </c>
      <c r="AE66" s="1069">
        <f>'2018-2022'!H61</f>
        <v>2000000</v>
      </c>
      <c r="AF66" s="1062">
        <f t="shared" si="91"/>
        <v>2000000</v>
      </c>
      <c r="AG66" s="1082" t="str">
        <f>'2018-2022'!I61</f>
        <v>lifespan 06 months as Manufacturer's notice (last changed in 10/2015)</v>
      </c>
    </row>
    <row r="67" spans="1:33" s="665" customFormat="1" ht="40" customHeight="1" x14ac:dyDescent="0.35">
      <c r="A67" s="1113" t="s">
        <v>57</v>
      </c>
      <c r="B67" s="660" t="s">
        <v>570</v>
      </c>
      <c r="C67" s="666" t="s">
        <v>484</v>
      </c>
      <c r="D67" s="662"/>
      <c r="E67" s="662"/>
      <c r="F67" s="663">
        <f>'2018-2022'!D62</f>
        <v>24000000</v>
      </c>
      <c r="G67" s="663">
        <v>12</v>
      </c>
      <c r="H67" s="662">
        <f t="shared" si="92"/>
        <v>2000000</v>
      </c>
      <c r="I67" s="662">
        <f t="shared" si="93"/>
        <v>2000000</v>
      </c>
      <c r="J67" s="662">
        <f t="shared" si="93"/>
        <v>2000000</v>
      </c>
      <c r="K67" s="662">
        <f t="shared" si="93"/>
        <v>2000000</v>
      </c>
      <c r="L67" s="662">
        <f t="shared" si="93"/>
        <v>2000000</v>
      </c>
      <c r="M67" s="662">
        <f t="shared" si="93"/>
        <v>2000000</v>
      </c>
      <c r="N67" s="662">
        <f t="shared" si="93"/>
        <v>2000000</v>
      </c>
      <c r="O67" s="662">
        <f t="shared" si="93"/>
        <v>2000000</v>
      </c>
      <c r="P67" s="662">
        <f t="shared" si="93"/>
        <v>2000000</v>
      </c>
      <c r="Q67" s="662">
        <f t="shared" si="93"/>
        <v>2000000</v>
      </c>
      <c r="R67" s="662">
        <f t="shared" si="93"/>
        <v>2000000</v>
      </c>
      <c r="S67" s="662">
        <f t="shared" si="93"/>
        <v>2000000</v>
      </c>
      <c r="T67" s="664">
        <f t="shared" si="83"/>
        <v>24000000</v>
      </c>
      <c r="U67" s="1069">
        <f t="shared" si="84"/>
        <v>0</v>
      </c>
      <c r="V67" s="1069">
        <f>'2018-2022'!E62</f>
        <v>24000000</v>
      </c>
      <c r="W67" s="1062">
        <f t="shared" si="85"/>
        <v>24000000</v>
      </c>
      <c r="X67" s="1073">
        <f t="shared" si="86"/>
        <v>0</v>
      </c>
      <c r="Y67" s="1069">
        <f>'2018-2022'!F62</f>
        <v>24000000</v>
      </c>
      <c r="Z67" s="1062">
        <f t="shared" si="87"/>
        <v>24000000</v>
      </c>
      <c r="AA67" s="1076">
        <f t="shared" si="88"/>
        <v>0</v>
      </c>
      <c r="AB67" s="1069">
        <f>'2018-2022'!G62</f>
        <v>24000000</v>
      </c>
      <c r="AC67" s="1062">
        <f t="shared" si="89"/>
        <v>24000000</v>
      </c>
      <c r="AD67" s="1076">
        <f t="shared" si="90"/>
        <v>0</v>
      </c>
      <c r="AE67" s="1069">
        <f>'2018-2022'!H62</f>
        <v>24000000</v>
      </c>
      <c r="AF67" s="1062">
        <f t="shared" si="91"/>
        <v>24000000</v>
      </c>
      <c r="AG67" s="1082" t="str">
        <f>'2018-2022'!I62</f>
        <v>lifespan one way valve 02 years as Manufacturer's notice (03 units changed in 09/2015)</v>
      </c>
    </row>
    <row r="68" spans="1:33" s="665" customFormat="1" ht="40" customHeight="1" x14ac:dyDescent="0.35">
      <c r="A68" s="1115" t="s">
        <v>57</v>
      </c>
      <c r="B68" s="1089" t="s">
        <v>571</v>
      </c>
      <c r="C68" s="1090" t="s">
        <v>252</v>
      </c>
      <c r="D68" s="1091"/>
      <c r="E68" s="1091"/>
      <c r="F68" s="1092">
        <f>'2018-2022'!D63</f>
        <v>10000000</v>
      </c>
      <c r="G68" s="1092">
        <v>12</v>
      </c>
      <c r="H68" s="1091">
        <f t="shared" si="92"/>
        <v>833333.33333333337</v>
      </c>
      <c r="I68" s="1091">
        <f t="shared" si="93"/>
        <v>833333.33333333337</v>
      </c>
      <c r="J68" s="1091">
        <f t="shared" si="93"/>
        <v>833333.33333333337</v>
      </c>
      <c r="K68" s="1091">
        <f t="shared" si="93"/>
        <v>833333.33333333337</v>
      </c>
      <c r="L68" s="1091">
        <f t="shared" si="93"/>
        <v>833333.33333333337</v>
      </c>
      <c r="M68" s="1091">
        <f t="shared" si="93"/>
        <v>833333.33333333337</v>
      </c>
      <c r="N68" s="1091">
        <f t="shared" si="93"/>
        <v>833333.33333333337</v>
      </c>
      <c r="O68" s="1091">
        <f t="shared" si="93"/>
        <v>833333.33333333337</v>
      </c>
      <c r="P68" s="1091">
        <f t="shared" si="93"/>
        <v>833333.33333333337</v>
      </c>
      <c r="Q68" s="1091">
        <f t="shared" si="93"/>
        <v>833333.33333333337</v>
      </c>
      <c r="R68" s="1091">
        <f t="shared" si="93"/>
        <v>833333.33333333337</v>
      </c>
      <c r="S68" s="1091">
        <f t="shared" si="93"/>
        <v>833333.33333333337</v>
      </c>
      <c r="T68" s="1093">
        <f t="shared" si="83"/>
        <v>10000000</v>
      </c>
      <c r="U68" s="1094">
        <f t="shared" si="84"/>
        <v>0</v>
      </c>
      <c r="V68" s="1094">
        <f>'2018-2022'!E63</f>
        <v>10000000</v>
      </c>
      <c r="W68" s="1095">
        <f t="shared" si="85"/>
        <v>10000000</v>
      </c>
      <c r="X68" s="1096">
        <f t="shared" si="86"/>
        <v>0</v>
      </c>
      <c r="Y68" s="1094">
        <f>'2018-2022'!F63</f>
        <v>10000000</v>
      </c>
      <c r="Z68" s="1095">
        <f t="shared" si="87"/>
        <v>10000000</v>
      </c>
      <c r="AA68" s="1097">
        <f t="shared" si="88"/>
        <v>0</v>
      </c>
      <c r="AB68" s="1094">
        <f>'2018-2022'!G63</f>
        <v>10000000</v>
      </c>
      <c r="AC68" s="1095">
        <f t="shared" si="89"/>
        <v>10000000</v>
      </c>
      <c r="AD68" s="1097">
        <f t="shared" si="90"/>
        <v>0</v>
      </c>
      <c r="AE68" s="1094">
        <f>'2018-2022'!H63</f>
        <v>10000000</v>
      </c>
      <c r="AF68" s="1095">
        <f t="shared" si="91"/>
        <v>10000000</v>
      </c>
      <c r="AG68" s="1098">
        <f>'2018-2022'!I63</f>
        <v>0</v>
      </c>
    </row>
    <row r="69" spans="1:33" s="665" customFormat="1" ht="40" customHeight="1" x14ac:dyDescent="0.35">
      <c r="A69" s="1116" t="s">
        <v>604</v>
      </c>
      <c r="B69" s="1099"/>
      <c r="C69" s="1100" t="s">
        <v>567</v>
      </c>
      <c r="D69" s="1101"/>
      <c r="E69" s="1101"/>
      <c r="F69" s="1101">
        <f>SUBTOTAL(9,F56:F68)</f>
        <v>448000000</v>
      </c>
      <c r="G69" s="1101"/>
      <c r="H69" s="1101">
        <f t="shared" ref="H69:AD69" si="94">SUBTOTAL(9,H56:H68)</f>
        <v>30270833.333333332</v>
      </c>
      <c r="I69" s="1101">
        <f t="shared" si="94"/>
        <v>30270833.333333332</v>
      </c>
      <c r="J69" s="1101">
        <f t="shared" si="94"/>
        <v>30270833.333333332</v>
      </c>
      <c r="K69" s="1101">
        <f t="shared" si="94"/>
        <v>30270833.333333332</v>
      </c>
      <c r="L69" s="1101">
        <f t="shared" si="94"/>
        <v>30270833.333333332</v>
      </c>
      <c r="M69" s="1101">
        <f t="shared" si="94"/>
        <v>30270833.333333332</v>
      </c>
      <c r="N69" s="1101">
        <f t="shared" si="94"/>
        <v>30270833.333333332</v>
      </c>
      <c r="O69" s="1101">
        <f t="shared" si="94"/>
        <v>30270833.333333332</v>
      </c>
      <c r="P69" s="1101">
        <f t="shared" si="94"/>
        <v>30270833.333333332</v>
      </c>
      <c r="Q69" s="1101">
        <f t="shared" si="94"/>
        <v>30270833.333333332</v>
      </c>
      <c r="R69" s="1101">
        <f t="shared" si="94"/>
        <v>30270833.333333332</v>
      </c>
      <c r="S69" s="1101">
        <f t="shared" si="94"/>
        <v>30270833.333333332</v>
      </c>
      <c r="T69" s="1101">
        <f t="shared" si="94"/>
        <v>363250000</v>
      </c>
      <c r="U69" s="1102">
        <f t="shared" si="94"/>
        <v>48250000</v>
      </c>
      <c r="V69" s="1102">
        <f t="shared" si="94"/>
        <v>315000000</v>
      </c>
      <c r="W69" s="1101">
        <f>SUBTOTAL(9,W56:W68)</f>
        <v>363250000</v>
      </c>
      <c r="X69" s="1102">
        <f t="shared" si="94"/>
        <v>18250000</v>
      </c>
      <c r="Y69" s="1102">
        <f>SUBTOTAL(9,Y56:Y68)</f>
        <v>375000000</v>
      </c>
      <c r="Z69" s="1101">
        <f>SUBTOTAL(9,Z56:Z68)</f>
        <v>393250000</v>
      </c>
      <c r="AA69" s="1102">
        <f t="shared" si="94"/>
        <v>18250000</v>
      </c>
      <c r="AB69" s="1102">
        <f t="shared" ref="AB69" si="95">SUBTOTAL(9,AB56:AB68)</f>
        <v>375000000</v>
      </c>
      <c r="AC69" s="1101">
        <f>SUBTOTAL(9,AC56:AC68)</f>
        <v>393250000</v>
      </c>
      <c r="AD69" s="1102">
        <f t="shared" si="94"/>
        <v>0</v>
      </c>
      <c r="AE69" s="1102">
        <f t="shared" ref="AE69:AG69" si="96">SUBTOTAL(9,AE56:AE68)</f>
        <v>448000000</v>
      </c>
      <c r="AF69" s="1101">
        <f>SUBTOTAL(9,AF56:AF68)</f>
        <v>448000000</v>
      </c>
      <c r="AG69" s="1103">
        <f t="shared" si="96"/>
        <v>0</v>
      </c>
    </row>
    <row r="70" spans="1:33" s="665" customFormat="1" ht="40" customHeight="1" x14ac:dyDescent="0.35">
      <c r="A70" s="1112" t="s">
        <v>55</v>
      </c>
      <c r="B70" s="1056" t="s">
        <v>55</v>
      </c>
      <c r="C70" s="1104" t="s">
        <v>573</v>
      </c>
      <c r="D70" s="1058"/>
      <c r="E70" s="1058"/>
      <c r="F70" s="1059"/>
      <c r="G70" s="1059"/>
      <c r="H70" s="1058"/>
      <c r="I70" s="1058"/>
      <c r="J70" s="1058"/>
      <c r="K70" s="1058"/>
      <c r="L70" s="1058"/>
      <c r="M70" s="1058"/>
      <c r="N70" s="1058"/>
      <c r="O70" s="1058"/>
      <c r="P70" s="1058"/>
      <c r="Q70" s="1058"/>
      <c r="R70" s="1058"/>
      <c r="S70" s="1058"/>
      <c r="T70" s="1060"/>
      <c r="U70" s="1068"/>
      <c r="V70" s="1068"/>
      <c r="W70" s="1061"/>
      <c r="X70" s="1072"/>
      <c r="Y70" s="1068"/>
      <c r="Z70" s="1061"/>
      <c r="AA70" s="1075"/>
      <c r="AB70" s="1068"/>
      <c r="AC70" s="1061"/>
      <c r="AD70" s="1075"/>
      <c r="AE70" s="1068"/>
      <c r="AF70" s="1061"/>
      <c r="AG70" s="1081"/>
    </row>
    <row r="71" spans="1:33" s="665" customFormat="1" ht="40" customHeight="1" x14ac:dyDescent="0.35">
      <c r="A71" s="1113" t="s">
        <v>55</v>
      </c>
      <c r="B71" s="660">
        <v>1</v>
      </c>
      <c r="C71" s="666" t="s">
        <v>317</v>
      </c>
      <c r="D71" s="662"/>
      <c r="E71" s="662"/>
      <c r="F71" s="663">
        <f>'2018-2022'!D65</f>
        <v>264000000</v>
      </c>
      <c r="G71" s="663">
        <v>12</v>
      </c>
      <c r="H71" s="662">
        <f>F71/G71</f>
        <v>22000000</v>
      </c>
      <c r="I71" s="662">
        <f>H71</f>
        <v>22000000</v>
      </c>
      <c r="J71" s="662">
        <f t="shared" ref="J71:S71" si="97">I71</f>
        <v>22000000</v>
      </c>
      <c r="K71" s="662">
        <f t="shared" si="97"/>
        <v>22000000</v>
      </c>
      <c r="L71" s="662">
        <f t="shared" si="97"/>
        <v>22000000</v>
      </c>
      <c r="M71" s="662">
        <f t="shared" si="97"/>
        <v>22000000</v>
      </c>
      <c r="N71" s="662">
        <f t="shared" si="97"/>
        <v>22000000</v>
      </c>
      <c r="O71" s="662">
        <f t="shared" si="97"/>
        <v>22000000</v>
      </c>
      <c r="P71" s="662">
        <f t="shared" si="97"/>
        <v>22000000</v>
      </c>
      <c r="Q71" s="662">
        <f t="shared" si="97"/>
        <v>22000000</v>
      </c>
      <c r="R71" s="662">
        <f t="shared" si="97"/>
        <v>22000000</v>
      </c>
      <c r="S71" s="662">
        <f t="shared" si="97"/>
        <v>22000000</v>
      </c>
      <c r="T71" s="664">
        <f t="shared" ref="T71" si="98">SUM(H71:S71)</f>
        <v>264000000</v>
      </c>
      <c r="U71" s="1069">
        <f t="shared" ref="U71:U77" si="99">MIN(F71-T71,F71/G71*12)</f>
        <v>0</v>
      </c>
      <c r="V71" s="1069">
        <f>'2018-2022'!E65</f>
        <v>264000000</v>
      </c>
      <c r="W71" s="1062">
        <f t="shared" ref="W71:W77" si="100">U71+V71</f>
        <v>264000000</v>
      </c>
      <c r="X71" s="1073">
        <f t="shared" ref="X71:X77" si="101">MIN(F71-T71-U71,F71/G71*12)</f>
        <v>0</v>
      </c>
      <c r="Y71" s="1069">
        <f>'2018-2022'!F65</f>
        <v>264000000</v>
      </c>
      <c r="Z71" s="1062">
        <f t="shared" ref="Z71:Z77" si="102">X71+Y71</f>
        <v>264000000</v>
      </c>
      <c r="AA71" s="1076">
        <f t="shared" ref="AA71:AA77" si="103">MIN(F71-T71-U71-X71,F71/G71*12)</f>
        <v>0</v>
      </c>
      <c r="AB71" s="1069">
        <f>'2018-2022'!G65</f>
        <v>264000000</v>
      </c>
      <c r="AC71" s="1062">
        <f t="shared" ref="AC71:AC77" si="104">AA71+AB71</f>
        <v>264000000</v>
      </c>
      <c r="AD71" s="1076">
        <f t="shared" ref="AD71:AD77" si="105">F71-T71-U71-X71-AA71</f>
        <v>0</v>
      </c>
      <c r="AE71" s="1069">
        <f>'2018-2022'!H65</f>
        <v>264000000</v>
      </c>
      <c r="AF71" s="1062">
        <f t="shared" ref="AF71:AF77" si="106">AD71+AE71</f>
        <v>264000000</v>
      </c>
      <c r="AG71" s="1082">
        <f>'2018-2022'!I65</f>
        <v>0</v>
      </c>
    </row>
    <row r="72" spans="1:33" s="665" customFormat="1" ht="40" customHeight="1" x14ac:dyDescent="0.35">
      <c r="A72" s="1113" t="s">
        <v>55</v>
      </c>
      <c r="B72" s="660">
        <v>2.1</v>
      </c>
      <c r="C72" s="666" t="s">
        <v>320</v>
      </c>
      <c r="D72" s="662"/>
      <c r="E72" s="662"/>
      <c r="F72" s="663">
        <f>'2018-2022'!D67</f>
        <v>40000000</v>
      </c>
      <c r="G72" s="663">
        <v>12</v>
      </c>
      <c r="H72" s="662">
        <f t="shared" ref="H72:H77" si="107">F72/G72</f>
        <v>3333333.3333333335</v>
      </c>
      <c r="I72" s="662">
        <f t="shared" ref="I72:S77" si="108">H72</f>
        <v>3333333.3333333335</v>
      </c>
      <c r="J72" s="662">
        <f t="shared" si="108"/>
        <v>3333333.3333333335</v>
      </c>
      <c r="K72" s="662">
        <f t="shared" si="108"/>
        <v>3333333.3333333335</v>
      </c>
      <c r="L72" s="662">
        <f t="shared" si="108"/>
        <v>3333333.3333333335</v>
      </c>
      <c r="M72" s="662">
        <f t="shared" si="108"/>
        <v>3333333.3333333335</v>
      </c>
      <c r="N72" s="662">
        <f t="shared" si="108"/>
        <v>3333333.3333333335</v>
      </c>
      <c r="O72" s="662">
        <f t="shared" si="108"/>
        <v>3333333.3333333335</v>
      </c>
      <c r="P72" s="662">
        <f t="shared" si="108"/>
        <v>3333333.3333333335</v>
      </c>
      <c r="Q72" s="662">
        <f t="shared" si="108"/>
        <v>3333333.3333333335</v>
      </c>
      <c r="R72" s="662">
        <f t="shared" si="108"/>
        <v>3333333.3333333335</v>
      </c>
      <c r="S72" s="662">
        <f t="shared" si="108"/>
        <v>3333333.3333333335</v>
      </c>
      <c r="T72" s="664">
        <f t="shared" ref="T72:T77" si="109">SUM(H72:S72)</f>
        <v>40000000</v>
      </c>
      <c r="U72" s="1069">
        <f t="shared" si="99"/>
        <v>0</v>
      </c>
      <c r="V72" s="1069">
        <f>'2018-2022'!E67</f>
        <v>40000000</v>
      </c>
      <c r="W72" s="1062">
        <f t="shared" si="100"/>
        <v>40000000</v>
      </c>
      <c r="X72" s="1073">
        <f t="shared" si="101"/>
        <v>0</v>
      </c>
      <c r="Y72" s="1069">
        <f>'2018-2022'!F67</f>
        <v>40000000</v>
      </c>
      <c r="Z72" s="1062">
        <f t="shared" si="102"/>
        <v>40000000</v>
      </c>
      <c r="AA72" s="1076">
        <f t="shared" si="103"/>
        <v>0</v>
      </c>
      <c r="AB72" s="1069">
        <f>'2018-2022'!G67</f>
        <v>40000000</v>
      </c>
      <c r="AC72" s="1062">
        <f t="shared" si="104"/>
        <v>40000000</v>
      </c>
      <c r="AD72" s="1076">
        <f t="shared" si="105"/>
        <v>0</v>
      </c>
      <c r="AE72" s="1069">
        <f>'2018-2022'!H67</f>
        <v>40000000</v>
      </c>
      <c r="AF72" s="1062">
        <f t="shared" si="106"/>
        <v>40000000</v>
      </c>
      <c r="AG72" s="1082" t="str">
        <f>'2018-2022'!I67</f>
        <v>20 million VND for STP; 20 million VND for septic-tanks</v>
      </c>
    </row>
    <row r="73" spans="1:33" s="665" customFormat="1" ht="40" customHeight="1" x14ac:dyDescent="0.35">
      <c r="A73" s="1113" t="s">
        <v>55</v>
      </c>
      <c r="B73" s="660">
        <v>2.2000000000000002</v>
      </c>
      <c r="C73" s="666" t="s">
        <v>322</v>
      </c>
      <c r="D73" s="662"/>
      <c r="E73" s="662"/>
      <c r="F73" s="663">
        <f>'2018-2022'!D68</f>
        <v>43560000</v>
      </c>
      <c r="G73" s="663">
        <v>12</v>
      </c>
      <c r="H73" s="662">
        <f t="shared" si="107"/>
        <v>3630000</v>
      </c>
      <c r="I73" s="662">
        <f t="shared" si="108"/>
        <v>3630000</v>
      </c>
      <c r="J73" s="662">
        <f t="shared" si="108"/>
        <v>3630000</v>
      </c>
      <c r="K73" s="662">
        <f t="shared" si="108"/>
        <v>3630000</v>
      </c>
      <c r="L73" s="662">
        <f t="shared" si="108"/>
        <v>3630000</v>
      </c>
      <c r="M73" s="662">
        <f t="shared" si="108"/>
        <v>3630000</v>
      </c>
      <c r="N73" s="662">
        <f t="shared" si="108"/>
        <v>3630000</v>
      </c>
      <c r="O73" s="662">
        <f t="shared" si="108"/>
        <v>3630000</v>
      </c>
      <c r="P73" s="662">
        <f t="shared" si="108"/>
        <v>3630000</v>
      </c>
      <c r="Q73" s="662">
        <f t="shared" si="108"/>
        <v>3630000</v>
      </c>
      <c r="R73" s="662">
        <f t="shared" si="108"/>
        <v>3630000</v>
      </c>
      <c r="S73" s="662">
        <f t="shared" si="108"/>
        <v>3630000</v>
      </c>
      <c r="T73" s="664">
        <f t="shared" si="109"/>
        <v>43560000</v>
      </c>
      <c r="U73" s="1069">
        <f t="shared" si="99"/>
        <v>0</v>
      </c>
      <c r="V73" s="1069">
        <f>'2018-2022'!E68</f>
        <v>43560000</v>
      </c>
      <c r="W73" s="1062">
        <f t="shared" si="100"/>
        <v>43560000</v>
      </c>
      <c r="X73" s="1073">
        <f t="shared" si="101"/>
        <v>0</v>
      </c>
      <c r="Y73" s="1069">
        <f>'2018-2022'!F68</f>
        <v>43560000</v>
      </c>
      <c r="Z73" s="1062">
        <f t="shared" si="102"/>
        <v>43560000</v>
      </c>
      <c r="AA73" s="1076">
        <f t="shared" si="103"/>
        <v>0</v>
      </c>
      <c r="AB73" s="1069">
        <f>'2018-2022'!G68</f>
        <v>43560000</v>
      </c>
      <c r="AC73" s="1062">
        <f t="shared" si="104"/>
        <v>43560000</v>
      </c>
      <c r="AD73" s="1076">
        <f t="shared" si="105"/>
        <v>0</v>
      </c>
      <c r="AE73" s="1069">
        <f>'2018-2022'!H68</f>
        <v>43560000</v>
      </c>
      <c r="AF73" s="1062">
        <f t="shared" si="106"/>
        <v>43560000</v>
      </c>
      <c r="AG73" s="1082" t="str">
        <f>'2018-2022'!I68</f>
        <v>Around 550 kg / month</v>
      </c>
    </row>
    <row r="74" spans="1:33" s="665" customFormat="1" ht="40" customHeight="1" x14ac:dyDescent="0.35">
      <c r="A74" s="1113" t="s">
        <v>55</v>
      </c>
      <c r="B74" s="660">
        <v>2.2999999999999998</v>
      </c>
      <c r="C74" s="666" t="s">
        <v>324</v>
      </c>
      <c r="D74" s="662"/>
      <c r="E74" s="662"/>
      <c r="F74" s="663">
        <f>'2018-2022'!D69</f>
        <v>15000000</v>
      </c>
      <c r="G74" s="663">
        <v>12</v>
      </c>
      <c r="H74" s="662">
        <f t="shared" si="107"/>
        <v>1250000</v>
      </c>
      <c r="I74" s="662">
        <f t="shared" si="108"/>
        <v>1250000</v>
      </c>
      <c r="J74" s="662">
        <f t="shared" si="108"/>
        <v>1250000</v>
      </c>
      <c r="K74" s="662">
        <f t="shared" si="108"/>
        <v>1250000</v>
      </c>
      <c r="L74" s="662">
        <f t="shared" si="108"/>
        <v>1250000</v>
      </c>
      <c r="M74" s="662">
        <f t="shared" si="108"/>
        <v>1250000</v>
      </c>
      <c r="N74" s="662">
        <f t="shared" si="108"/>
        <v>1250000</v>
      </c>
      <c r="O74" s="662">
        <f t="shared" si="108"/>
        <v>1250000</v>
      </c>
      <c r="P74" s="662">
        <f t="shared" si="108"/>
        <v>1250000</v>
      </c>
      <c r="Q74" s="662">
        <f t="shared" si="108"/>
        <v>1250000</v>
      </c>
      <c r="R74" s="662">
        <f t="shared" si="108"/>
        <v>1250000</v>
      </c>
      <c r="S74" s="662">
        <f t="shared" si="108"/>
        <v>1250000</v>
      </c>
      <c r="T74" s="664">
        <f t="shared" si="109"/>
        <v>15000000</v>
      </c>
      <c r="U74" s="1069">
        <f t="shared" si="99"/>
        <v>0</v>
      </c>
      <c r="V74" s="1069">
        <f>'2018-2022'!E69</f>
        <v>15000000</v>
      </c>
      <c r="W74" s="1062">
        <f t="shared" si="100"/>
        <v>15000000</v>
      </c>
      <c r="X74" s="1073">
        <f t="shared" si="101"/>
        <v>0</v>
      </c>
      <c r="Y74" s="1069">
        <f>'2018-2022'!F69</f>
        <v>15000000</v>
      </c>
      <c r="Z74" s="1062">
        <f t="shared" si="102"/>
        <v>15000000</v>
      </c>
      <c r="AA74" s="1076">
        <f t="shared" si="103"/>
        <v>0</v>
      </c>
      <c r="AB74" s="1069">
        <f>'2018-2022'!G69</f>
        <v>15000000</v>
      </c>
      <c r="AC74" s="1062">
        <f t="shared" si="104"/>
        <v>15000000</v>
      </c>
      <c r="AD74" s="1076">
        <f t="shared" si="105"/>
        <v>0</v>
      </c>
      <c r="AE74" s="1069">
        <f>'2018-2022'!H69</f>
        <v>15000000</v>
      </c>
      <c r="AF74" s="1062">
        <f t="shared" si="106"/>
        <v>15000000</v>
      </c>
      <c r="AG74" s="1082" t="str">
        <f>'2018-2022'!I69</f>
        <v>Around 70 kg / year</v>
      </c>
    </row>
    <row r="75" spans="1:33" s="665" customFormat="1" ht="40" customHeight="1" x14ac:dyDescent="0.35">
      <c r="A75" s="1113" t="s">
        <v>55</v>
      </c>
      <c r="B75" s="660">
        <v>2.4</v>
      </c>
      <c r="C75" s="666" t="s">
        <v>485</v>
      </c>
      <c r="D75" s="662"/>
      <c r="E75" s="662"/>
      <c r="F75" s="663">
        <f>'2018-2022'!D70</f>
        <v>20000000</v>
      </c>
      <c r="G75" s="663">
        <v>12</v>
      </c>
      <c r="H75" s="662">
        <f t="shared" si="107"/>
        <v>1666666.6666666667</v>
      </c>
      <c r="I75" s="662">
        <f t="shared" si="108"/>
        <v>1666666.6666666667</v>
      </c>
      <c r="J75" s="662">
        <f t="shared" si="108"/>
        <v>1666666.6666666667</v>
      </c>
      <c r="K75" s="662">
        <f t="shared" si="108"/>
        <v>1666666.6666666667</v>
      </c>
      <c r="L75" s="662">
        <f t="shared" si="108"/>
        <v>1666666.6666666667</v>
      </c>
      <c r="M75" s="662">
        <f t="shared" si="108"/>
        <v>1666666.6666666667</v>
      </c>
      <c r="N75" s="662">
        <f t="shared" si="108"/>
        <v>1666666.6666666667</v>
      </c>
      <c r="O75" s="662">
        <f t="shared" si="108"/>
        <v>1666666.6666666667</v>
      </c>
      <c r="P75" s="662">
        <f t="shared" si="108"/>
        <v>1666666.6666666667</v>
      </c>
      <c r="Q75" s="662">
        <f t="shared" si="108"/>
        <v>1666666.6666666667</v>
      </c>
      <c r="R75" s="662">
        <f t="shared" si="108"/>
        <v>1666666.6666666667</v>
      </c>
      <c r="S75" s="662">
        <f t="shared" si="108"/>
        <v>1666666.6666666667</v>
      </c>
      <c r="T75" s="664">
        <f t="shared" si="109"/>
        <v>20000000</v>
      </c>
      <c r="U75" s="1069">
        <f t="shared" si="99"/>
        <v>0</v>
      </c>
      <c r="V75" s="1069">
        <f>'2018-2022'!E70</f>
        <v>20000000</v>
      </c>
      <c r="W75" s="1062">
        <f t="shared" si="100"/>
        <v>20000000</v>
      </c>
      <c r="X75" s="1073">
        <f t="shared" si="101"/>
        <v>0</v>
      </c>
      <c r="Y75" s="1069">
        <f>'2018-2022'!F70</f>
        <v>20000000</v>
      </c>
      <c r="Z75" s="1062">
        <f t="shared" si="102"/>
        <v>20000000</v>
      </c>
      <c r="AA75" s="1076">
        <f t="shared" si="103"/>
        <v>0</v>
      </c>
      <c r="AB75" s="1069">
        <f>'2018-2022'!G70</f>
        <v>20000000</v>
      </c>
      <c r="AC75" s="1062">
        <f t="shared" si="104"/>
        <v>20000000</v>
      </c>
      <c r="AD75" s="1076">
        <f t="shared" si="105"/>
        <v>0</v>
      </c>
      <c r="AE75" s="1069">
        <f>'2018-2022'!H70</f>
        <v>20000000</v>
      </c>
      <c r="AF75" s="1062">
        <f t="shared" si="106"/>
        <v>20000000</v>
      </c>
      <c r="AG75" s="1082">
        <f>'2018-2022'!I70</f>
        <v>0</v>
      </c>
    </row>
    <row r="76" spans="1:33" s="665" customFormat="1" ht="40" customHeight="1" x14ac:dyDescent="0.35">
      <c r="A76" s="1113" t="s">
        <v>55</v>
      </c>
      <c r="B76" s="660">
        <v>2.5</v>
      </c>
      <c r="C76" s="666" t="s">
        <v>486</v>
      </c>
      <c r="D76" s="662"/>
      <c r="E76" s="662"/>
      <c r="F76" s="663">
        <f>'2018-2022'!D71</f>
        <v>5000000</v>
      </c>
      <c r="G76" s="663">
        <v>12</v>
      </c>
      <c r="H76" s="662">
        <f t="shared" si="107"/>
        <v>416666.66666666669</v>
      </c>
      <c r="I76" s="662">
        <f t="shared" si="108"/>
        <v>416666.66666666669</v>
      </c>
      <c r="J76" s="662">
        <f t="shared" si="108"/>
        <v>416666.66666666669</v>
      </c>
      <c r="K76" s="662">
        <f t="shared" si="108"/>
        <v>416666.66666666669</v>
      </c>
      <c r="L76" s="662">
        <f t="shared" si="108"/>
        <v>416666.66666666669</v>
      </c>
      <c r="M76" s="662">
        <f t="shared" si="108"/>
        <v>416666.66666666669</v>
      </c>
      <c r="N76" s="662">
        <f t="shared" si="108"/>
        <v>416666.66666666669</v>
      </c>
      <c r="O76" s="662">
        <f t="shared" si="108"/>
        <v>416666.66666666669</v>
      </c>
      <c r="P76" s="662">
        <f t="shared" si="108"/>
        <v>416666.66666666669</v>
      </c>
      <c r="Q76" s="662">
        <f t="shared" si="108"/>
        <v>416666.66666666669</v>
      </c>
      <c r="R76" s="662">
        <f t="shared" si="108"/>
        <v>416666.66666666669</v>
      </c>
      <c r="S76" s="662">
        <f t="shared" si="108"/>
        <v>416666.66666666669</v>
      </c>
      <c r="T76" s="664">
        <f t="shared" si="109"/>
        <v>5000000</v>
      </c>
      <c r="U76" s="1069">
        <f t="shared" si="99"/>
        <v>0</v>
      </c>
      <c r="V76" s="1069">
        <f>'2018-2022'!E71</f>
        <v>5000000</v>
      </c>
      <c r="W76" s="1062">
        <f t="shared" si="100"/>
        <v>5000000</v>
      </c>
      <c r="X76" s="1073">
        <f t="shared" si="101"/>
        <v>0</v>
      </c>
      <c r="Y76" s="1069">
        <f>'2018-2022'!F71</f>
        <v>5000000</v>
      </c>
      <c r="Z76" s="1062">
        <f t="shared" si="102"/>
        <v>5000000</v>
      </c>
      <c r="AA76" s="1076">
        <f t="shared" si="103"/>
        <v>0</v>
      </c>
      <c r="AB76" s="1069">
        <f>'2018-2022'!G71</f>
        <v>5000000</v>
      </c>
      <c r="AC76" s="1062">
        <f t="shared" si="104"/>
        <v>5000000</v>
      </c>
      <c r="AD76" s="1076">
        <f t="shared" si="105"/>
        <v>0</v>
      </c>
      <c r="AE76" s="1069">
        <f>'2018-2022'!H71</f>
        <v>5000000</v>
      </c>
      <c r="AF76" s="1062">
        <f t="shared" si="106"/>
        <v>5000000</v>
      </c>
      <c r="AG76" s="1082">
        <f>'2018-2022'!I71</f>
        <v>0</v>
      </c>
    </row>
    <row r="77" spans="1:33" s="665" customFormat="1" ht="40" customHeight="1" x14ac:dyDescent="0.35">
      <c r="A77" s="1115" t="s">
        <v>55</v>
      </c>
      <c r="B77" s="1089">
        <v>2.6</v>
      </c>
      <c r="C77" s="1090" t="s">
        <v>248</v>
      </c>
      <c r="D77" s="1091"/>
      <c r="E77" s="1091"/>
      <c r="F77" s="1092">
        <f>'2018-2022'!D72</f>
        <v>50000000</v>
      </c>
      <c r="G77" s="1092">
        <v>12</v>
      </c>
      <c r="H77" s="1091">
        <f t="shared" si="107"/>
        <v>4166666.6666666665</v>
      </c>
      <c r="I77" s="1091">
        <f t="shared" si="108"/>
        <v>4166666.6666666665</v>
      </c>
      <c r="J77" s="1091">
        <f t="shared" si="108"/>
        <v>4166666.6666666665</v>
      </c>
      <c r="K77" s="1091">
        <f t="shared" si="108"/>
        <v>4166666.6666666665</v>
      </c>
      <c r="L77" s="1091">
        <f t="shared" si="108"/>
        <v>4166666.6666666665</v>
      </c>
      <c r="M77" s="1091">
        <f t="shared" si="108"/>
        <v>4166666.6666666665</v>
      </c>
      <c r="N77" s="1091">
        <f t="shared" si="108"/>
        <v>4166666.6666666665</v>
      </c>
      <c r="O77" s="1091">
        <f t="shared" si="108"/>
        <v>4166666.6666666665</v>
      </c>
      <c r="P77" s="1091">
        <f t="shared" si="108"/>
        <v>4166666.6666666665</v>
      </c>
      <c r="Q77" s="1091">
        <f t="shared" si="108"/>
        <v>4166666.6666666665</v>
      </c>
      <c r="R77" s="1091">
        <f t="shared" si="108"/>
        <v>4166666.6666666665</v>
      </c>
      <c r="S77" s="1091">
        <f t="shared" si="108"/>
        <v>4166666.6666666665</v>
      </c>
      <c r="T77" s="1093">
        <f t="shared" si="109"/>
        <v>49999999.999999993</v>
      </c>
      <c r="U77" s="1094">
        <f t="shared" si="99"/>
        <v>7.4505805969238281E-9</v>
      </c>
      <c r="V77" s="1094">
        <f>'2018-2022'!E72</f>
        <v>50000000</v>
      </c>
      <c r="W77" s="1095">
        <f t="shared" si="100"/>
        <v>50000000.000000007</v>
      </c>
      <c r="X77" s="1096">
        <f t="shared" si="101"/>
        <v>0</v>
      </c>
      <c r="Y77" s="1094">
        <f>'2018-2022'!F72</f>
        <v>50000000</v>
      </c>
      <c r="Z77" s="1095">
        <f t="shared" si="102"/>
        <v>50000000</v>
      </c>
      <c r="AA77" s="1097">
        <f t="shared" si="103"/>
        <v>0</v>
      </c>
      <c r="AB77" s="1094">
        <f>'2018-2022'!G72</f>
        <v>50000000</v>
      </c>
      <c r="AC77" s="1095">
        <f t="shared" si="104"/>
        <v>50000000</v>
      </c>
      <c r="AD77" s="1097">
        <f t="shared" si="105"/>
        <v>0</v>
      </c>
      <c r="AE77" s="1094">
        <f>'2018-2022'!H72</f>
        <v>50000000</v>
      </c>
      <c r="AF77" s="1095">
        <f t="shared" si="106"/>
        <v>50000000</v>
      </c>
      <c r="AG77" s="1098">
        <f>'2018-2022'!I72</f>
        <v>0</v>
      </c>
    </row>
    <row r="78" spans="1:33" s="665" customFormat="1" ht="40" customHeight="1" x14ac:dyDescent="0.35">
      <c r="A78" s="1116" t="s">
        <v>605</v>
      </c>
      <c r="B78" s="1099"/>
      <c r="C78" s="1100" t="s">
        <v>573</v>
      </c>
      <c r="D78" s="1101"/>
      <c r="E78" s="1101"/>
      <c r="F78" s="1101">
        <f>SUBTOTAL(9,F70:F77)</f>
        <v>437560000</v>
      </c>
      <c r="G78" s="1101"/>
      <c r="H78" s="1101">
        <f t="shared" ref="H78:AD78" si="110">SUBTOTAL(9,H70:H77)</f>
        <v>36463333.333333336</v>
      </c>
      <c r="I78" s="1101">
        <f t="shared" si="110"/>
        <v>36463333.333333336</v>
      </c>
      <c r="J78" s="1101">
        <f t="shared" si="110"/>
        <v>36463333.333333336</v>
      </c>
      <c r="K78" s="1101">
        <f t="shared" si="110"/>
        <v>36463333.333333336</v>
      </c>
      <c r="L78" s="1101">
        <f t="shared" si="110"/>
        <v>36463333.333333336</v>
      </c>
      <c r="M78" s="1101">
        <f t="shared" si="110"/>
        <v>36463333.333333336</v>
      </c>
      <c r="N78" s="1101">
        <f t="shared" si="110"/>
        <v>36463333.333333336</v>
      </c>
      <c r="O78" s="1101">
        <f t="shared" si="110"/>
        <v>36463333.333333336</v>
      </c>
      <c r="P78" s="1101">
        <f t="shared" si="110"/>
        <v>36463333.333333336</v>
      </c>
      <c r="Q78" s="1101">
        <f t="shared" si="110"/>
        <v>36463333.333333336</v>
      </c>
      <c r="R78" s="1101">
        <f t="shared" si="110"/>
        <v>36463333.333333336</v>
      </c>
      <c r="S78" s="1101">
        <f t="shared" si="110"/>
        <v>36463333.333333336</v>
      </c>
      <c r="T78" s="1101">
        <f t="shared" si="110"/>
        <v>437560000</v>
      </c>
      <c r="U78" s="1102">
        <f t="shared" si="110"/>
        <v>7.4505805969238281E-9</v>
      </c>
      <c r="V78" s="1102">
        <f>SUBTOTAL(9,V70:V77)</f>
        <v>437560000</v>
      </c>
      <c r="W78" s="1101">
        <f>SUBTOTAL(9,W70:W77)</f>
        <v>437560000</v>
      </c>
      <c r="X78" s="1102">
        <f t="shared" si="110"/>
        <v>0</v>
      </c>
      <c r="Y78" s="1102">
        <f>SUBTOTAL(9,Y70:Y77)</f>
        <v>437560000</v>
      </c>
      <c r="Z78" s="1101">
        <f>SUBTOTAL(9,Z70:Z77)</f>
        <v>437560000</v>
      </c>
      <c r="AA78" s="1102">
        <f t="shared" si="110"/>
        <v>0</v>
      </c>
      <c r="AB78" s="1102">
        <f>SUBTOTAL(9,AB70:AB77)</f>
        <v>437560000</v>
      </c>
      <c r="AC78" s="1101">
        <f>SUBTOTAL(9,AC70:AC77)</f>
        <v>437560000</v>
      </c>
      <c r="AD78" s="1102">
        <f t="shared" si="110"/>
        <v>0</v>
      </c>
      <c r="AE78" s="1102">
        <f>SUBTOTAL(9,AE70:AE77)</f>
        <v>437560000</v>
      </c>
      <c r="AF78" s="1101">
        <f>SUBTOTAL(9,AF70:AF77)</f>
        <v>437560000</v>
      </c>
      <c r="AG78" s="1103">
        <f>SUBTOTAL(9,AG70:AG77)</f>
        <v>0</v>
      </c>
    </row>
    <row r="79" spans="1:33" s="665" customFormat="1" ht="40" customHeight="1" x14ac:dyDescent="0.35">
      <c r="A79" s="1112" t="s">
        <v>49</v>
      </c>
      <c r="B79" s="1056"/>
      <c r="C79" s="1104" t="s">
        <v>575</v>
      </c>
      <c r="D79" s="1058"/>
      <c r="E79" s="1058"/>
      <c r="F79" s="1059"/>
      <c r="G79" s="1059"/>
      <c r="H79" s="1058"/>
      <c r="I79" s="1058"/>
      <c r="J79" s="1058"/>
      <c r="K79" s="1058"/>
      <c r="L79" s="1058"/>
      <c r="M79" s="1058"/>
      <c r="N79" s="1058"/>
      <c r="O79" s="1058"/>
      <c r="P79" s="1058"/>
      <c r="Q79" s="1058"/>
      <c r="R79" s="1058"/>
      <c r="S79" s="1058"/>
      <c r="T79" s="1060"/>
      <c r="U79" s="1068"/>
      <c r="V79" s="1068"/>
      <c r="W79" s="1061"/>
      <c r="X79" s="1072"/>
      <c r="Y79" s="1068"/>
      <c r="Z79" s="1061"/>
      <c r="AA79" s="1075"/>
      <c r="AB79" s="1068"/>
      <c r="AC79" s="1061"/>
      <c r="AD79" s="1075"/>
      <c r="AE79" s="1068"/>
      <c r="AF79" s="1061"/>
      <c r="AG79" s="1081"/>
    </row>
    <row r="80" spans="1:33" s="665" customFormat="1" ht="40" customHeight="1" x14ac:dyDescent="0.35">
      <c r="A80" s="1113" t="s">
        <v>49</v>
      </c>
      <c r="B80" s="660">
        <v>1</v>
      </c>
      <c r="C80" s="666" t="s">
        <v>495</v>
      </c>
      <c r="D80" s="662"/>
      <c r="E80" s="662"/>
      <c r="F80" s="663">
        <f>'2018-2022'!D74</f>
        <v>130400000</v>
      </c>
      <c r="G80" s="663">
        <v>12</v>
      </c>
      <c r="H80" s="662">
        <f t="shared" ref="H80:H84" si="111">F80/G80</f>
        <v>10866666.666666666</v>
      </c>
      <c r="I80" s="662">
        <f>H80</f>
        <v>10866666.666666666</v>
      </c>
      <c r="J80" s="662">
        <f t="shared" ref="J80:S80" si="112">I80</f>
        <v>10866666.666666666</v>
      </c>
      <c r="K80" s="662">
        <f t="shared" si="112"/>
        <v>10866666.666666666</v>
      </c>
      <c r="L80" s="662">
        <f t="shared" si="112"/>
        <v>10866666.666666666</v>
      </c>
      <c r="M80" s="662">
        <f t="shared" si="112"/>
        <v>10866666.666666666</v>
      </c>
      <c r="N80" s="662">
        <f t="shared" si="112"/>
        <v>10866666.666666666</v>
      </c>
      <c r="O80" s="662">
        <f t="shared" si="112"/>
        <v>10866666.666666666</v>
      </c>
      <c r="P80" s="662">
        <f t="shared" si="112"/>
        <v>10866666.666666666</v>
      </c>
      <c r="Q80" s="662">
        <f t="shared" si="112"/>
        <v>10866666.666666666</v>
      </c>
      <c r="R80" s="662">
        <f t="shared" si="112"/>
        <v>10866666.666666666</v>
      </c>
      <c r="S80" s="662">
        <f t="shared" si="112"/>
        <v>10866666.666666666</v>
      </c>
      <c r="T80" s="664">
        <f t="shared" ref="T80" si="113">SUM(H80:S80)</f>
        <v>130400000.00000001</v>
      </c>
      <c r="U80" s="1069">
        <f t="shared" ref="U80:U85" si="114">MIN(F80-T80,F80/G80*12)</f>
        <v>-1.4901161193847656E-8</v>
      </c>
      <c r="V80" s="1069">
        <f>'2018-2022'!E74</f>
        <v>130400000</v>
      </c>
      <c r="W80" s="1062">
        <f t="shared" ref="W80:W85" si="115">U80+V80</f>
        <v>130399999.99999999</v>
      </c>
      <c r="X80" s="1073">
        <f t="shared" ref="X80:X85" si="116">MIN(F80-T80-U80,F80/G80*12)</f>
        <v>0</v>
      </c>
      <c r="Y80" s="1069">
        <f>'2018-2022'!F74</f>
        <v>130400000</v>
      </c>
      <c r="Z80" s="1062">
        <f t="shared" ref="Z80:Z85" si="117">X80+Y80</f>
        <v>130400000</v>
      </c>
      <c r="AA80" s="1076">
        <f t="shared" ref="AA80:AA85" si="118">MIN(F80-T80-U80-X80,F80/G80*12)</f>
        <v>0</v>
      </c>
      <c r="AB80" s="1069">
        <f>'2018-2022'!G74</f>
        <v>130400000</v>
      </c>
      <c r="AC80" s="1062">
        <f t="shared" ref="AC80:AC85" si="119">AA80+AB80</f>
        <v>130400000</v>
      </c>
      <c r="AD80" s="1076">
        <f t="shared" ref="AD80:AD85" si="120">F80-T80-U80-X80-AA80</f>
        <v>0</v>
      </c>
      <c r="AE80" s="1069">
        <f>'2018-2022'!H74</f>
        <v>130400000</v>
      </c>
      <c r="AF80" s="1062">
        <f t="shared" ref="AF80:AF85" si="121">AD80+AE80</f>
        <v>130400000</v>
      </c>
      <c r="AG80" s="1082" t="str">
        <f>'2018-2022'!I74</f>
        <v>Chung Tin co. quotation</v>
      </c>
    </row>
    <row r="81" spans="1:33" s="665" customFormat="1" ht="40" customHeight="1" x14ac:dyDescent="0.35">
      <c r="A81" s="1113" t="s">
        <v>49</v>
      </c>
      <c r="B81" s="660">
        <v>2.1</v>
      </c>
      <c r="C81" s="666" t="s">
        <v>333</v>
      </c>
      <c r="D81" s="662"/>
      <c r="E81" s="662"/>
      <c r="F81" s="663">
        <f>'2018-2022'!D76</f>
        <v>80000000</v>
      </c>
      <c r="G81" s="663">
        <v>12</v>
      </c>
      <c r="H81" s="662">
        <f t="shared" si="111"/>
        <v>6666666.666666667</v>
      </c>
      <c r="I81" s="662">
        <f t="shared" ref="I81:S85" si="122">H81</f>
        <v>6666666.666666667</v>
      </c>
      <c r="J81" s="662">
        <f t="shared" si="122"/>
        <v>6666666.666666667</v>
      </c>
      <c r="K81" s="662">
        <f t="shared" si="122"/>
        <v>6666666.666666667</v>
      </c>
      <c r="L81" s="662">
        <f t="shared" si="122"/>
        <v>6666666.666666667</v>
      </c>
      <c r="M81" s="662">
        <f t="shared" si="122"/>
        <v>6666666.666666667</v>
      </c>
      <c r="N81" s="662">
        <f t="shared" si="122"/>
        <v>6666666.666666667</v>
      </c>
      <c r="O81" s="662">
        <f t="shared" si="122"/>
        <v>6666666.666666667</v>
      </c>
      <c r="P81" s="662">
        <f t="shared" si="122"/>
        <v>6666666.666666667</v>
      </c>
      <c r="Q81" s="662">
        <f t="shared" si="122"/>
        <v>6666666.666666667</v>
      </c>
      <c r="R81" s="662">
        <f t="shared" si="122"/>
        <v>6666666.666666667</v>
      </c>
      <c r="S81" s="662">
        <f t="shared" si="122"/>
        <v>6666666.666666667</v>
      </c>
      <c r="T81" s="664">
        <f t="shared" ref="T81:T85" si="123">SUM(H81:S81)</f>
        <v>80000000</v>
      </c>
      <c r="U81" s="1069">
        <f t="shared" si="114"/>
        <v>0</v>
      </c>
      <c r="V81" s="1069">
        <f>'2018-2022'!E76</f>
        <v>80000000</v>
      </c>
      <c r="W81" s="1062">
        <f t="shared" si="115"/>
        <v>80000000</v>
      </c>
      <c r="X81" s="1073">
        <f t="shared" si="116"/>
        <v>0</v>
      </c>
      <c r="Y81" s="1069">
        <f>'2018-2022'!F76</f>
        <v>80000000</v>
      </c>
      <c r="Z81" s="1062">
        <f t="shared" si="117"/>
        <v>80000000</v>
      </c>
      <c r="AA81" s="1076">
        <f t="shared" si="118"/>
        <v>0</v>
      </c>
      <c r="AB81" s="1069">
        <f>'2018-2022'!G76</f>
        <v>80000000</v>
      </c>
      <c r="AC81" s="1062">
        <f t="shared" si="119"/>
        <v>80000000</v>
      </c>
      <c r="AD81" s="1076">
        <f t="shared" si="120"/>
        <v>0</v>
      </c>
      <c r="AE81" s="1069">
        <f>'2018-2022'!H76</f>
        <v>80000000</v>
      </c>
      <c r="AF81" s="1062">
        <f t="shared" si="121"/>
        <v>80000000</v>
      </c>
      <c r="AG81" s="1082" t="str">
        <f>'2018-2022'!I76</f>
        <v>LED lights for public corridor</v>
      </c>
    </row>
    <row r="82" spans="1:33" s="665" customFormat="1" ht="40" customHeight="1" x14ac:dyDescent="0.35">
      <c r="A82" s="1113" t="s">
        <v>49</v>
      </c>
      <c r="B82" s="660">
        <v>2.2000000000000002</v>
      </c>
      <c r="C82" s="666" t="s">
        <v>335</v>
      </c>
      <c r="D82" s="662"/>
      <c r="E82" s="662"/>
      <c r="F82" s="663">
        <f>'2018-2022'!D77</f>
        <v>10000000</v>
      </c>
      <c r="G82" s="663">
        <v>12</v>
      </c>
      <c r="H82" s="662">
        <f t="shared" si="111"/>
        <v>833333.33333333337</v>
      </c>
      <c r="I82" s="662">
        <f t="shared" si="122"/>
        <v>833333.33333333337</v>
      </c>
      <c r="J82" s="662">
        <f t="shared" si="122"/>
        <v>833333.33333333337</v>
      </c>
      <c r="K82" s="662">
        <f t="shared" si="122"/>
        <v>833333.33333333337</v>
      </c>
      <c r="L82" s="662">
        <f t="shared" si="122"/>
        <v>833333.33333333337</v>
      </c>
      <c r="M82" s="662">
        <f t="shared" si="122"/>
        <v>833333.33333333337</v>
      </c>
      <c r="N82" s="662">
        <f t="shared" si="122"/>
        <v>833333.33333333337</v>
      </c>
      <c r="O82" s="662">
        <f t="shared" si="122"/>
        <v>833333.33333333337</v>
      </c>
      <c r="P82" s="662">
        <f t="shared" si="122"/>
        <v>833333.33333333337</v>
      </c>
      <c r="Q82" s="662">
        <f t="shared" si="122"/>
        <v>833333.33333333337</v>
      </c>
      <c r="R82" s="662">
        <f t="shared" si="122"/>
        <v>833333.33333333337</v>
      </c>
      <c r="S82" s="662">
        <f t="shared" si="122"/>
        <v>833333.33333333337</v>
      </c>
      <c r="T82" s="664">
        <f t="shared" si="123"/>
        <v>10000000</v>
      </c>
      <c r="U82" s="1069">
        <f t="shared" si="114"/>
        <v>0</v>
      </c>
      <c r="V82" s="1069">
        <f>'2018-2022'!E77</f>
        <v>10000000</v>
      </c>
      <c r="W82" s="1062">
        <f t="shared" si="115"/>
        <v>10000000</v>
      </c>
      <c r="X82" s="1073">
        <f t="shared" si="116"/>
        <v>0</v>
      </c>
      <c r="Y82" s="1069">
        <f>'2018-2022'!F77</f>
        <v>10000000</v>
      </c>
      <c r="Z82" s="1062">
        <f t="shared" si="117"/>
        <v>10000000</v>
      </c>
      <c r="AA82" s="1076">
        <f t="shared" si="118"/>
        <v>0</v>
      </c>
      <c r="AB82" s="1069">
        <f>'2018-2022'!G77</f>
        <v>10000000</v>
      </c>
      <c r="AC82" s="1062">
        <f t="shared" si="119"/>
        <v>10000000</v>
      </c>
      <c r="AD82" s="1076">
        <f t="shared" si="120"/>
        <v>0</v>
      </c>
      <c r="AE82" s="1069">
        <f>'2018-2022'!H77</f>
        <v>10000000</v>
      </c>
      <c r="AF82" s="1062">
        <f t="shared" si="121"/>
        <v>10000000</v>
      </c>
      <c r="AG82" s="1082">
        <f>'2018-2022'!I77</f>
        <v>0</v>
      </c>
    </row>
    <row r="83" spans="1:33" s="665" customFormat="1" ht="40" customHeight="1" x14ac:dyDescent="0.35">
      <c r="A83" s="1113" t="s">
        <v>49</v>
      </c>
      <c r="B83" s="660">
        <v>2.2999999999999998</v>
      </c>
      <c r="C83" s="666" t="s">
        <v>496</v>
      </c>
      <c r="D83" s="662"/>
      <c r="E83" s="662"/>
      <c r="F83" s="663">
        <f>'2018-2022'!D78</f>
        <v>66000000</v>
      </c>
      <c r="G83" s="663">
        <v>12</v>
      </c>
      <c r="H83" s="662">
        <f t="shared" si="111"/>
        <v>5500000</v>
      </c>
      <c r="I83" s="662">
        <f t="shared" si="122"/>
        <v>5500000</v>
      </c>
      <c r="J83" s="662">
        <f t="shared" si="122"/>
        <v>5500000</v>
      </c>
      <c r="K83" s="662">
        <f t="shared" si="122"/>
        <v>5500000</v>
      </c>
      <c r="L83" s="662">
        <f t="shared" si="122"/>
        <v>5500000</v>
      </c>
      <c r="M83" s="662">
        <f t="shared" si="122"/>
        <v>5500000</v>
      </c>
      <c r="N83" s="662">
        <f t="shared" si="122"/>
        <v>5500000</v>
      </c>
      <c r="O83" s="662">
        <f t="shared" si="122"/>
        <v>5500000</v>
      </c>
      <c r="P83" s="662">
        <f t="shared" si="122"/>
        <v>5500000</v>
      </c>
      <c r="Q83" s="662">
        <f t="shared" si="122"/>
        <v>5500000</v>
      </c>
      <c r="R83" s="662">
        <f t="shared" si="122"/>
        <v>5500000</v>
      </c>
      <c r="S83" s="662">
        <f t="shared" si="122"/>
        <v>5500000</v>
      </c>
      <c r="T83" s="664">
        <f t="shared" si="123"/>
        <v>66000000</v>
      </c>
      <c r="U83" s="1069">
        <f t="shared" si="114"/>
        <v>0</v>
      </c>
      <c r="V83" s="1069">
        <f>'2018-2022'!E78</f>
        <v>66000000</v>
      </c>
      <c r="W83" s="1062">
        <f t="shared" si="115"/>
        <v>66000000</v>
      </c>
      <c r="X83" s="1073">
        <f t="shared" si="116"/>
        <v>0</v>
      </c>
      <c r="Y83" s="1069">
        <f>'2018-2022'!F78</f>
        <v>66000000</v>
      </c>
      <c r="Z83" s="1062">
        <f t="shared" si="117"/>
        <v>66000000</v>
      </c>
      <c r="AA83" s="1076">
        <f t="shared" si="118"/>
        <v>0</v>
      </c>
      <c r="AB83" s="1069">
        <f>'2018-2022'!G78</f>
        <v>66000000</v>
      </c>
      <c r="AC83" s="1062">
        <f t="shared" si="119"/>
        <v>66000000</v>
      </c>
      <c r="AD83" s="1076">
        <f t="shared" si="120"/>
        <v>0</v>
      </c>
      <c r="AE83" s="1069">
        <f>'2018-2022'!H78</f>
        <v>66000000</v>
      </c>
      <c r="AF83" s="1062">
        <f t="shared" si="121"/>
        <v>66000000</v>
      </c>
      <c r="AG83" s="1082" t="str">
        <f>'2018-2022'!I78</f>
        <v>Tam Phat co. quotation</v>
      </c>
    </row>
    <row r="84" spans="1:33" s="665" customFormat="1" ht="40" customHeight="1" x14ac:dyDescent="0.35">
      <c r="A84" s="1113" t="s">
        <v>49</v>
      </c>
      <c r="B84" s="660">
        <v>2.4</v>
      </c>
      <c r="C84" s="666" t="s">
        <v>497</v>
      </c>
      <c r="D84" s="662"/>
      <c r="E84" s="662"/>
      <c r="F84" s="663">
        <f>'2018-2022'!D79</f>
        <v>62500000</v>
      </c>
      <c r="G84" s="663">
        <v>12</v>
      </c>
      <c r="H84" s="662">
        <f t="shared" si="111"/>
        <v>5208333.333333333</v>
      </c>
      <c r="I84" s="662">
        <f t="shared" si="122"/>
        <v>5208333.333333333</v>
      </c>
      <c r="J84" s="662">
        <f t="shared" si="122"/>
        <v>5208333.333333333</v>
      </c>
      <c r="K84" s="662">
        <f t="shared" si="122"/>
        <v>5208333.333333333</v>
      </c>
      <c r="L84" s="662">
        <f t="shared" si="122"/>
        <v>5208333.333333333</v>
      </c>
      <c r="M84" s="662">
        <f t="shared" si="122"/>
        <v>5208333.333333333</v>
      </c>
      <c r="N84" s="662">
        <f t="shared" si="122"/>
        <v>5208333.333333333</v>
      </c>
      <c r="O84" s="662">
        <f t="shared" si="122"/>
        <v>5208333.333333333</v>
      </c>
      <c r="P84" s="662">
        <f t="shared" si="122"/>
        <v>5208333.333333333</v>
      </c>
      <c r="Q84" s="662">
        <f t="shared" si="122"/>
        <v>5208333.333333333</v>
      </c>
      <c r="R84" s="662">
        <f t="shared" si="122"/>
        <v>5208333.333333333</v>
      </c>
      <c r="S84" s="662">
        <f t="shared" si="122"/>
        <v>5208333.333333333</v>
      </c>
      <c r="T84" s="664">
        <f t="shared" si="123"/>
        <v>62500000.000000007</v>
      </c>
      <c r="U84" s="1069">
        <f t="shared" si="114"/>
        <v>-7.4505805969238281E-9</v>
      </c>
      <c r="V84" s="1069">
        <f>'2018-2022'!E79</f>
        <v>62500000</v>
      </c>
      <c r="W84" s="1062">
        <f t="shared" si="115"/>
        <v>62499999.999999993</v>
      </c>
      <c r="X84" s="1073">
        <f t="shared" si="116"/>
        <v>0</v>
      </c>
      <c r="Y84" s="1069">
        <f>'2018-2022'!F79</f>
        <v>62500000</v>
      </c>
      <c r="Z84" s="1062">
        <f t="shared" si="117"/>
        <v>62500000</v>
      </c>
      <c r="AA84" s="1076">
        <f t="shared" si="118"/>
        <v>0</v>
      </c>
      <c r="AB84" s="1069">
        <f>'2018-2022'!G79</f>
        <v>62500000</v>
      </c>
      <c r="AC84" s="1062">
        <f t="shared" si="119"/>
        <v>62500000</v>
      </c>
      <c r="AD84" s="1076">
        <f t="shared" si="120"/>
        <v>0</v>
      </c>
      <c r="AE84" s="1069">
        <f>'2018-2022'!H79</f>
        <v>62500000</v>
      </c>
      <c r="AF84" s="1062">
        <f t="shared" si="121"/>
        <v>62500000</v>
      </c>
      <c r="AG84" s="1082" t="str">
        <f>'2018-2022'!I79</f>
        <v>Tam Phat co. quotation</v>
      </c>
    </row>
    <row r="85" spans="1:33" s="665" customFormat="1" ht="40" customHeight="1" x14ac:dyDescent="0.35">
      <c r="A85" s="1115" t="s">
        <v>49</v>
      </c>
      <c r="B85" s="1089">
        <v>2.5</v>
      </c>
      <c r="C85" s="1090" t="s">
        <v>253</v>
      </c>
      <c r="D85" s="1091"/>
      <c r="E85" s="1091"/>
      <c r="F85" s="1092">
        <f>'2018-2022'!D80</f>
        <v>30000000</v>
      </c>
      <c r="G85" s="1092">
        <v>12</v>
      </c>
      <c r="H85" s="1091">
        <f>F85/G85</f>
        <v>2500000</v>
      </c>
      <c r="I85" s="1091">
        <f t="shared" si="122"/>
        <v>2500000</v>
      </c>
      <c r="J85" s="1091">
        <f t="shared" si="122"/>
        <v>2500000</v>
      </c>
      <c r="K85" s="1091">
        <f t="shared" si="122"/>
        <v>2500000</v>
      </c>
      <c r="L85" s="1091">
        <f t="shared" si="122"/>
        <v>2500000</v>
      </c>
      <c r="M85" s="1091">
        <f t="shared" si="122"/>
        <v>2500000</v>
      </c>
      <c r="N85" s="1091">
        <f t="shared" si="122"/>
        <v>2500000</v>
      </c>
      <c r="O85" s="1091">
        <f t="shared" si="122"/>
        <v>2500000</v>
      </c>
      <c r="P85" s="1091">
        <f t="shared" si="122"/>
        <v>2500000</v>
      </c>
      <c r="Q85" s="1091">
        <f t="shared" si="122"/>
        <v>2500000</v>
      </c>
      <c r="R85" s="1091">
        <f t="shared" si="122"/>
        <v>2500000</v>
      </c>
      <c r="S85" s="1091">
        <f t="shared" si="122"/>
        <v>2500000</v>
      </c>
      <c r="T85" s="1093">
        <f t="shared" si="123"/>
        <v>30000000</v>
      </c>
      <c r="U85" s="1094">
        <f t="shared" si="114"/>
        <v>0</v>
      </c>
      <c r="V85" s="1094">
        <f>'2018-2022'!E80</f>
        <v>30000000</v>
      </c>
      <c r="W85" s="1095">
        <f t="shared" si="115"/>
        <v>30000000</v>
      </c>
      <c r="X85" s="1096">
        <f t="shared" si="116"/>
        <v>0</v>
      </c>
      <c r="Y85" s="1094">
        <f>'2018-2022'!F80</f>
        <v>30000000</v>
      </c>
      <c r="Z85" s="1095">
        <f t="shared" si="117"/>
        <v>30000000</v>
      </c>
      <c r="AA85" s="1097">
        <f t="shared" si="118"/>
        <v>0</v>
      </c>
      <c r="AB85" s="1094">
        <f>'2018-2022'!G80</f>
        <v>30000000</v>
      </c>
      <c r="AC85" s="1095">
        <f t="shared" si="119"/>
        <v>30000000</v>
      </c>
      <c r="AD85" s="1097">
        <f t="shared" si="120"/>
        <v>0</v>
      </c>
      <c r="AE85" s="1094">
        <f>'2018-2022'!H80</f>
        <v>30000000</v>
      </c>
      <c r="AF85" s="1095">
        <f t="shared" si="121"/>
        <v>30000000</v>
      </c>
      <c r="AG85" s="1098">
        <f>'2018-2022'!I80</f>
        <v>0</v>
      </c>
    </row>
    <row r="86" spans="1:33" s="665" customFormat="1" ht="40" customHeight="1" x14ac:dyDescent="0.35">
      <c r="A86" s="1116" t="s">
        <v>606</v>
      </c>
      <c r="B86" s="1099"/>
      <c r="C86" s="1100" t="s">
        <v>575</v>
      </c>
      <c r="D86" s="1101"/>
      <c r="E86" s="1101"/>
      <c r="F86" s="1101">
        <f>SUBTOTAL(9,F79:F85)</f>
        <v>378900000</v>
      </c>
      <c r="G86" s="1101"/>
      <c r="H86" s="1101">
        <f t="shared" ref="H86:AD86" si="124">SUBTOTAL(9,H79:H85)</f>
        <v>31574999.999999996</v>
      </c>
      <c r="I86" s="1101">
        <f t="shared" si="124"/>
        <v>31574999.999999996</v>
      </c>
      <c r="J86" s="1101">
        <f t="shared" si="124"/>
        <v>31574999.999999996</v>
      </c>
      <c r="K86" s="1101">
        <f t="shared" si="124"/>
        <v>31574999.999999996</v>
      </c>
      <c r="L86" s="1101">
        <f t="shared" si="124"/>
        <v>31574999.999999996</v>
      </c>
      <c r="M86" s="1101">
        <f t="shared" si="124"/>
        <v>31574999.999999996</v>
      </c>
      <c r="N86" s="1101">
        <f t="shared" si="124"/>
        <v>31574999.999999996</v>
      </c>
      <c r="O86" s="1101">
        <f t="shared" si="124"/>
        <v>31574999.999999996</v>
      </c>
      <c r="P86" s="1101">
        <f t="shared" si="124"/>
        <v>31574999.999999996</v>
      </c>
      <c r="Q86" s="1101">
        <f t="shared" si="124"/>
        <v>31574999.999999996</v>
      </c>
      <c r="R86" s="1101">
        <f t="shared" si="124"/>
        <v>31574999.999999996</v>
      </c>
      <c r="S86" s="1101">
        <f t="shared" si="124"/>
        <v>31574999.999999996</v>
      </c>
      <c r="T86" s="1101">
        <f t="shared" si="124"/>
        <v>378900000</v>
      </c>
      <c r="U86" s="1102">
        <f t="shared" si="124"/>
        <v>-2.2351741790771484E-8</v>
      </c>
      <c r="V86" s="1102">
        <f>SUBTOTAL(9,V79:V85)</f>
        <v>378900000</v>
      </c>
      <c r="W86" s="1101">
        <f>SUBTOTAL(9,W79:W85)</f>
        <v>378900000</v>
      </c>
      <c r="X86" s="1102">
        <f t="shared" si="124"/>
        <v>0</v>
      </c>
      <c r="Y86" s="1102">
        <f>SUBTOTAL(9,Y79:Y85)</f>
        <v>378900000</v>
      </c>
      <c r="Z86" s="1101">
        <f>SUBTOTAL(9,Z79:Z85)</f>
        <v>378900000</v>
      </c>
      <c r="AA86" s="1102">
        <f t="shared" si="124"/>
        <v>0</v>
      </c>
      <c r="AB86" s="1102">
        <f>SUBTOTAL(9,AB79:AB85)</f>
        <v>378900000</v>
      </c>
      <c r="AC86" s="1101">
        <f>SUBTOTAL(9,AC79:AC85)</f>
        <v>378900000</v>
      </c>
      <c r="AD86" s="1102">
        <f t="shared" si="124"/>
        <v>0</v>
      </c>
      <c r="AE86" s="1102">
        <f>SUBTOTAL(9,AE79:AE85)</f>
        <v>378900000</v>
      </c>
      <c r="AF86" s="1101">
        <f>SUBTOTAL(9,AF79:AF85)</f>
        <v>378900000</v>
      </c>
      <c r="AG86" s="1103">
        <f>SUBTOTAL(9,AG79:AG85)</f>
        <v>0</v>
      </c>
    </row>
    <row r="87" spans="1:33" s="665" customFormat="1" ht="40" customHeight="1" x14ac:dyDescent="0.35">
      <c r="A87" s="1112" t="s">
        <v>37</v>
      </c>
      <c r="B87" s="1056" t="s">
        <v>37</v>
      </c>
      <c r="C87" s="1104" t="s">
        <v>576</v>
      </c>
      <c r="D87" s="1058"/>
      <c r="E87" s="1058"/>
      <c r="F87" s="1059"/>
      <c r="G87" s="1059"/>
      <c r="H87" s="1058"/>
      <c r="I87" s="1058"/>
      <c r="J87" s="1058"/>
      <c r="K87" s="1058"/>
      <c r="L87" s="1058"/>
      <c r="M87" s="1058"/>
      <c r="N87" s="1058"/>
      <c r="O87" s="1058"/>
      <c r="P87" s="1058"/>
      <c r="Q87" s="1058"/>
      <c r="R87" s="1058"/>
      <c r="S87" s="1058"/>
      <c r="T87" s="1060"/>
      <c r="U87" s="1068"/>
      <c r="V87" s="1068"/>
      <c r="W87" s="1061"/>
      <c r="X87" s="1072"/>
      <c r="Y87" s="1068"/>
      <c r="Z87" s="1061"/>
      <c r="AA87" s="1075"/>
      <c r="AB87" s="1068"/>
      <c r="AC87" s="1061"/>
      <c r="AD87" s="1075"/>
      <c r="AE87" s="1068"/>
      <c r="AF87" s="1061"/>
      <c r="AG87" s="1081"/>
    </row>
    <row r="88" spans="1:33" s="665" customFormat="1" ht="40" customHeight="1" x14ac:dyDescent="0.35">
      <c r="A88" s="1113" t="s">
        <v>37</v>
      </c>
      <c r="B88" s="660">
        <v>1</v>
      </c>
      <c r="C88" s="666" t="s">
        <v>285</v>
      </c>
      <c r="D88" s="662"/>
      <c r="E88" s="662"/>
      <c r="F88" s="663">
        <f>'2018-2022'!D82</f>
        <v>250000000</v>
      </c>
      <c r="G88" s="663">
        <v>12</v>
      </c>
      <c r="H88" s="671">
        <f t="shared" ref="H88:H90" si="125">F88/G88</f>
        <v>20833333.333333332</v>
      </c>
      <c r="I88" s="662">
        <f>H88</f>
        <v>20833333.333333332</v>
      </c>
      <c r="J88" s="662">
        <f>I88</f>
        <v>20833333.333333332</v>
      </c>
      <c r="K88" s="662">
        <f>J88</f>
        <v>20833333.333333332</v>
      </c>
      <c r="L88" s="662">
        <f t="shared" ref="L88:S88" si="126">K88</f>
        <v>20833333.333333332</v>
      </c>
      <c r="M88" s="662">
        <f t="shared" si="126"/>
        <v>20833333.333333332</v>
      </c>
      <c r="N88" s="662">
        <f t="shared" si="126"/>
        <v>20833333.333333332</v>
      </c>
      <c r="O88" s="662">
        <f t="shared" si="126"/>
        <v>20833333.333333332</v>
      </c>
      <c r="P88" s="662">
        <f t="shared" si="126"/>
        <v>20833333.333333332</v>
      </c>
      <c r="Q88" s="662">
        <f t="shared" si="126"/>
        <v>20833333.333333332</v>
      </c>
      <c r="R88" s="662">
        <f t="shared" si="126"/>
        <v>20833333.333333332</v>
      </c>
      <c r="S88" s="662">
        <f t="shared" si="126"/>
        <v>20833333.333333332</v>
      </c>
      <c r="T88" s="664">
        <f t="shared" ref="T88" si="127">SUM(H88:S88)</f>
        <v>250000000.00000003</v>
      </c>
      <c r="U88" s="1069">
        <f t="shared" ref="U88:U90" si="128">MIN(F88-T88,F88/G88*12)</f>
        <v>-2.9802322387695313E-8</v>
      </c>
      <c r="V88" s="1069">
        <f>'2018-2022'!E82</f>
        <v>250000000</v>
      </c>
      <c r="W88" s="1062">
        <f>U88+V88</f>
        <v>249999999.99999997</v>
      </c>
      <c r="X88" s="1073">
        <f>MIN(F88-T88-U88,F88/G88*12)</f>
        <v>0</v>
      </c>
      <c r="Y88" s="1069">
        <f>'2018-2022'!F82</f>
        <v>250000000</v>
      </c>
      <c r="Z88" s="1062">
        <f>X88+Y88</f>
        <v>250000000</v>
      </c>
      <c r="AA88" s="1076">
        <f>MIN(F88-T88-U88-X88,F88/G88*12)</f>
        <v>0</v>
      </c>
      <c r="AB88" s="1069">
        <f>'2018-2022'!G82</f>
        <v>250000000</v>
      </c>
      <c r="AC88" s="1062">
        <f>AA88+AB88</f>
        <v>250000000</v>
      </c>
      <c r="AD88" s="1076">
        <f>F88-T88-U88-X88-AA88</f>
        <v>0</v>
      </c>
      <c r="AE88" s="1069">
        <f>'2018-2022'!H82</f>
        <v>250000000</v>
      </c>
      <c r="AF88" s="1062">
        <f>AD88+AE88</f>
        <v>250000000</v>
      </c>
      <c r="AG88" s="1082" t="str">
        <f>'2018-2022'!I82</f>
        <v>By Anh Nguyen Contractor</v>
      </c>
    </row>
    <row r="89" spans="1:33" s="665" customFormat="1" ht="40" customHeight="1" x14ac:dyDescent="0.35">
      <c r="A89" s="1113" t="s">
        <v>37</v>
      </c>
      <c r="B89" s="660">
        <v>2.1</v>
      </c>
      <c r="C89" s="666" t="s">
        <v>500</v>
      </c>
      <c r="D89" s="662"/>
      <c r="E89" s="662"/>
      <c r="F89" s="663">
        <f>'2018-2022'!D84</f>
        <v>40000000</v>
      </c>
      <c r="G89" s="663">
        <v>12</v>
      </c>
      <c r="H89" s="671">
        <f t="shared" si="125"/>
        <v>3333333.3333333335</v>
      </c>
      <c r="I89" s="662">
        <f>H89</f>
        <v>3333333.3333333335</v>
      </c>
      <c r="J89" s="662">
        <f t="shared" ref="J89:S89" si="129">I89</f>
        <v>3333333.3333333335</v>
      </c>
      <c r="K89" s="662">
        <f t="shared" si="129"/>
        <v>3333333.3333333335</v>
      </c>
      <c r="L89" s="662">
        <f t="shared" si="129"/>
        <v>3333333.3333333335</v>
      </c>
      <c r="M89" s="662">
        <f t="shared" si="129"/>
        <v>3333333.3333333335</v>
      </c>
      <c r="N89" s="662">
        <f t="shared" si="129"/>
        <v>3333333.3333333335</v>
      </c>
      <c r="O89" s="662">
        <f t="shared" si="129"/>
        <v>3333333.3333333335</v>
      </c>
      <c r="P89" s="662">
        <f t="shared" si="129"/>
        <v>3333333.3333333335</v>
      </c>
      <c r="Q89" s="662">
        <f t="shared" si="129"/>
        <v>3333333.3333333335</v>
      </c>
      <c r="R89" s="662">
        <f t="shared" si="129"/>
        <v>3333333.3333333335</v>
      </c>
      <c r="S89" s="662">
        <f t="shared" si="129"/>
        <v>3333333.3333333335</v>
      </c>
      <c r="T89" s="664">
        <f t="shared" ref="T89:T90" si="130">SUM(H89:S89)</f>
        <v>40000000</v>
      </c>
      <c r="U89" s="1069">
        <f t="shared" si="128"/>
        <v>0</v>
      </c>
      <c r="V89" s="1069">
        <f>'2018-2022'!E84</f>
        <v>40000000</v>
      </c>
      <c r="W89" s="1062">
        <f>U89+V89</f>
        <v>40000000</v>
      </c>
      <c r="X89" s="1073">
        <f>MIN(F89-T89-U89,F89/G89*12)</f>
        <v>0</v>
      </c>
      <c r="Y89" s="1069">
        <f>'2018-2022'!F84</f>
        <v>40000000</v>
      </c>
      <c r="Z89" s="1062">
        <f>X89+Y89</f>
        <v>40000000</v>
      </c>
      <c r="AA89" s="1076">
        <f>MIN(F89-T89-U89-X89,F89/G89*12)</f>
        <v>0</v>
      </c>
      <c r="AB89" s="1069">
        <f>'2018-2022'!G84</f>
        <v>40000000</v>
      </c>
      <c r="AC89" s="1062">
        <f>AA89+AB89</f>
        <v>40000000</v>
      </c>
      <c r="AD89" s="1076">
        <f>F89-T89-U89-X89-AA89</f>
        <v>0</v>
      </c>
      <c r="AE89" s="1069">
        <f>'2018-2022'!H84</f>
        <v>40000000</v>
      </c>
      <c r="AF89" s="1062">
        <f>AD89+AE89</f>
        <v>40000000</v>
      </c>
      <c r="AG89" s="1082">
        <f>'2018-2022'!I84</f>
        <v>0</v>
      </c>
    </row>
    <row r="90" spans="1:33" s="665" customFormat="1" ht="40" customHeight="1" x14ac:dyDescent="0.35">
      <c r="A90" s="1115" t="s">
        <v>37</v>
      </c>
      <c r="B90" s="1089">
        <v>2.2000000000000002</v>
      </c>
      <c r="C90" s="1090" t="s">
        <v>255</v>
      </c>
      <c r="D90" s="1091"/>
      <c r="E90" s="1091"/>
      <c r="F90" s="1092">
        <f>'2018-2022'!D85</f>
        <v>10000000</v>
      </c>
      <c r="G90" s="1092">
        <v>12</v>
      </c>
      <c r="H90" s="1091">
        <f t="shared" si="125"/>
        <v>833333.33333333337</v>
      </c>
      <c r="I90" s="1091">
        <f t="shared" ref="I90" si="131">H90</f>
        <v>833333.33333333337</v>
      </c>
      <c r="J90" s="1091">
        <f t="shared" ref="J90:S90" si="132">I90</f>
        <v>833333.33333333337</v>
      </c>
      <c r="K90" s="1091">
        <f t="shared" si="132"/>
        <v>833333.33333333337</v>
      </c>
      <c r="L90" s="1091">
        <f t="shared" si="132"/>
        <v>833333.33333333337</v>
      </c>
      <c r="M90" s="1091">
        <f t="shared" si="132"/>
        <v>833333.33333333337</v>
      </c>
      <c r="N90" s="1091">
        <f t="shared" si="132"/>
        <v>833333.33333333337</v>
      </c>
      <c r="O90" s="1091">
        <f t="shared" si="132"/>
        <v>833333.33333333337</v>
      </c>
      <c r="P90" s="1091">
        <f t="shared" si="132"/>
        <v>833333.33333333337</v>
      </c>
      <c r="Q90" s="1091">
        <f t="shared" si="132"/>
        <v>833333.33333333337</v>
      </c>
      <c r="R90" s="1091">
        <f t="shared" si="132"/>
        <v>833333.33333333337</v>
      </c>
      <c r="S90" s="1091">
        <f t="shared" si="132"/>
        <v>833333.33333333337</v>
      </c>
      <c r="T90" s="1093">
        <f t="shared" si="130"/>
        <v>10000000</v>
      </c>
      <c r="U90" s="1094">
        <f t="shared" si="128"/>
        <v>0</v>
      </c>
      <c r="V90" s="1094">
        <f>'2018-2022'!E85</f>
        <v>10000000</v>
      </c>
      <c r="W90" s="1095">
        <f>U90+V90</f>
        <v>10000000</v>
      </c>
      <c r="X90" s="1096">
        <f>MIN(F90-T90-U90,F90/G90*12)</f>
        <v>0</v>
      </c>
      <c r="Y90" s="1094">
        <f>'2018-2022'!F85</f>
        <v>10000000</v>
      </c>
      <c r="Z90" s="1095">
        <f>X90+Y90</f>
        <v>10000000</v>
      </c>
      <c r="AA90" s="1097">
        <f>MIN(F90-T90-U90-X90,F90/G90*12)</f>
        <v>0</v>
      </c>
      <c r="AB90" s="1094">
        <f>'2018-2022'!G85</f>
        <v>10000000</v>
      </c>
      <c r="AC90" s="1095">
        <f>AA90+AB90</f>
        <v>10000000</v>
      </c>
      <c r="AD90" s="1097">
        <f>F90-T90-U90-X90-AA90</f>
        <v>0</v>
      </c>
      <c r="AE90" s="1094">
        <f>'2018-2022'!H85</f>
        <v>10000000</v>
      </c>
      <c r="AF90" s="1095">
        <f>AD90+AE90</f>
        <v>10000000</v>
      </c>
      <c r="AG90" s="1098">
        <f>'2018-2022'!I85</f>
        <v>0</v>
      </c>
    </row>
    <row r="91" spans="1:33" s="665" customFormat="1" ht="40" customHeight="1" x14ac:dyDescent="0.35">
      <c r="A91" s="1116" t="s">
        <v>607</v>
      </c>
      <c r="B91" s="1099"/>
      <c r="C91" s="1100" t="s">
        <v>576</v>
      </c>
      <c r="D91" s="1101"/>
      <c r="E91" s="1101"/>
      <c r="F91" s="1101">
        <f t="shared" ref="F91:AD91" si="133">SUBTOTAL(9,F87:F90)</f>
        <v>300000000</v>
      </c>
      <c r="G91" s="1101"/>
      <c r="H91" s="1101">
        <f t="shared" si="133"/>
        <v>24999999.999999996</v>
      </c>
      <c r="I91" s="1101">
        <f t="shared" si="133"/>
        <v>24999999.999999996</v>
      </c>
      <c r="J91" s="1101">
        <f t="shared" si="133"/>
        <v>24999999.999999996</v>
      </c>
      <c r="K91" s="1101">
        <f t="shared" si="133"/>
        <v>24999999.999999996</v>
      </c>
      <c r="L91" s="1101">
        <f t="shared" si="133"/>
        <v>24999999.999999996</v>
      </c>
      <c r="M91" s="1101">
        <f t="shared" si="133"/>
        <v>24999999.999999996</v>
      </c>
      <c r="N91" s="1101">
        <f t="shared" si="133"/>
        <v>24999999.999999996</v>
      </c>
      <c r="O91" s="1101">
        <f t="shared" si="133"/>
        <v>24999999.999999996</v>
      </c>
      <c r="P91" s="1101">
        <f t="shared" si="133"/>
        <v>24999999.999999996</v>
      </c>
      <c r="Q91" s="1101">
        <f t="shared" si="133"/>
        <v>24999999.999999996</v>
      </c>
      <c r="R91" s="1101">
        <f t="shared" si="133"/>
        <v>24999999.999999996</v>
      </c>
      <c r="S91" s="1101">
        <f t="shared" si="133"/>
        <v>24999999.999999996</v>
      </c>
      <c r="T91" s="1101">
        <f t="shared" si="133"/>
        <v>300000000</v>
      </c>
      <c r="U91" s="1102">
        <f t="shared" si="133"/>
        <v>-2.9802322387695313E-8</v>
      </c>
      <c r="V91" s="1102">
        <f>SUBTOTAL(9,V87:V90)</f>
        <v>300000000</v>
      </c>
      <c r="W91" s="1101">
        <f t="shared" si="133"/>
        <v>300000000</v>
      </c>
      <c r="X91" s="1102">
        <f t="shared" si="133"/>
        <v>0</v>
      </c>
      <c r="Y91" s="1102">
        <f>SUBTOTAL(9,Y87:Y90)</f>
        <v>300000000</v>
      </c>
      <c r="Z91" s="1101">
        <f t="shared" ref="Z91" si="134">SUBTOTAL(9,Z87:Z90)</f>
        <v>300000000</v>
      </c>
      <c r="AA91" s="1102">
        <f t="shared" si="133"/>
        <v>0</v>
      </c>
      <c r="AB91" s="1102">
        <f>SUBTOTAL(9,AB87:AB90)</f>
        <v>300000000</v>
      </c>
      <c r="AC91" s="1101">
        <f t="shared" ref="AC91" si="135">SUBTOTAL(9,AC87:AC90)</f>
        <v>300000000</v>
      </c>
      <c r="AD91" s="1102">
        <f t="shared" si="133"/>
        <v>0</v>
      </c>
      <c r="AE91" s="1102">
        <f>SUBTOTAL(9,AE87:AE90)</f>
        <v>300000000</v>
      </c>
      <c r="AF91" s="1101">
        <f t="shared" ref="AF91" si="136">SUBTOTAL(9,AF87:AF90)</f>
        <v>300000000</v>
      </c>
      <c r="AG91" s="1103">
        <f>SUBTOTAL(9,AG87:AG90)</f>
        <v>0</v>
      </c>
    </row>
    <row r="92" spans="1:33" s="665" customFormat="1" ht="40" customHeight="1" x14ac:dyDescent="0.35">
      <c r="A92" s="1112" t="s">
        <v>43</v>
      </c>
      <c r="B92" s="1056" t="s">
        <v>43</v>
      </c>
      <c r="C92" s="1104" t="s">
        <v>579</v>
      </c>
      <c r="D92" s="1058"/>
      <c r="E92" s="1058"/>
      <c r="F92" s="1059"/>
      <c r="G92" s="1059"/>
      <c r="H92" s="1058"/>
      <c r="I92" s="1058"/>
      <c r="J92" s="1058"/>
      <c r="K92" s="1058"/>
      <c r="L92" s="1058"/>
      <c r="M92" s="1058"/>
      <c r="N92" s="1058"/>
      <c r="O92" s="1058"/>
      <c r="P92" s="1058"/>
      <c r="Q92" s="1058"/>
      <c r="R92" s="1058"/>
      <c r="S92" s="1058"/>
      <c r="T92" s="1060"/>
      <c r="U92" s="1068"/>
      <c r="V92" s="1068"/>
      <c r="W92" s="1061"/>
      <c r="X92" s="1072"/>
      <c r="Y92" s="1068"/>
      <c r="Z92" s="1061"/>
      <c r="AA92" s="1075"/>
      <c r="AB92" s="1068"/>
      <c r="AC92" s="1061"/>
      <c r="AD92" s="1075"/>
      <c r="AE92" s="1068"/>
      <c r="AF92" s="1061"/>
      <c r="AG92" s="1081"/>
    </row>
    <row r="93" spans="1:33" s="665" customFormat="1" ht="40" customHeight="1" x14ac:dyDescent="0.35">
      <c r="A93" s="1113" t="s">
        <v>43</v>
      </c>
      <c r="B93" s="660">
        <v>1</v>
      </c>
      <c r="C93" s="666" t="s">
        <v>643</v>
      </c>
      <c r="D93" s="662"/>
      <c r="E93" s="662"/>
      <c r="F93" s="663">
        <f>'2018-2022'!D87</f>
        <v>65000000</v>
      </c>
      <c r="G93" s="663">
        <v>12</v>
      </c>
      <c r="H93" s="662">
        <f>F93/G93</f>
        <v>5416666.666666667</v>
      </c>
      <c r="I93" s="662">
        <f>H93</f>
        <v>5416666.666666667</v>
      </c>
      <c r="J93" s="662">
        <f t="shared" ref="J93:S93" si="137">I93</f>
        <v>5416666.666666667</v>
      </c>
      <c r="K93" s="662">
        <f t="shared" si="137"/>
        <v>5416666.666666667</v>
      </c>
      <c r="L93" s="662">
        <f t="shared" si="137"/>
        <v>5416666.666666667</v>
      </c>
      <c r="M93" s="662">
        <f t="shared" si="137"/>
        <v>5416666.666666667</v>
      </c>
      <c r="N93" s="662">
        <f t="shared" si="137"/>
        <v>5416666.666666667</v>
      </c>
      <c r="O93" s="662">
        <f t="shared" si="137"/>
        <v>5416666.666666667</v>
      </c>
      <c r="P93" s="662">
        <f t="shared" si="137"/>
        <v>5416666.666666667</v>
      </c>
      <c r="Q93" s="662">
        <f t="shared" si="137"/>
        <v>5416666.666666667</v>
      </c>
      <c r="R93" s="662">
        <f t="shared" si="137"/>
        <v>5416666.666666667</v>
      </c>
      <c r="S93" s="662">
        <f t="shared" si="137"/>
        <v>5416666.666666667</v>
      </c>
      <c r="T93" s="664">
        <f t="shared" ref="T93" si="138">SUM(H93:S93)</f>
        <v>64999999.999999993</v>
      </c>
      <c r="U93" s="1069">
        <f t="shared" ref="U93:U101" si="139">MIN(F93-T93,F93/G93*12)</f>
        <v>7.4505805969238281E-9</v>
      </c>
      <c r="V93" s="1069">
        <f>'2018-2022'!E87</f>
        <v>65000000</v>
      </c>
      <c r="W93" s="1062">
        <f>U93+V93</f>
        <v>65000000.000000007</v>
      </c>
      <c r="X93" s="1073">
        <f>MIN(F93-T93-U93,F93/G93*12)</f>
        <v>0</v>
      </c>
      <c r="Y93" s="1069">
        <f>'2018-2022'!F87</f>
        <v>65000000</v>
      </c>
      <c r="Z93" s="1062">
        <f>X93+Y93</f>
        <v>65000000</v>
      </c>
      <c r="AA93" s="1076">
        <f>MIN(F93-T93-U93-X93,F93/G93*12)</f>
        <v>0</v>
      </c>
      <c r="AB93" s="1069">
        <f>'2018-2022'!G87</f>
        <v>65000000</v>
      </c>
      <c r="AC93" s="1062">
        <f>AA93+AB93</f>
        <v>65000000</v>
      </c>
      <c r="AD93" s="1076">
        <f>F93-T93-U93-X93-AA93</f>
        <v>0</v>
      </c>
      <c r="AE93" s="1069">
        <f>'2018-2022'!H87</f>
        <v>65000000</v>
      </c>
      <c r="AF93" s="1062">
        <f>AD93+AE93</f>
        <v>65000000</v>
      </c>
      <c r="AG93" s="1082" t="str">
        <f>'2018-2022'!I87</f>
        <v>Gym equipment mainternance contract</v>
      </c>
    </row>
    <row r="94" spans="1:33" s="665" customFormat="1" ht="40" customHeight="1" x14ac:dyDescent="0.35">
      <c r="A94" s="1113" t="s">
        <v>43</v>
      </c>
      <c r="B94" s="660" t="s">
        <v>498</v>
      </c>
      <c r="C94" s="666" t="s">
        <v>337</v>
      </c>
      <c r="D94" s="662"/>
      <c r="E94" s="662"/>
      <c r="F94" s="663">
        <f>'2018-2022'!D89</f>
        <v>70000000</v>
      </c>
      <c r="G94" s="663">
        <v>12</v>
      </c>
      <c r="H94" s="662">
        <f t="shared" ref="H94" si="140">F94/G94</f>
        <v>5833333.333333333</v>
      </c>
      <c r="I94" s="662">
        <f t="shared" ref="I94:S95" si="141">H94</f>
        <v>5833333.333333333</v>
      </c>
      <c r="J94" s="662">
        <f t="shared" si="141"/>
        <v>5833333.333333333</v>
      </c>
      <c r="K94" s="662">
        <f t="shared" si="141"/>
        <v>5833333.333333333</v>
      </c>
      <c r="L94" s="662">
        <f t="shared" si="141"/>
        <v>5833333.333333333</v>
      </c>
      <c r="M94" s="662">
        <f t="shared" si="141"/>
        <v>5833333.333333333</v>
      </c>
      <c r="N94" s="662">
        <f t="shared" si="141"/>
        <v>5833333.333333333</v>
      </c>
      <c r="O94" s="662">
        <f t="shared" si="141"/>
        <v>5833333.333333333</v>
      </c>
      <c r="P94" s="662">
        <f t="shared" si="141"/>
        <v>5833333.333333333</v>
      </c>
      <c r="Q94" s="662">
        <f t="shared" si="141"/>
        <v>5833333.333333333</v>
      </c>
      <c r="R94" s="662">
        <f t="shared" si="141"/>
        <v>5833333.333333333</v>
      </c>
      <c r="S94" s="662">
        <f t="shared" si="141"/>
        <v>5833333.333333333</v>
      </c>
      <c r="T94" s="664">
        <f t="shared" ref="T94:T95" si="142">SUM(H94:S94)</f>
        <v>70000000.000000015</v>
      </c>
      <c r="U94" s="1069">
        <f t="shared" si="139"/>
        <v>-1.4901161193847656E-8</v>
      </c>
      <c r="V94" s="1069">
        <f>'2018-2022'!E89</f>
        <v>70000000</v>
      </c>
      <c r="W94" s="1062">
        <f>U94+V94</f>
        <v>69999999.999999985</v>
      </c>
      <c r="X94" s="1073">
        <f>MIN(F94-T94-U94,F94/G94*12)</f>
        <v>0</v>
      </c>
      <c r="Y94" s="1069">
        <f>'2018-2022'!F89</f>
        <v>70000000</v>
      </c>
      <c r="Z94" s="1062">
        <f>X94+Y94</f>
        <v>70000000</v>
      </c>
      <c r="AA94" s="1076">
        <f>MIN(F94-T94-U94-X94,F94/G94*12)</f>
        <v>0</v>
      </c>
      <c r="AB94" s="1069">
        <f>'2018-2022'!G89</f>
        <v>70000000</v>
      </c>
      <c r="AC94" s="1062">
        <f>AA94+AB94</f>
        <v>70000000</v>
      </c>
      <c r="AD94" s="1076">
        <f>F94-T94-U94-X94-AA94</f>
        <v>0</v>
      </c>
      <c r="AE94" s="1069">
        <f>'2018-2022'!H89</f>
        <v>70000000</v>
      </c>
      <c r="AF94" s="1062">
        <f>AD94+AE94</f>
        <v>70000000</v>
      </c>
      <c r="AG94" s="1082">
        <f>'2018-2022'!I89</f>
        <v>0</v>
      </c>
    </row>
    <row r="95" spans="1:33" s="665" customFormat="1" ht="40" customHeight="1" x14ac:dyDescent="0.35">
      <c r="A95" s="1115" t="s">
        <v>43</v>
      </c>
      <c r="B95" s="1089" t="s">
        <v>499</v>
      </c>
      <c r="C95" s="1090" t="s">
        <v>254</v>
      </c>
      <c r="D95" s="1091"/>
      <c r="E95" s="1091"/>
      <c r="F95" s="1092">
        <f>'2018-2022'!D90</f>
        <v>5000000</v>
      </c>
      <c r="G95" s="1092">
        <v>12</v>
      </c>
      <c r="H95" s="1091">
        <f>F95/G95</f>
        <v>416666.66666666669</v>
      </c>
      <c r="I95" s="1091">
        <f t="shared" si="141"/>
        <v>416666.66666666669</v>
      </c>
      <c r="J95" s="1091">
        <f t="shared" si="141"/>
        <v>416666.66666666669</v>
      </c>
      <c r="K95" s="1091">
        <f t="shared" si="141"/>
        <v>416666.66666666669</v>
      </c>
      <c r="L95" s="1091">
        <f t="shared" si="141"/>
        <v>416666.66666666669</v>
      </c>
      <c r="M95" s="1091">
        <f t="shared" si="141"/>
        <v>416666.66666666669</v>
      </c>
      <c r="N95" s="1091">
        <f t="shared" si="141"/>
        <v>416666.66666666669</v>
      </c>
      <c r="O95" s="1091">
        <f t="shared" si="141"/>
        <v>416666.66666666669</v>
      </c>
      <c r="P95" s="1091">
        <f t="shared" si="141"/>
        <v>416666.66666666669</v>
      </c>
      <c r="Q95" s="1091">
        <f t="shared" si="141"/>
        <v>416666.66666666669</v>
      </c>
      <c r="R95" s="1091">
        <f t="shared" si="141"/>
        <v>416666.66666666669</v>
      </c>
      <c r="S95" s="1091">
        <f t="shared" si="141"/>
        <v>416666.66666666669</v>
      </c>
      <c r="T95" s="1093">
        <f t="shared" si="142"/>
        <v>5000000</v>
      </c>
      <c r="U95" s="1094">
        <f t="shared" si="139"/>
        <v>0</v>
      </c>
      <c r="V95" s="1094">
        <f>'2018-2022'!E90</f>
        <v>5000000</v>
      </c>
      <c r="W95" s="1095">
        <f>U95+V95</f>
        <v>5000000</v>
      </c>
      <c r="X95" s="1096">
        <f>MIN(F95-T95-U95,F95/G95*12)</f>
        <v>0</v>
      </c>
      <c r="Y95" s="1094">
        <f>'2018-2022'!F90</f>
        <v>5000000</v>
      </c>
      <c r="Z95" s="1095">
        <f>X95+Y95</f>
        <v>5000000</v>
      </c>
      <c r="AA95" s="1097">
        <f>MIN(F95-T95-U95-X95,F95/G95*12)</f>
        <v>0</v>
      </c>
      <c r="AB95" s="1094">
        <f>'2018-2022'!G90</f>
        <v>5000000</v>
      </c>
      <c r="AC95" s="1095">
        <f>AA95+AB95</f>
        <v>5000000</v>
      </c>
      <c r="AD95" s="1097">
        <f>F95-T95-U95-X95-AA95</f>
        <v>0</v>
      </c>
      <c r="AE95" s="1094">
        <f>'2018-2022'!H90</f>
        <v>5000000</v>
      </c>
      <c r="AF95" s="1095">
        <f>AD95+AE95</f>
        <v>5000000</v>
      </c>
      <c r="AG95" s="1098">
        <f>'2018-2022'!I90</f>
        <v>0</v>
      </c>
    </row>
    <row r="96" spans="1:33" s="675" customFormat="1" ht="40" customHeight="1" x14ac:dyDescent="0.35">
      <c r="A96" s="1116" t="s">
        <v>608</v>
      </c>
      <c r="B96" s="1106"/>
      <c r="C96" s="1107" t="s">
        <v>579</v>
      </c>
      <c r="D96" s="985"/>
      <c r="E96" s="985"/>
      <c r="F96" s="985">
        <f>SUBTOTAL(9,F93:F95)</f>
        <v>140000000</v>
      </c>
      <c r="G96" s="985"/>
      <c r="H96" s="985">
        <f>SUBTOTAL(9,H93:H95)</f>
        <v>11666666.666666666</v>
      </c>
      <c r="I96" s="985">
        <f t="shared" ref="I96:AD96" si="143">SUBTOTAL(9,I93:I95)</f>
        <v>11666666.666666666</v>
      </c>
      <c r="J96" s="985">
        <f t="shared" si="143"/>
        <v>11666666.666666666</v>
      </c>
      <c r="K96" s="985">
        <f t="shared" si="143"/>
        <v>11666666.666666666</v>
      </c>
      <c r="L96" s="985">
        <f t="shared" si="143"/>
        <v>11666666.666666666</v>
      </c>
      <c r="M96" s="985">
        <f t="shared" si="143"/>
        <v>11666666.666666666</v>
      </c>
      <c r="N96" s="985">
        <f t="shared" si="143"/>
        <v>11666666.666666666</v>
      </c>
      <c r="O96" s="985">
        <f t="shared" si="143"/>
        <v>11666666.666666666</v>
      </c>
      <c r="P96" s="985">
        <f t="shared" si="143"/>
        <v>11666666.666666666</v>
      </c>
      <c r="Q96" s="985">
        <f t="shared" si="143"/>
        <v>11666666.666666666</v>
      </c>
      <c r="R96" s="985">
        <f t="shared" si="143"/>
        <v>11666666.666666666</v>
      </c>
      <c r="S96" s="985">
        <f t="shared" si="143"/>
        <v>11666666.666666666</v>
      </c>
      <c r="T96" s="1101">
        <f t="shared" si="143"/>
        <v>140000000</v>
      </c>
      <c r="U96" s="1102">
        <f t="shared" si="143"/>
        <v>-7.4505805969238281E-9</v>
      </c>
      <c r="V96" s="1102">
        <f>SUBTOTAL(9,V93:V95)</f>
        <v>140000000</v>
      </c>
      <c r="W96" s="1101">
        <f>SUBTOTAL(9,W93:W95)</f>
        <v>140000000</v>
      </c>
      <c r="X96" s="1102">
        <f t="shared" si="143"/>
        <v>0</v>
      </c>
      <c r="Y96" s="1102">
        <f>SUBTOTAL(9,Y93:Y95)</f>
        <v>140000000</v>
      </c>
      <c r="Z96" s="1101">
        <f>SUBTOTAL(9,Z93:Z95)</f>
        <v>140000000</v>
      </c>
      <c r="AA96" s="1102">
        <f t="shared" si="143"/>
        <v>0</v>
      </c>
      <c r="AB96" s="1102">
        <f>SUBTOTAL(9,AB93:AB95)</f>
        <v>140000000</v>
      </c>
      <c r="AC96" s="1101">
        <f>SUBTOTAL(9,AC93:AC95)</f>
        <v>140000000</v>
      </c>
      <c r="AD96" s="1102">
        <f t="shared" si="143"/>
        <v>0</v>
      </c>
      <c r="AE96" s="1102">
        <f>SUBTOTAL(9,AE93:AE95)</f>
        <v>140000000</v>
      </c>
      <c r="AF96" s="1101">
        <f>SUBTOTAL(9,AF93:AF95)</f>
        <v>140000000</v>
      </c>
      <c r="AG96" s="1103">
        <f>SUBTOTAL(9,AG93:AG95)</f>
        <v>0</v>
      </c>
    </row>
    <row r="97" spans="1:33" s="665" customFormat="1" ht="40" customHeight="1" x14ac:dyDescent="0.35">
      <c r="A97" s="1112" t="s">
        <v>31</v>
      </c>
      <c r="B97" s="1056"/>
      <c r="C97" s="1104" t="s">
        <v>621</v>
      </c>
      <c r="D97" s="1058"/>
      <c r="E97" s="1058"/>
      <c r="F97" s="1059"/>
      <c r="G97" s="1059"/>
      <c r="H97" s="1058"/>
      <c r="I97" s="1058"/>
      <c r="J97" s="1058"/>
      <c r="K97" s="1058"/>
      <c r="L97" s="1058"/>
      <c r="M97" s="1058"/>
      <c r="N97" s="1058"/>
      <c r="O97" s="1058"/>
      <c r="P97" s="1058"/>
      <c r="Q97" s="1058"/>
      <c r="R97" s="1058"/>
      <c r="S97" s="1058"/>
      <c r="T97" s="1060"/>
      <c r="U97" s="1068"/>
      <c r="V97" s="1068"/>
      <c r="W97" s="1061"/>
      <c r="X97" s="1072"/>
      <c r="Y97" s="1068"/>
      <c r="Z97" s="1061"/>
      <c r="AA97" s="1075"/>
      <c r="AB97" s="1068"/>
      <c r="AC97" s="1061"/>
      <c r="AD97" s="1075"/>
      <c r="AE97" s="1068"/>
      <c r="AF97" s="1061"/>
      <c r="AG97" s="1081"/>
    </row>
    <row r="98" spans="1:33" s="665" customFormat="1" ht="40" customHeight="1" x14ac:dyDescent="0.35">
      <c r="A98" s="1113" t="s">
        <v>31</v>
      </c>
      <c r="B98" s="660">
        <v>1.1000000000000001</v>
      </c>
      <c r="C98" s="666" t="s">
        <v>339</v>
      </c>
      <c r="D98" s="662"/>
      <c r="E98" s="662"/>
      <c r="F98" s="663">
        <f>'2018-2022'!D93</f>
        <v>130400000</v>
      </c>
      <c r="G98" s="663">
        <v>12</v>
      </c>
      <c r="H98" s="671">
        <f t="shared" ref="H98:H101" si="144">F98/G98</f>
        <v>10866666.666666666</v>
      </c>
      <c r="I98" s="662">
        <f>H98</f>
        <v>10866666.666666666</v>
      </c>
      <c r="J98" s="662">
        <f t="shared" ref="J98:S98" si="145">I98</f>
        <v>10866666.666666666</v>
      </c>
      <c r="K98" s="662">
        <f t="shared" si="145"/>
        <v>10866666.666666666</v>
      </c>
      <c r="L98" s="662">
        <f t="shared" si="145"/>
        <v>10866666.666666666</v>
      </c>
      <c r="M98" s="662">
        <f t="shared" si="145"/>
        <v>10866666.666666666</v>
      </c>
      <c r="N98" s="662">
        <f t="shared" si="145"/>
        <v>10866666.666666666</v>
      </c>
      <c r="O98" s="662">
        <f t="shared" si="145"/>
        <v>10866666.666666666</v>
      </c>
      <c r="P98" s="662">
        <f t="shared" si="145"/>
        <v>10866666.666666666</v>
      </c>
      <c r="Q98" s="662">
        <f t="shared" si="145"/>
        <v>10866666.666666666</v>
      </c>
      <c r="R98" s="662">
        <f t="shared" si="145"/>
        <v>10866666.666666666</v>
      </c>
      <c r="S98" s="662">
        <f t="shared" si="145"/>
        <v>10866666.666666666</v>
      </c>
      <c r="T98" s="664">
        <f>SUM(H98:S98)</f>
        <v>130400000.00000001</v>
      </c>
      <c r="U98" s="1069">
        <f t="shared" si="139"/>
        <v>-1.4901161193847656E-8</v>
      </c>
      <c r="V98" s="1069">
        <f>'2018-2022'!E93</f>
        <v>130400000</v>
      </c>
      <c r="W98" s="1062">
        <f>U98+V98</f>
        <v>130399999.99999999</v>
      </c>
      <c r="X98" s="1073">
        <f>MIN(F98-T98-U98,F98/G98*12)</f>
        <v>0</v>
      </c>
      <c r="Y98" s="1069">
        <f>'2018-2022'!F93</f>
        <v>130400000</v>
      </c>
      <c r="Z98" s="1062">
        <f>X98+Y98</f>
        <v>130400000</v>
      </c>
      <c r="AA98" s="1076">
        <f>MIN(F98-T98-U98-X98,F98/G98*12)</f>
        <v>0</v>
      </c>
      <c r="AB98" s="1069">
        <f>'2018-2022'!G93</f>
        <v>130400000</v>
      </c>
      <c r="AC98" s="1062">
        <f>AA98+AB98</f>
        <v>130400000</v>
      </c>
      <c r="AD98" s="1076">
        <f>F98-T98-U98-X98-AA98</f>
        <v>0</v>
      </c>
      <c r="AE98" s="1069">
        <f>'2018-2022'!H93</f>
        <v>130400000</v>
      </c>
      <c r="AF98" s="1062">
        <f>AD98+AE98</f>
        <v>130400000</v>
      </c>
      <c r="AG98" s="1082" t="str">
        <f>'2018-2022'!I93</f>
        <v>Chung Tin co. quotation</v>
      </c>
    </row>
    <row r="99" spans="1:33" s="665" customFormat="1" ht="40" customHeight="1" x14ac:dyDescent="0.35">
      <c r="A99" s="1113" t="s">
        <v>31</v>
      </c>
      <c r="B99" s="660">
        <v>1.2</v>
      </c>
      <c r="C99" s="666" t="s">
        <v>330</v>
      </c>
      <c r="D99" s="662"/>
      <c r="E99" s="662"/>
      <c r="F99" s="663">
        <f>'2018-2022'!D94</f>
        <v>66000000</v>
      </c>
      <c r="G99" s="663">
        <v>12</v>
      </c>
      <c r="H99" s="662">
        <f t="shared" si="144"/>
        <v>5500000</v>
      </c>
      <c r="I99" s="662">
        <f t="shared" ref="I99:S101" si="146">H99</f>
        <v>5500000</v>
      </c>
      <c r="J99" s="662">
        <f t="shared" si="146"/>
        <v>5500000</v>
      </c>
      <c r="K99" s="662">
        <f t="shared" si="146"/>
        <v>5500000</v>
      </c>
      <c r="L99" s="662">
        <f t="shared" si="146"/>
        <v>5500000</v>
      </c>
      <c r="M99" s="662">
        <f t="shared" si="146"/>
        <v>5500000</v>
      </c>
      <c r="N99" s="662">
        <f t="shared" si="146"/>
        <v>5500000</v>
      </c>
      <c r="O99" s="662">
        <f t="shared" si="146"/>
        <v>5500000</v>
      </c>
      <c r="P99" s="662">
        <f t="shared" si="146"/>
        <v>5500000</v>
      </c>
      <c r="Q99" s="662">
        <f t="shared" si="146"/>
        <v>5500000</v>
      </c>
      <c r="R99" s="662">
        <f t="shared" si="146"/>
        <v>5500000</v>
      </c>
      <c r="S99" s="662">
        <f t="shared" si="146"/>
        <v>5500000</v>
      </c>
      <c r="T99" s="664">
        <f>SUM(H99:S99)</f>
        <v>66000000</v>
      </c>
      <c r="U99" s="1069">
        <f t="shared" si="139"/>
        <v>0</v>
      </c>
      <c r="V99" s="1069">
        <f>'2018-2022'!E94</f>
        <v>66000000</v>
      </c>
      <c r="W99" s="1062">
        <f>U99+V99</f>
        <v>66000000</v>
      </c>
      <c r="X99" s="1073">
        <f>MIN(F99-T99-U99,F99/G99*12)</f>
        <v>0</v>
      </c>
      <c r="Y99" s="1069">
        <f>'2018-2022'!F94</f>
        <v>66000000</v>
      </c>
      <c r="Z99" s="1062">
        <f>X99+Y99</f>
        <v>66000000</v>
      </c>
      <c r="AA99" s="1076">
        <f>MIN(F99-T99-U99-X99,F99/G99*12)</f>
        <v>0</v>
      </c>
      <c r="AB99" s="1069">
        <f>'2018-2022'!G94</f>
        <v>66000000</v>
      </c>
      <c r="AC99" s="1062">
        <f>AA99+AB99</f>
        <v>66000000</v>
      </c>
      <c r="AD99" s="1076">
        <f>F99-T99-U99-X99-AA99</f>
        <v>0</v>
      </c>
      <c r="AE99" s="1069">
        <f>'2018-2022'!H94</f>
        <v>66000000</v>
      </c>
      <c r="AF99" s="1062">
        <f>AD99+AE99</f>
        <v>66000000</v>
      </c>
      <c r="AG99" s="1082" t="str">
        <f>'2018-2022'!I94</f>
        <v>Tam Phat co. quotation</v>
      </c>
    </row>
    <row r="100" spans="1:33" s="665" customFormat="1" ht="40" customHeight="1" x14ac:dyDescent="0.35">
      <c r="A100" s="1113" t="s">
        <v>31</v>
      </c>
      <c r="B100" s="660">
        <v>1.3</v>
      </c>
      <c r="C100" s="666" t="s">
        <v>340</v>
      </c>
      <c r="D100" s="662"/>
      <c r="E100" s="662"/>
      <c r="F100" s="663">
        <f>'2018-2022'!D95</f>
        <v>62500000</v>
      </c>
      <c r="G100" s="663">
        <v>24</v>
      </c>
      <c r="H100" s="662">
        <f t="shared" si="144"/>
        <v>2604166.6666666665</v>
      </c>
      <c r="I100" s="662">
        <f t="shared" si="146"/>
        <v>2604166.6666666665</v>
      </c>
      <c r="J100" s="662">
        <f t="shared" si="146"/>
        <v>2604166.6666666665</v>
      </c>
      <c r="K100" s="662">
        <f t="shared" si="146"/>
        <v>2604166.6666666665</v>
      </c>
      <c r="L100" s="662">
        <f t="shared" si="146"/>
        <v>2604166.6666666665</v>
      </c>
      <c r="M100" s="662">
        <f t="shared" si="146"/>
        <v>2604166.6666666665</v>
      </c>
      <c r="N100" s="662">
        <f t="shared" si="146"/>
        <v>2604166.6666666665</v>
      </c>
      <c r="O100" s="662">
        <f t="shared" si="146"/>
        <v>2604166.6666666665</v>
      </c>
      <c r="P100" s="662">
        <f t="shared" si="146"/>
        <v>2604166.6666666665</v>
      </c>
      <c r="Q100" s="662">
        <f t="shared" si="146"/>
        <v>2604166.6666666665</v>
      </c>
      <c r="R100" s="662">
        <f t="shared" si="146"/>
        <v>2604166.6666666665</v>
      </c>
      <c r="S100" s="662">
        <f t="shared" si="146"/>
        <v>2604166.6666666665</v>
      </c>
      <c r="T100" s="664">
        <f>SUM(H100:S100)</f>
        <v>31250000.000000004</v>
      </c>
      <c r="U100" s="1069">
        <f t="shared" si="139"/>
        <v>31249999.999999996</v>
      </c>
      <c r="V100" s="1069">
        <f>'2018-2022'!E95</f>
        <v>62500000</v>
      </c>
      <c r="W100" s="1062">
        <f>U100+V100</f>
        <v>93750000</v>
      </c>
      <c r="X100" s="1073">
        <f>MIN(F100-T100-U100,F100/G100*12)</f>
        <v>0</v>
      </c>
      <c r="Y100" s="1069">
        <f>'2018-2022'!F95</f>
        <v>62500000</v>
      </c>
      <c r="Z100" s="1062">
        <f>X100+Y100</f>
        <v>62500000</v>
      </c>
      <c r="AA100" s="1076">
        <f>MIN(F100-T100-U100-X100,F100/G100*12)</f>
        <v>0</v>
      </c>
      <c r="AB100" s="1069">
        <f>'2018-2022'!G95</f>
        <v>62500000</v>
      </c>
      <c r="AC100" s="1062">
        <f>AA100+AB100</f>
        <v>62500000</v>
      </c>
      <c r="AD100" s="1076">
        <f>F100-T100-U100-X100-AA100</f>
        <v>0</v>
      </c>
      <c r="AE100" s="1069">
        <f>'2018-2022'!H95</f>
        <v>62500000</v>
      </c>
      <c r="AF100" s="1062">
        <f>AD100+AE100</f>
        <v>62500000</v>
      </c>
      <c r="AG100" s="1082" t="str">
        <f>'2018-2022'!I95</f>
        <v>Tam Phat co. quotation</v>
      </c>
    </row>
    <row r="101" spans="1:33" s="665" customFormat="1" ht="40" customHeight="1" x14ac:dyDescent="0.35">
      <c r="A101" s="1115" t="s">
        <v>31</v>
      </c>
      <c r="B101" s="1089">
        <v>2</v>
      </c>
      <c r="C101" s="1090" t="s">
        <v>332</v>
      </c>
      <c r="D101" s="1091"/>
      <c r="E101" s="1091"/>
      <c r="F101" s="1092">
        <f>'2018-2022'!D96</f>
        <v>50000000</v>
      </c>
      <c r="G101" s="1092">
        <v>12</v>
      </c>
      <c r="H101" s="1091">
        <f t="shared" si="144"/>
        <v>4166666.6666666665</v>
      </c>
      <c r="I101" s="1091">
        <f t="shared" si="146"/>
        <v>4166666.6666666665</v>
      </c>
      <c r="J101" s="1091">
        <f t="shared" si="146"/>
        <v>4166666.6666666665</v>
      </c>
      <c r="K101" s="1091">
        <f t="shared" si="146"/>
        <v>4166666.6666666665</v>
      </c>
      <c r="L101" s="1091">
        <f t="shared" si="146"/>
        <v>4166666.6666666665</v>
      </c>
      <c r="M101" s="1091">
        <f t="shared" si="146"/>
        <v>4166666.6666666665</v>
      </c>
      <c r="N101" s="1091">
        <f t="shared" si="146"/>
        <v>4166666.6666666665</v>
      </c>
      <c r="O101" s="1091">
        <f t="shared" si="146"/>
        <v>4166666.6666666665</v>
      </c>
      <c r="P101" s="1091">
        <f t="shared" si="146"/>
        <v>4166666.6666666665</v>
      </c>
      <c r="Q101" s="1091">
        <f t="shared" si="146"/>
        <v>4166666.6666666665</v>
      </c>
      <c r="R101" s="1091">
        <f t="shared" si="146"/>
        <v>4166666.6666666665</v>
      </c>
      <c r="S101" s="1091">
        <f t="shared" si="146"/>
        <v>4166666.6666666665</v>
      </c>
      <c r="T101" s="1093">
        <f>SUM(H101:S101)</f>
        <v>49999999.999999993</v>
      </c>
      <c r="U101" s="1094">
        <f t="shared" si="139"/>
        <v>7.4505805969238281E-9</v>
      </c>
      <c r="V101" s="1094">
        <f>'2018-2022'!E96</f>
        <v>50000000</v>
      </c>
      <c r="W101" s="1095">
        <f>U101+V101</f>
        <v>50000000.000000007</v>
      </c>
      <c r="X101" s="1096">
        <f>MIN(F101-T101-U101,F101/G101*12)</f>
        <v>0</v>
      </c>
      <c r="Y101" s="1094">
        <f>'2018-2022'!F96</f>
        <v>50000000</v>
      </c>
      <c r="Z101" s="1095">
        <f>X101+Y101</f>
        <v>50000000</v>
      </c>
      <c r="AA101" s="1097">
        <f>MIN(F101-T101-U101-X101,F101/G101*12)</f>
        <v>0</v>
      </c>
      <c r="AB101" s="1094">
        <f>'2018-2022'!G96</f>
        <v>50000000</v>
      </c>
      <c r="AC101" s="1095">
        <f>AA101+AB101</f>
        <v>50000000</v>
      </c>
      <c r="AD101" s="1097">
        <f>F101-T101-U101-X101-AA101</f>
        <v>0</v>
      </c>
      <c r="AE101" s="1094">
        <f>'2018-2022'!H96</f>
        <v>50000000</v>
      </c>
      <c r="AF101" s="1095">
        <f>AD101+AE101</f>
        <v>50000000</v>
      </c>
      <c r="AG101" s="1098">
        <f>'2018-2022'!I96</f>
        <v>0</v>
      </c>
    </row>
    <row r="102" spans="1:33" s="665" customFormat="1" ht="40" customHeight="1" x14ac:dyDescent="0.35">
      <c r="A102" s="1116" t="s">
        <v>622</v>
      </c>
      <c r="B102" s="1099"/>
      <c r="C102" s="1100" t="s">
        <v>621</v>
      </c>
      <c r="D102" s="1101"/>
      <c r="E102" s="1101"/>
      <c r="F102" s="1101">
        <f>SUBTOTAL(9,F98:F101)</f>
        <v>308900000</v>
      </c>
      <c r="G102" s="1101"/>
      <c r="H102" s="1101">
        <f>SUBTOTAL(9,H98:H101)</f>
        <v>23137500</v>
      </c>
      <c r="I102" s="1101">
        <f>SUBTOTAL(9,I98:I101)</f>
        <v>23137500</v>
      </c>
      <c r="J102" s="1101">
        <f t="shared" ref="J102:AD102" si="147">SUBTOTAL(9,J98:J101)</f>
        <v>23137500</v>
      </c>
      <c r="K102" s="1101">
        <f t="shared" si="147"/>
        <v>23137500</v>
      </c>
      <c r="L102" s="1101">
        <f t="shared" si="147"/>
        <v>23137500</v>
      </c>
      <c r="M102" s="1101">
        <f t="shared" si="147"/>
        <v>23137500</v>
      </c>
      <c r="N102" s="1101">
        <f t="shared" si="147"/>
        <v>23137500</v>
      </c>
      <c r="O102" s="1101">
        <f t="shared" si="147"/>
        <v>23137500</v>
      </c>
      <c r="P102" s="1101">
        <f t="shared" si="147"/>
        <v>23137500</v>
      </c>
      <c r="Q102" s="1101">
        <f t="shared" si="147"/>
        <v>23137500</v>
      </c>
      <c r="R102" s="1101">
        <f t="shared" si="147"/>
        <v>23137500</v>
      </c>
      <c r="S102" s="1101">
        <f t="shared" si="147"/>
        <v>23137500</v>
      </c>
      <c r="T102" s="1101">
        <f>SUBTOTAL(9,T98:T101)</f>
        <v>277650000</v>
      </c>
      <c r="U102" s="1102">
        <f t="shared" si="147"/>
        <v>31249999.999999989</v>
      </c>
      <c r="V102" s="1102">
        <f>SUBTOTAL(9,V98:V101)</f>
        <v>308900000</v>
      </c>
      <c r="W102" s="1101">
        <f t="shared" si="147"/>
        <v>340150000</v>
      </c>
      <c r="X102" s="1102">
        <f t="shared" si="147"/>
        <v>0</v>
      </c>
      <c r="Y102" s="1102">
        <f>SUBTOTAL(9,Y98:Y101)</f>
        <v>308900000</v>
      </c>
      <c r="Z102" s="1101">
        <f t="shared" ref="Z102" si="148">SUBTOTAL(9,Z98:Z101)</f>
        <v>308900000</v>
      </c>
      <c r="AA102" s="1102">
        <f>SUBTOTAL(9,AA98:AA101)</f>
        <v>0</v>
      </c>
      <c r="AB102" s="1102">
        <f>SUBTOTAL(9,AB98:AB101)</f>
        <v>308900000</v>
      </c>
      <c r="AC102" s="1101">
        <f t="shared" ref="AC102" si="149">SUBTOTAL(9,AC98:AC101)</f>
        <v>308900000</v>
      </c>
      <c r="AD102" s="1102">
        <f t="shared" si="147"/>
        <v>0</v>
      </c>
      <c r="AE102" s="1102">
        <f>SUBTOTAL(9,AE98:AE101)</f>
        <v>308900000</v>
      </c>
      <c r="AF102" s="1101">
        <f t="shared" ref="AF102" si="150">SUBTOTAL(9,AF98:AF101)</f>
        <v>308900000</v>
      </c>
      <c r="AG102" s="1103">
        <f>SUBTOTAL(9,AG98:AG101)</f>
        <v>0</v>
      </c>
    </row>
    <row r="103" spans="1:33" s="665" customFormat="1" ht="40" customHeight="1" x14ac:dyDescent="0.35">
      <c r="A103" s="1112" t="s">
        <v>16</v>
      </c>
      <c r="B103" s="1056" t="s">
        <v>16</v>
      </c>
      <c r="C103" s="1104" t="s">
        <v>592</v>
      </c>
      <c r="D103" s="1058"/>
      <c r="E103" s="1058"/>
      <c r="F103" s="1059"/>
      <c r="G103" s="1059"/>
      <c r="H103" s="1058"/>
      <c r="I103" s="1058"/>
      <c r="J103" s="1058"/>
      <c r="K103" s="1058"/>
      <c r="L103" s="1058"/>
      <c r="M103" s="1058"/>
      <c r="N103" s="1058"/>
      <c r="O103" s="1058"/>
      <c r="P103" s="1058"/>
      <c r="Q103" s="1058"/>
      <c r="R103" s="1058"/>
      <c r="S103" s="1058"/>
      <c r="T103" s="1060"/>
      <c r="U103" s="1068"/>
      <c r="V103" s="1068"/>
      <c r="W103" s="1061"/>
      <c r="X103" s="1072"/>
      <c r="Y103" s="1068"/>
      <c r="Z103" s="1061"/>
      <c r="AA103" s="1075"/>
      <c r="AB103" s="1068"/>
      <c r="AC103" s="1061"/>
      <c r="AD103" s="1075"/>
      <c r="AE103" s="1068"/>
      <c r="AF103" s="1061"/>
      <c r="AG103" s="1081"/>
    </row>
    <row r="104" spans="1:33" s="665" customFormat="1" ht="40" customHeight="1" x14ac:dyDescent="0.35">
      <c r="A104" s="1113" t="s">
        <v>16</v>
      </c>
      <c r="B104" s="660">
        <v>1</v>
      </c>
      <c r="C104" s="666" t="s">
        <v>271</v>
      </c>
      <c r="D104" s="662"/>
      <c r="E104" s="662"/>
      <c r="F104" s="663">
        <f>'2018-2022'!D98</f>
        <v>10000000</v>
      </c>
      <c r="G104" s="663">
        <v>12</v>
      </c>
      <c r="H104" s="662">
        <f t="shared" ref="H104:H105" si="151">F104/G104</f>
        <v>833333.33333333337</v>
      </c>
      <c r="I104" s="662">
        <f>H104</f>
        <v>833333.33333333337</v>
      </c>
      <c r="J104" s="662">
        <f t="shared" ref="J104:S104" si="152">I104</f>
        <v>833333.33333333337</v>
      </c>
      <c r="K104" s="662">
        <f t="shared" si="152"/>
        <v>833333.33333333337</v>
      </c>
      <c r="L104" s="662">
        <f t="shared" si="152"/>
        <v>833333.33333333337</v>
      </c>
      <c r="M104" s="662">
        <f t="shared" si="152"/>
        <v>833333.33333333337</v>
      </c>
      <c r="N104" s="662">
        <f t="shared" si="152"/>
        <v>833333.33333333337</v>
      </c>
      <c r="O104" s="662">
        <f t="shared" si="152"/>
        <v>833333.33333333337</v>
      </c>
      <c r="P104" s="662">
        <f t="shared" si="152"/>
        <v>833333.33333333337</v>
      </c>
      <c r="Q104" s="662">
        <f t="shared" si="152"/>
        <v>833333.33333333337</v>
      </c>
      <c r="R104" s="662">
        <f t="shared" si="152"/>
        <v>833333.33333333337</v>
      </c>
      <c r="S104" s="662">
        <f t="shared" si="152"/>
        <v>833333.33333333337</v>
      </c>
      <c r="T104" s="664">
        <f t="shared" ref="T104" si="153">SUM(H104:S104)</f>
        <v>10000000</v>
      </c>
      <c r="U104" s="1069">
        <f>IF(T104=0,0,MIN(F104-T104,F104/G104*12))</f>
        <v>0</v>
      </c>
      <c r="V104" s="1069">
        <f>'2018-2022'!E98</f>
        <v>10000000</v>
      </c>
      <c r="W104" s="1062">
        <f t="shared" ref="W104:W117" si="154">U104+V104</f>
        <v>10000000</v>
      </c>
      <c r="X104" s="1073">
        <f>IF(T104=0,0,MIN(F104-T104-U104,F104/G104*12))</f>
        <v>0</v>
      </c>
      <c r="Y104" s="1069">
        <f>'2018-2022'!F98</f>
        <v>10000000</v>
      </c>
      <c r="Z104" s="1062">
        <f>X104+Y104</f>
        <v>10000000</v>
      </c>
      <c r="AA104" s="1076">
        <f>IF(T104=0,0,MIN(F104-T104-U104-X104,F104/G104*12))</f>
        <v>0</v>
      </c>
      <c r="AB104" s="1069">
        <f>'2018-2022'!G98</f>
        <v>10000000</v>
      </c>
      <c r="AC104" s="1062">
        <f>AA104+AB104</f>
        <v>10000000</v>
      </c>
      <c r="AD104" s="1076">
        <f>IF(T104=0,0,F104-T104-U104-X104-AA104)</f>
        <v>0</v>
      </c>
      <c r="AE104" s="1069">
        <f>'2018-2022'!H98</f>
        <v>10000000</v>
      </c>
      <c r="AF104" s="1062">
        <f>AD104+AE104</f>
        <v>10000000</v>
      </c>
      <c r="AG104" s="1082">
        <f>'2018-2022'!I98</f>
        <v>0</v>
      </c>
    </row>
    <row r="105" spans="1:33" s="665" customFormat="1" ht="40" customHeight="1" x14ac:dyDescent="0.35">
      <c r="A105" s="1113" t="s">
        <v>16</v>
      </c>
      <c r="B105" s="660">
        <v>2</v>
      </c>
      <c r="C105" s="666" t="s">
        <v>272</v>
      </c>
      <c r="D105" s="662"/>
      <c r="E105" s="662"/>
      <c r="F105" s="663">
        <f>'2018-2022'!D99</f>
        <v>12000000</v>
      </c>
      <c r="G105" s="663">
        <v>12</v>
      </c>
      <c r="H105" s="662">
        <f t="shared" si="151"/>
        <v>1000000</v>
      </c>
      <c r="I105" s="662">
        <f>H105</f>
        <v>1000000</v>
      </c>
      <c r="J105" s="662">
        <f t="shared" ref="J105:S105" si="155">I105</f>
        <v>1000000</v>
      </c>
      <c r="K105" s="662">
        <f t="shared" si="155"/>
        <v>1000000</v>
      </c>
      <c r="L105" s="662">
        <f t="shared" si="155"/>
        <v>1000000</v>
      </c>
      <c r="M105" s="662">
        <f t="shared" si="155"/>
        <v>1000000</v>
      </c>
      <c r="N105" s="662">
        <f t="shared" si="155"/>
        <v>1000000</v>
      </c>
      <c r="O105" s="662">
        <f t="shared" si="155"/>
        <v>1000000</v>
      </c>
      <c r="P105" s="662">
        <f t="shared" si="155"/>
        <v>1000000</v>
      </c>
      <c r="Q105" s="662">
        <f t="shared" si="155"/>
        <v>1000000</v>
      </c>
      <c r="R105" s="662">
        <f t="shared" si="155"/>
        <v>1000000</v>
      </c>
      <c r="S105" s="662">
        <f t="shared" si="155"/>
        <v>1000000</v>
      </c>
      <c r="T105" s="664">
        <f t="shared" ref="T105" si="156">SUM(H105:S105)</f>
        <v>12000000</v>
      </c>
      <c r="U105" s="1069">
        <f t="shared" ref="U105:U116" si="157">IF(T105=0,0,MIN(F105-T105,F105/G105*12))</f>
        <v>0</v>
      </c>
      <c r="V105" s="1069">
        <f>'2018-2022'!E99</f>
        <v>12000000</v>
      </c>
      <c r="W105" s="1062">
        <f t="shared" si="154"/>
        <v>12000000</v>
      </c>
      <c r="X105" s="1073">
        <f>IF(T105=0,0,MIN(F105-T105-U105,F105/G105*12))</f>
        <v>0</v>
      </c>
      <c r="Y105" s="1069">
        <f>'2018-2022'!F99</f>
        <v>12000000</v>
      </c>
      <c r="Z105" s="1062">
        <f>X105+Y105</f>
        <v>12000000</v>
      </c>
      <c r="AA105" s="1076">
        <f t="shared" ref="AA105:AA117" si="158">IF(T105=0,0,MIN(F105-T105-U105-X105,F105/G105*12))</f>
        <v>0</v>
      </c>
      <c r="AB105" s="1069">
        <f>'2018-2022'!G99</f>
        <v>12000000</v>
      </c>
      <c r="AC105" s="1062">
        <f t="shared" ref="AC105:AC117" si="159">AA105+AB105</f>
        <v>12000000</v>
      </c>
      <c r="AD105" s="1076">
        <f t="shared" ref="AD105:AD117" si="160">IF(T105=0,0,F105-T105-U105-X105-AA105)</f>
        <v>0</v>
      </c>
      <c r="AE105" s="1069">
        <f>'2018-2022'!H99</f>
        <v>12000000</v>
      </c>
      <c r="AF105" s="1062">
        <f t="shared" ref="AF105:AF117" si="161">AD105+AE105</f>
        <v>12000000</v>
      </c>
      <c r="AG105" s="1082" t="str">
        <f>'2018-2022'!I99</f>
        <v>Estimates 1 milion VND/ month</v>
      </c>
    </row>
    <row r="106" spans="1:33" s="665" customFormat="1" ht="40" customHeight="1" x14ac:dyDescent="0.35">
      <c r="A106" s="1113" t="s">
        <v>16</v>
      </c>
      <c r="B106" s="660">
        <f>B105+1</f>
        <v>3</v>
      </c>
      <c r="C106" s="666" t="s">
        <v>1079</v>
      </c>
      <c r="D106" s="662"/>
      <c r="E106" s="662"/>
      <c r="F106" s="663"/>
      <c r="G106" s="663"/>
      <c r="H106" s="662"/>
      <c r="I106" s="662"/>
      <c r="J106" s="662"/>
      <c r="K106" s="662"/>
      <c r="L106" s="662"/>
      <c r="M106" s="662"/>
      <c r="N106" s="662"/>
      <c r="O106" s="662"/>
      <c r="P106" s="662"/>
      <c r="Q106" s="662"/>
      <c r="R106" s="662"/>
      <c r="S106" s="662"/>
      <c r="T106" s="664">
        <f t="shared" ref="T106:T117" si="162">SUM(H106:S106)</f>
        <v>0</v>
      </c>
      <c r="U106" s="1069">
        <f t="shared" si="157"/>
        <v>0</v>
      </c>
      <c r="V106" s="1069">
        <f>'2018-2022'!E100</f>
        <v>20000000</v>
      </c>
      <c r="W106" s="1062">
        <f t="shared" si="154"/>
        <v>20000000</v>
      </c>
      <c r="X106" s="1073">
        <f>IF(T106=0,0,MIN(F106-T106-U106,F106/G106*12))</f>
        <v>0</v>
      </c>
      <c r="Y106" s="1069">
        <f>'2018-2022'!F100</f>
        <v>0</v>
      </c>
      <c r="Z106" s="1062">
        <f t="shared" ref="Z106:Z117" si="163">X106+Y106</f>
        <v>0</v>
      </c>
      <c r="AA106" s="1076">
        <f t="shared" si="158"/>
        <v>0</v>
      </c>
      <c r="AB106" s="1069">
        <f>'2018-2022'!G100</f>
        <v>0</v>
      </c>
      <c r="AC106" s="1062">
        <f t="shared" si="159"/>
        <v>0</v>
      </c>
      <c r="AD106" s="1076">
        <f t="shared" si="160"/>
        <v>0</v>
      </c>
      <c r="AE106" s="1069">
        <f>'2018-2022'!H100</f>
        <v>0</v>
      </c>
      <c r="AF106" s="1062">
        <f t="shared" si="161"/>
        <v>0</v>
      </c>
      <c r="AG106" s="1082"/>
    </row>
    <row r="107" spans="1:33" s="665" customFormat="1" ht="40" customHeight="1" x14ac:dyDescent="0.35">
      <c r="A107" s="1113" t="s">
        <v>16</v>
      </c>
      <c r="B107" s="660">
        <f t="shared" ref="B107:B117" si="164">B106+1</f>
        <v>4</v>
      </c>
      <c r="C107" s="666" t="s">
        <v>1080</v>
      </c>
      <c r="D107" s="662"/>
      <c r="E107" s="662"/>
      <c r="F107" s="663"/>
      <c r="G107" s="663"/>
      <c r="H107" s="662"/>
      <c r="I107" s="662"/>
      <c r="J107" s="662"/>
      <c r="K107" s="662"/>
      <c r="L107" s="662"/>
      <c r="M107" s="662"/>
      <c r="N107" s="662"/>
      <c r="O107" s="662"/>
      <c r="P107" s="662"/>
      <c r="Q107" s="662"/>
      <c r="R107" s="662"/>
      <c r="S107" s="662"/>
      <c r="T107" s="664">
        <f t="shared" si="162"/>
        <v>0</v>
      </c>
      <c r="U107" s="1069">
        <f t="shared" si="157"/>
        <v>0</v>
      </c>
      <c r="V107" s="1069">
        <f>'2018-2022'!E101</f>
        <v>20000000</v>
      </c>
      <c r="W107" s="1062">
        <f t="shared" si="154"/>
        <v>20000000</v>
      </c>
      <c r="X107" s="1073">
        <f t="shared" ref="X107:X117" si="165">IF(T107=0,0,MIN(F107-T107-U107,F107/G107*12))</f>
        <v>0</v>
      </c>
      <c r="Y107" s="1069">
        <f>'2018-2022'!F101</f>
        <v>0</v>
      </c>
      <c r="Z107" s="1062">
        <f t="shared" si="163"/>
        <v>0</v>
      </c>
      <c r="AA107" s="1076">
        <f t="shared" si="158"/>
        <v>0</v>
      </c>
      <c r="AB107" s="1069">
        <f>'2018-2022'!G101</f>
        <v>0</v>
      </c>
      <c r="AC107" s="1062">
        <f t="shared" si="159"/>
        <v>0</v>
      </c>
      <c r="AD107" s="1076">
        <f t="shared" si="160"/>
        <v>0</v>
      </c>
      <c r="AE107" s="1069">
        <f>'2018-2022'!H101</f>
        <v>0</v>
      </c>
      <c r="AF107" s="1062">
        <f t="shared" si="161"/>
        <v>0</v>
      </c>
      <c r="AG107" s="1082"/>
    </row>
    <row r="108" spans="1:33" s="665" customFormat="1" ht="40" customHeight="1" x14ac:dyDescent="0.35">
      <c r="A108" s="1113" t="s">
        <v>16</v>
      </c>
      <c r="B108" s="660">
        <f t="shared" si="164"/>
        <v>5</v>
      </c>
      <c r="C108" s="666" t="s">
        <v>1081</v>
      </c>
      <c r="D108" s="662"/>
      <c r="E108" s="662"/>
      <c r="F108" s="663"/>
      <c r="G108" s="663"/>
      <c r="H108" s="662"/>
      <c r="I108" s="662"/>
      <c r="J108" s="662"/>
      <c r="K108" s="662"/>
      <c r="L108" s="662"/>
      <c r="M108" s="662"/>
      <c r="N108" s="662"/>
      <c r="O108" s="662"/>
      <c r="P108" s="662"/>
      <c r="Q108" s="662"/>
      <c r="R108" s="662"/>
      <c r="S108" s="662"/>
      <c r="T108" s="664">
        <f t="shared" si="162"/>
        <v>0</v>
      </c>
      <c r="U108" s="1069">
        <f t="shared" si="157"/>
        <v>0</v>
      </c>
      <c r="V108" s="1069">
        <f>'2018-2022'!E102</f>
        <v>20000000</v>
      </c>
      <c r="W108" s="1062">
        <f t="shared" si="154"/>
        <v>20000000</v>
      </c>
      <c r="X108" s="1073">
        <f t="shared" si="165"/>
        <v>0</v>
      </c>
      <c r="Y108" s="1069">
        <f>'2018-2022'!F102</f>
        <v>0</v>
      </c>
      <c r="Z108" s="1062">
        <f t="shared" si="163"/>
        <v>0</v>
      </c>
      <c r="AA108" s="1076">
        <f t="shared" si="158"/>
        <v>0</v>
      </c>
      <c r="AB108" s="1069">
        <f>'2018-2022'!G102</f>
        <v>0</v>
      </c>
      <c r="AC108" s="1062">
        <f t="shared" si="159"/>
        <v>0</v>
      </c>
      <c r="AD108" s="1076">
        <f t="shared" si="160"/>
        <v>0</v>
      </c>
      <c r="AE108" s="1069">
        <f>'2018-2022'!H102</f>
        <v>0</v>
      </c>
      <c r="AF108" s="1062">
        <f t="shared" si="161"/>
        <v>0</v>
      </c>
      <c r="AG108" s="1082"/>
    </row>
    <row r="109" spans="1:33" s="665" customFormat="1" ht="40" customHeight="1" x14ac:dyDescent="0.35">
      <c r="A109" s="1113" t="s">
        <v>16</v>
      </c>
      <c r="B109" s="660">
        <f t="shared" si="164"/>
        <v>6</v>
      </c>
      <c r="C109" s="666" t="s">
        <v>1082</v>
      </c>
      <c r="D109" s="662"/>
      <c r="E109" s="662"/>
      <c r="F109" s="663"/>
      <c r="G109" s="663"/>
      <c r="H109" s="662"/>
      <c r="I109" s="662"/>
      <c r="J109" s="662"/>
      <c r="K109" s="662"/>
      <c r="L109" s="662"/>
      <c r="M109" s="662"/>
      <c r="N109" s="662"/>
      <c r="O109" s="662"/>
      <c r="P109" s="662"/>
      <c r="Q109" s="662"/>
      <c r="R109" s="662"/>
      <c r="S109" s="662"/>
      <c r="T109" s="664">
        <f t="shared" si="162"/>
        <v>0</v>
      </c>
      <c r="U109" s="1069">
        <f t="shared" si="157"/>
        <v>0</v>
      </c>
      <c r="V109" s="1069">
        <f>'2018-2022'!E103</f>
        <v>0</v>
      </c>
      <c r="W109" s="1062">
        <f t="shared" si="154"/>
        <v>0</v>
      </c>
      <c r="X109" s="1073">
        <f t="shared" si="165"/>
        <v>0</v>
      </c>
      <c r="Y109" s="1069">
        <f>'2018-2022'!F103</f>
        <v>50000000</v>
      </c>
      <c r="Z109" s="1062">
        <f t="shared" si="163"/>
        <v>50000000</v>
      </c>
      <c r="AA109" s="1076">
        <f t="shared" si="158"/>
        <v>0</v>
      </c>
      <c r="AB109" s="1069">
        <f>'2018-2022'!G103</f>
        <v>0</v>
      </c>
      <c r="AC109" s="1062">
        <f t="shared" si="159"/>
        <v>0</v>
      </c>
      <c r="AD109" s="1076">
        <f t="shared" si="160"/>
        <v>0</v>
      </c>
      <c r="AE109" s="1069">
        <f>'2018-2022'!H103</f>
        <v>0</v>
      </c>
      <c r="AF109" s="1062">
        <f t="shared" si="161"/>
        <v>0</v>
      </c>
      <c r="AG109" s="1082"/>
    </row>
    <row r="110" spans="1:33" s="665" customFormat="1" ht="40" customHeight="1" x14ac:dyDescent="0.35">
      <c r="A110" s="1113" t="s">
        <v>16</v>
      </c>
      <c r="B110" s="660">
        <f t="shared" si="164"/>
        <v>7</v>
      </c>
      <c r="C110" s="666" t="s">
        <v>1083</v>
      </c>
      <c r="D110" s="662"/>
      <c r="E110" s="662"/>
      <c r="F110" s="663"/>
      <c r="G110" s="663"/>
      <c r="H110" s="662"/>
      <c r="I110" s="662"/>
      <c r="J110" s="662"/>
      <c r="K110" s="662"/>
      <c r="L110" s="662"/>
      <c r="M110" s="662"/>
      <c r="N110" s="662"/>
      <c r="O110" s="662"/>
      <c r="P110" s="662"/>
      <c r="Q110" s="662"/>
      <c r="R110" s="662"/>
      <c r="S110" s="662"/>
      <c r="T110" s="664">
        <f t="shared" si="162"/>
        <v>0</v>
      </c>
      <c r="U110" s="1069">
        <f t="shared" si="157"/>
        <v>0</v>
      </c>
      <c r="V110" s="1069">
        <f>'2018-2022'!E104</f>
        <v>0</v>
      </c>
      <c r="W110" s="1062">
        <f t="shared" si="154"/>
        <v>0</v>
      </c>
      <c r="X110" s="1073">
        <f t="shared" si="165"/>
        <v>0</v>
      </c>
      <c r="Y110" s="1069">
        <f>'2018-2022'!F104</f>
        <v>50000000</v>
      </c>
      <c r="Z110" s="1062">
        <f t="shared" si="163"/>
        <v>50000000</v>
      </c>
      <c r="AA110" s="1076">
        <f t="shared" si="158"/>
        <v>0</v>
      </c>
      <c r="AB110" s="1069">
        <f>'2018-2022'!G104</f>
        <v>0</v>
      </c>
      <c r="AC110" s="1062">
        <f t="shared" si="159"/>
        <v>0</v>
      </c>
      <c r="AD110" s="1076">
        <f t="shared" si="160"/>
        <v>0</v>
      </c>
      <c r="AE110" s="1069">
        <f>'2018-2022'!H104</f>
        <v>0</v>
      </c>
      <c r="AF110" s="1062">
        <f t="shared" si="161"/>
        <v>0</v>
      </c>
      <c r="AG110" s="1082"/>
    </row>
    <row r="111" spans="1:33" s="665" customFormat="1" ht="40" customHeight="1" x14ac:dyDescent="0.35">
      <c r="A111" s="1113" t="s">
        <v>16</v>
      </c>
      <c r="B111" s="660">
        <f t="shared" si="164"/>
        <v>8</v>
      </c>
      <c r="C111" s="666" t="s">
        <v>1084</v>
      </c>
      <c r="D111" s="662"/>
      <c r="E111" s="662"/>
      <c r="F111" s="663"/>
      <c r="G111" s="663"/>
      <c r="H111" s="662"/>
      <c r="I111" s="662"/>
      <c r="J111" s="662"/>
      <c r="K111" s="662"/>
      <c r="L111" s="662"/>
      <c r="M111" s="662"/>
      <c r="N111" s="662"/>
      <c r="O111" s="662"/>
      <c r="P111" s="662"/>
      <c r="Q111" s="662"/>
      <c r="R111" s="662"/>
      <c r="S111" s="662"/>
      <c r="T111" s="664">
        <f t="shared" si="162"/>
        <v>0</v>
      </c>
      <c r="U111" s="1069">
        <f t="shared" si="157"/>
        <v>0</v>
      </c>
      <c r="V111" s="1069">
        <f>'2018-2022'!E105</f>
        <v>0</v>
      </c>
      <c r="W111" s="1062">
        <f t="shared" si="154"/>
        <v>0</v>
      </c>
      <c r="X111" s="1073">
        <f t="shared" si="165"/>
        <v>0</v>
      </c>
      <c r="Y111" s="1069">
        <f>'2018-2022'!F105</f>
        <v>50000000</v>
      </c>
      <c r="Z111" s="1062">
        <f t="shared" si="163"/>
        <v>50000000</v>
      </c>
      <c r="AA111" s="1076">
        <f t="shared" si="158"/>
        <v>0</v>
      </c>
      <c r="AB111" s="1069">
        <f>'2018-2022'!G105</f>
        <v>0</v>
      </c>
      <c r="AC111" s="1062">
        <f t="shared" si="159"/>
        <v>0</v>
      </c>
      <c r="AD111" s="1076">
        <f t="shared" si="160"/>
        <v>0</v>
      </c>
      <c r="AE111" s="1069">
        <f>'2018-2022'!H105</f>
        <v>0</v>
      </c>
      <c r="AF111" s="1062">
        <f t="shared" si="161"/>
        <v>0</v>
      </c>
      <c r="AG111" s="1082"/>
    </row>
    <row r="112" spans="1:33" s="665" customFormat="1" ht="40" customHeight="1" x14ac:dyDescent="0.35">
      <c r="A112" s="1113" t="s">
        <v>16</v>
      </c>
      <c r="B112" s="660">
        <f t="shared" si="164"/>
        <v>9</v>
      </c>
      <c r="C112" s="666" t="s">
        <v>1085</v>
      </c>
      <c r="D112" s="662"/>
      <c r="E112" s="662"/>
      <c r="F112" s="663"/>
      <c r="G112" s="663"/>
      <c r="H112" s="662"/>
      <c r="I112" s="662"/>
      <c r="J112" s="662"/>
      <c r="K112" s="662"/>
      <c r="L112" s="662"/>
      <c r="M112" s="662"/>
      <c r="N112" s="662"/>
      <c r="O112" s="662"/>
      <c r="P112" s="662"/>
      <c r="Q112" s="662"/>
      <c r="R112" s="662"/>
      <c r="S112" s="662"/>
      <c r="T112" s="664">
        <f t="shared" si="162"/>
        <v>0</v>
      </c>
      <c r="U112" s="1069">
        <f t="shared" si="157"/>
        <v>0</v>
      </c>
      <c r="V112" s="1069">
        <f>'2018-2022'!E106</f>
        <v>0</v>
      </c>
      <c r="W112" s="1062">
        <f t="shared" si="154"/>
        <v>0</v>
      </c>
      <c r="X112" s="1073">
        <f t="shared" si="165"/>
        <v>0</v>
      </c>
      <c r="Y112" s="1069">
        <f>'2018-2022'!F106</f>
        <v>30000000</v>
      </c>
      <c r="Z112" s="1062">
        <f t="shared" si="163"/>
        <v>30000000</v>
      </c>
      <c r="AA112" s="1076">
        <f t="shared" si="158"/>
        <v>0</v>
      </c>
      <c r="AB112" s="1069">
        <f>'2018-2022'!G106</f>
        <v>0</v>
      </c>
      <c r="AC112" s="1062">
        <f t="shared" si="159"/>
        <v>0</v>
      </c>
      <c r="AD112" s="1076">
        <f t="shared" si="160"/>
        <v>0</v>
      </c>
      <c r="AE112" s="1069">
        <f>'2018-2022'!H106</f>
        <v>0</v>
      </c>
      <c r="AF112" s="1062">
        <f t="shared" si="161"/>
        <v>0</v>
      </c>
      <c r="AG112" s="1082"/>
    </row>
    <row r="113" spans="1:33" s="665" customFormat="1" ht="40" customHeight="1" x14ac:dyDescent="0.35">
      <c r="A113" s="1113" t="s">
        <v>16</v>
      </c>
      <c r="B113" s="660">
        <f t="shared" si="164"/>
        <v>10</v>
      </c>
      <c r="C113" s="666" t="s">
        <v>1086</v>
      </c>
      <c r="D113" s="662"/>
      <c r="E113" s="662"/>
      <c r="F113" s="663"/>
      <c r="G113" s="663"/>
      <c r="H113" s="662"/>
      <c r="I113" s="662"/>
      <c r="J113" s="662"/>
      <c r="K113" s="662"/>
      <c r="L113" s="662"/>
      <c r="M113" s="662"/>
      <c r="N113" s="662"/>
      <c r="O113" s="662"/>
      <c r="P113" s="662"/>
      <c r="Q113" s="662"/>
      <c r="R113" s="662"/>
      <c r="S113" s="662"/>
      <c r="T113" s="664">
        <f t="shared" si="162"/>
        <v>0</v>
      </c>
      <c r="U113" s="1069">
        <f t="shared" si="157"/>
        <v>0</v>
      </c>
      <c r="V113" s="1069">
        <f>'2018-2022'!E107</f>
        <v>0</v>
      </c>
      <c r="W113" s="1062">
        <f t="shared" si="154"/>
        <v>0</v>
      </c>
      <c r="X113" s="1073">
        <f t="shared" si="165"/>
        <v>0</v>
      </c>
      <c r="Y113" s="1069">
        <f>'2018-2022'!F107</f>
        <v>0</v>
      </c>
      <c r="Z113" s="1062">
        <f t="shared" si="163"/>
        <v>0</v>
      </c>
      <c r="AA113" s="1076">
        <f t="shared" si="158"/>
        <v>0</v>
      </c>
      <c r="AB113" s="1069">
        <f>'2018-2022'!G107</f>
        <v>50000000</v>
      </c>
      <c r="AC113" s="1062">
        <f t="shared" si="159"/>
        <v>50000000</v>
      </c>
      <c r="AD113" s="1076">
        <f t="shared" si="160"/>
        <v>0</v>
      </c>
      <c r="AE113" s="1069">
        <f>'2018-2022'!H107</f>
        <v>0</v>
      </c>
      <c r="AF113" s="1062">
        <f t="shared" si="161"/>
        <v>0</v>
      </c>
      <c r="AG113" s="1082"/>
    </row>
    <row r="114" spans="1:33" s="665" customFormat="1" ht="40" customHeight="1" x14ac:dyDescent="0.35">
      <c r="A114" s="1113" t="s">
        <v>16</v>
      </c>
      <c r="B114" s="660">
        <f t="shared" si="164"/>
        <v>11</v>
      </c>
      <c r="C114" s="666" t="s">
        <v>1087</v>
      </c>
      <c r="D114" s="662"/>
      <c r="E114" s="662"/>
      <c r="F114" s="663"/>
      <c r="G114" s="663"/>
      <c r="H114" s="662"/>
      <c r="I114" s="662"/>
      <c r="J114" s="662"/>
      <c r="K114" s="662"/>
      <c r="L114" s="662"/>
      <c r="M114" s="662"/>
      <c r="N114" s="662"/>
      <c r="O114" s="662"/>
      <c r="P114" s="662"/>
      <c r="Q114" s="662"/>
      <c r="R114" s="662"/>
      <c r="S114" s="662"/>
      <c r="T114" s="664">
        <f t="shared" si="162"/>
        <v>0</v>
      </c>
      <c r="U114" s="1069">
        <f t="shared" si="157"/>
        <v>0</v>
      </c>
      <c r="V114" s="1069">
        <f>'2018-2022'!E108</f>
        <v>0</v>
      </c>
      <c r="W114" s="1062">
        <f t="shared" si="154"/>
        <v>0</v>
      </c>
      <c r="X114" s="1073">
        <f t="shared" si="165"/>
        <v>0</v>
      </c>
      <c r="Y114" s="1069">
        <f>'2018-2022'!F108</f>
        <v>0</v>
      </c>
      <c r="Z114" s="1062">
        <f t="shared" si="163"/>
        <v>0</v>
      </c>
      <c r="AA114" s="1076">
        <f t="shared" si="158"/>
        <v>0</v>
      </c>
      <c r="AB114" s="1069">
        <f>'2018-2022'!G108</f>
        <v>50000000</v>
      </c>
      <c r="AC114" s="1062">
        <f t="shared" si="159"/>
        <v>50000000</v>
      </c>
      <c r="AD114" s="1076">
        <f t="shared" si="160"/>
        <v>0</v>
      </c>
      <c r="AE114" s="1069">
        <f>'2018-2022'!H108</f>
        <v>0</v>
      </c>
      <c r="AF114" s="1062">
        <f t="shared" si="161"/>
        <v>0</v>
      </c>
      <c r="AG114" s="1082"/>
    </row>
    <row r="115" spans="1:33" s="665" customFormat="1" ht="40" customHeight="1" x14ac:dyDescent="0.35">
      <c r="A115" s="1113" t="s">
        <v>16</v>
      </c>
      <c r="B115" s="660">
        <f t="shared" si="164"/>
        <v>12</v>
      </c>
      <c r="C115" s="666" t="s">
        <v>1088</v>
      </c>
      <c r="D115" s="662"/>
      <c r="E115" s="662"/>
      <c r="F115" s="663"/>
      <c r="G115" s="663"/>
      <c r="H115" s="662"/>
      <c r="I115" s="662"/>
      <c r="J115" s="662"/>
      <c r="K115" s="662"/>
      <c r="L115" s="662"/>
      <c r="M115" s="662"/>
      <c r="N115" s="662"/>
      <c r="O115" s="662"/>
      <c r="P115" s="662"/>
      <c r="Q115" s="662"/>
      <c r="R115" s="662"/>
      <c r="S115" s="662"/>
      <c r="T115" s="664">
        <f t="shared" si="162"/>
        <v>0</v>
      </c>
      <c r="U115" s="1069">
        <f t="shared" si="157"/>
        <v>0</v>
      </c>
      <c r="V115" s="1069">
        <f>'2018-2022'!E109</f>
        <v>0</v>
      </c>
      <c r="W115" s="1062">
        <f t="shared" si="154"/>
        <v>0</v>
      </c>
      <c r="X115" s="1073">
        <f t="shared" si="165"/>
        <v>0</v>
      </c>
      <c r="Y115" s="1069">
        <f>'2018-2022'!F109</f>
        <v>0</v>
      </c>
      <c r="Z115" s="1062">
        <f t="shared" si="163"/>
        <v>0</v>
      </c>
      <c r="AA115" s="1076">
        <f t="shared" si="158"/>
        <v>0</v>
      </c>
      <c r="AB115" s="1069">
        <f>'2018-2022'!G109</f>
        <v>50000000</v>
      </c>
      <c r="AC115" s="1062">
        <f t="shared" si="159"/>
        <v>50000000</v>
      </c>
      <c r="AD115" s="1076">
        <f t="shared" si="160"/>
        <v>0</v>
      </c>
      <c r="AE115" s="1069">
        <f>'2018-2022'!H109</f>
        <v>0</v>
      </c>
      <c r="AF115" s="1062">
        <f t="shared" si="161"/>
        <v>0</v>
      </c>
      <c r="AG115" s="1082"/>
    </row>
    <row r="116" spans="1:33" s="665" customFormat="1" ht="40" customHeight="1" x14ac:dyDescent="0.35">
      <c r="A116" s="1113" t="s">
        <v>16</v>
      </c>
      <c r="B116" s="660">
        <f t="shared" si="164"/>
        <v>13</v>
      </c>
      <c r="C116" s="666" t="s">
        <v>1089</v>
      </c>
      <c r="D116" s="662"/>
      <c r="E116" s="662"/>
      <c r="F116" s="663"/>
      <c r="G116" s="663"/>
      <c r="H116" s="662"/>
      <c r="I116" s="662"/>
      <c r="J116" s="662"/>
      <c r="K116" s="662"/>
      <c r="L116" s="662"/>
      <c r="M116" s="662"/>
      <c r="N116" s="662"/>
      <c r="O116" s="662"/>
      <c r="P116" s="662"/>
      <c r="Q116" s="662"/>
      <c r="R116" s="662"/>
      <c r="S116" s="662"/>
      <c r="T116" s="664">
        <f t="shared" si="162"/>
        <v>0</v>
      </c>
      <c r="U116" s="1069">
        <f t="shared" si="157"/>
        <v>0</v>
      </c>
      <c r="V116" s="1069">
        <f>'2018-2022'!E110</f>
        <v>0</v>
      </c>
      <c r="W116" s="1062">
        <f t="shared" si="154"/>
        <v>0</v>
      </c>
      <c r="X116" s="1073">
        <f t="shared" si="165"/>
        <v>0</v>
      </c>
      <c r="Y116" s="1069">
        <f>'2018-2022'!F110</f>
        <v>0</v>
      </c>
      <c r="Z116" s="1062">
        <f t="shared" si="163"/>
        <v>0</v>
      </c>
      <c r="AA116" s="1076">
        <f t="shared" si="158"/>
        <v>0</v>
      </c>
      <c r="AB116" s="1069">
        <f>'2018-2022'!G110</f>
        <v>100000000</v>
      </c>
      <c r="AC116" s="1062">
        <f t="shared" si="159"/>
        <v>100000000</v>
      </c>
      <c r="AD116" s="1076">
        <f t="shared" si="160"/>
        <v>0</v>
      </c>
      <c r="AE116" s="1069">
        <f>'2018-2022'!H110</f>
        <v>0</v>
      </c>
      <c r="AF116" s="1062">
        <f t="shared" si="161"/>
        <v>0</v>
      </c>
      <c r="AG116" s="1082"/>
    </row>
    <row r="117" spans="1:33" s="665" customFormat="1" ht="40" customHeight="1" x14ac:dyDescent="0.35">
      <c r="A117" s="1113" t="s">
        <v>16</v>
      </c>
      <c r="B117" s="660">
        <f t="shared" si="164"/>
        <v>14</v>
      </c>
      <c r="C117" s="666" t="s">
        <v>1090</v>
      </c>
      <c r="D117" s="662"/>
      <c r="E117" s="662"/>
      <c r="F117" s="663"/>
      <c r="G117" s="663"/>
      <c r="H117" s="662"/>
      <c r="I117" s="662"/>
      <c r="J117" s="662"/>
      <c r="K117" s="662"/>
      <c r="L117" s="662"/>
      <c r="M117" s="662"/>
      <c r="N117" s="662"/>
      <c r="O117" s="662"/>
      <c r="P117" s="662"/>
      <c r="Q117" s="662"/>
      <c r="R117" s="662"/>
      <c r="S117" s="662"/>
      <c r="T117" s="664">
        <f t="shared" si="162"/>
        <v>0</v>
      </c>
      <c r="U117" s="1069">
        <f>IF(T117=0,0,MIN(F117-T117,F117/G117*12))</f>
        <v>0</v>
      </c>
      <c r="V117" s="1069">
        <f>'2018-2022'!E111</f>
        <v>0</v>
      </c>
      <c r="W117" s="1062">
        <f t="shared" si="154"/>
        <v>0</v>
      </c>
      <c r="X117" s="1073">
        <f t="shared" si="165"/>
        <v>0</v>
      </c>
      <c r="Y117" s="1069">
        <f>'2018-2022'!F111</f>
        <v>0</v>
      </c>
      <c r="Z117" s="1062">
        <f t="shared" si="163"/>
        <v>0</v>
      </c>
      <c r="AA117" s="1076">
        <f t="shared" si="158"/>
        <v>0</v>
      </c>
      <c r="AB117" s="1069">
        <f>'2018-2022'!G111</f>
        <v>100000000</v>
      </c>
      <c r="AC117" s="1062">
        <f t="shared" si="159"/>
        <v>100000000</v>
      </c>
      <c r="AD117" s="1076">
        <f t="shared" si="160"/>
        <v>0</v>
      </c>
      <c r="AE117" s="1069">
        <f>'2018-2022'!H111</f>
        <v>0</v>
      </c>
      <c r="AF117" s="1062">
        <f t="shared" si="161"/>
        <v>0</v>
      </c>
      <c r="AG117" s="1082"/>
    </row>
    <row r="118" spans="1:33" s="665" customFormat="1" ht="40" customHeight="1" x14ac:dyDescent="0.35">
      <c r="A118" s="1116" t="s">
        <v>609</v>
      </c>
      <c r="B118" s="1099"/>
      <c r="C118" s="1100" t="s">
        <v>592</v>
      </c>
      <c r="D118" s="1101"/>
      <c r="E118" s="1101"/>
      <c r="F118" s="1101">
        <f>SUBTOTAL(9,F103:F117)</f>
        <v>22000000</v>
      </c>
      <c r="G118" s="1101"/>
      <c r="H118" s="1101">
        <f>SUBTOTAL(9,H103:H117)</f>
        <v>1833333.3333333335</v>
      </c>
      <c r="I118" s="1101">
        <f t="shared" ref="I118:AG118" si="166">SUBTOTAL(9,I103:I117)</f>
        <v>1833333.3333333335</v>
      </c>
      <c r="J118" s="1101">
        <f t="shared" si="166"/>
        <v>1833333.3333333335</v>
      </c>
      <c r="K118" s="1101">
        <f t="shared" si="166"/>
        <v>1833333.3333333335</v>
      </c>
      <c r="L118" s="1101">
        <f t="shared" si="166"/>
        <v>1833333.3333333335</v>
      </c>
      <c r="M118" s="1101">
        <f t="shared" si="166"/>
        <v>1833333.3333333335</v>
      </c>
      <c r="N118" s="1101">
        <f t="shared" si="166"/>
        <v>1833333.3333333335</v>
      </c>
      <c r="O118" s="1101">
        <f t="shared" si="166"/>
        <v>1833333.3333333335</v>
      </c>
      <c r="P118" s="1101">
        <f t="shared" si="166"/>
        <v>1833333.3333333335</v>
      </c>
      <c r="Q118" s="1101">
        <f t="shared" si="166"/>
        <v>1833333.3333333335</v>
      </c>
      <c r="R118" s="1101">
        <f t="shared" si="166"/>
        <v>1833333.3333333335</v>
      </c>
      <c r="S118" s="1101">
        <f t="shared" si="166"/>
        <v>1833333.3333333335</v>
      </c>
      <c r="T118" s="1101">
        <f t="shared" si="166"/>
        <v>22000000</v>
      </c>
      <c r="U118" s="1102">
        <f t="shared" ref="U118:AF118" si="167">SUBTOTAL(9,U103:U117)</f>
        <v>0</v>
      </c>
      <c r="V118" s="1102">
        <f t="shared" si="167"/>
        <v>82000000</v>
      </c>
      <c r="W118" s="1101">
        <f t="shared" si="167"/>
        <v>82000000</v>
      </c>
      <c r="X118" s="1102">
        <f t="shared" si="167"/>
        <v>0</v>
      </c>
      <c r="Y118" s="1102">
        <f t="shared" si="167"/>
        <v>202000000</v>
      </c>
      <c r="Z118" s="1101">
        <f t="shared" si="167"/>
        <v>202000000</v>
      </c>
      <c r="AA118" s="1102">
        <f t="shared" si="167"/>
        <v>0</v>
      </c>
      <c r="AB118" s="1102">
        <f t="shared" si="167"/>
        <v>372000000</v>
      </c>
      <c r="AC118" s="1101">
        <f t="shared" si="167"/>
        <v>372000000</v>
      </c>
      <c r="AD118" s="1102">
        <f t="shared" si="167"/>
        <v>0</v>
      </c>
      <c r="AE118" s="1102">
        <f t="shared" si="167"/>
        <v>22000000</v>
      </c>
      <c r="AF118" s="1101">
        <f t="shared" si="167"/>
        <v>22000000</v>
      </c>
      <c r="AG118" s="1103">
        <f t="shared" si="166"/>
        <v>0</v>
      </c>
    </row>
    <row r="119" spans="1:33" s="665" customFormat="1" ht="40" customHeight="1" x14ac:dyDescent="0.35">
      <c r="A119" s="1112" t="s">
        <v>26</v>
      </c>
      <c r="B119" s="1056" t="s">
        <v>26</v>
      </c>
      <c r="C119" s="1104" t="s">
        <v>581</v>
      </c>
      <c r="D119" s="1058"/>
      <c r="E119" s="1058"/>
      <c r="F119" s="1059"/>
      <c r="G119" s="1059"/>
      <c r="H119" s="1058"/>
      <c r="I119" s="1058"/>
      <c r="J119" s="1058"/>
      <c r="K119" s="1058"/>
      <c r="L119" s="1058"/>
      <c r="M119" s="1058"/>
      <c r="N119" s="1058"/>
      <c r="O119" s="1058"/>
      <c r="P119" s="1058"/>
      <c r="Q119" s="1058"/>
      <c r="R119" s="1058"/>
      <c r="S119" s="1058"/>
      <c r="T119" s="1060"/>
      <c r="U119" s="1068"/>
      <c r="V119" s="1068"/>
      <c r="W119" s="1061"/>
      <c r="X119" s="1072"/>
      <c r="Y119" s="1068"/>
      <c r="Z119" s="1061"/>
      <c r="AA119" s="1075"/>
      <c r="AB119" s="1068"/>
      <c r="AC119" s="1061"/>
      <c r="AD119" s="1075"/>
      <c r="AE119" s="1068"/>
      <c r="AF119" s="1061"/>
      <c r="AG119" s="1081"/>
    </row>
    <row r="120" spans="1:33" s="665" customFormat="1" ht="40" customHeight="1" x14ac:dyDescent="0.35">
      <c r="A120" s="1113" t="s">
        <v>26</v>
      </c>
      <c r="B120" s="660">
        <v>1</v>
      </c>
      <c r="C120" s="666" t="s">
        <v>501</v>
      </c>
      <c r="D120" s="662"/>
      <c r="E120" s="662"/>
      <c r="F120" s="663">
        <f>'2018-2022'!D113</f>
        <v>6000000</v>
      </c>
      <c r="G120" s="663">
        <v>12</v>
      </c>
      <c r="H120" s="662">
        <f>F120/G120</f>
        <v>500000</v>
      </c>
      <c r="I120" s="662">
        <f>H120</f>
        <v>500000</v>
      </c>
      <c r="J120" s="662">
        <f t="shared" ref="J120:S120" si="168">I120</f>
        <v>500000</v>
      </c>
      <c r="K120" s="662">
        <f t="shared" si="168"/>
        <v>500000</v>
      </c>
      <c r="L120" s="662">
        <f t="shared" si="168"/>
        <v>500000</v>
      </c>
      <c r="M120" s="662">
        <f t="shared" si="168"/>
        <v>500000</v>
      </c>
      <c r="N120" s="662">
        <f t="shared" si="168"/>
        <v>500000</v>
      </c>
      <c r="O120" s="662">
        <f t="shared" si="168"/>
        <v>500000</v>
      </c>
      <c r="P120" s="662">
        <f t="shared" si="168"/>
        <v>500000</v>
      </c>
      <c r="Q120" s="662">
        <f t="shared" si="168"/>
        <v>500000</v>
      </c>
      <c r="R120" s="662">
        <f t="shared" si="168"/>
        <v>500000</v>
      </c>
      <c r="S120" s="662">
        <f t="shared" si="168"/>
        <v>500000</v>
      </c>
      <c r="T120" s="664">
        <f t="shared" ref="T120" si="169">SUM(H120:S120)</f>
        <v>6000000</v>
      </c>
      <c r="U120" s="1069">
        <f>MIN(F120-T120,F120/G120*12)</f>
        <v>0</v>
      </c>
      <c r="V120" s="1069">
        <f>'2018-2022'!E113</f>
        <v>6000000</v>
      </c>
      <c r="W120" s="1062">
        <f>U120+V120</f>
        <v>6000000</v>
      </c>
      <c r="X120" s="1073">
        <f>MIN(F120-T120-U120,F120/G120*12)</f>
        <v>0</v>
      </c>
      <c r="Y120" s="1069">
        <f>'2018-2022'!F113</f>
        <v>6000000</v>
      </c>
      <c r="Z120" s="1062">
        <f>X120+Y120</f>
        <v>6000000</v>
      </c>
      <c r="AA120" s="1076">
        <f>MIN(F120-T120-U120-X120,F120/G120*12)</f>
        <v>0</v>
      </c>
      <c r="AB120" s="1069">
        <f>'2018-2022'!G113</f>
        <v>6000000</v>
      </c>
      <c r="AC120" s="1062">
        <f>AA120+AB120</f>
        <v>6000000</v>
      </c>
      <c r="AD120" s="1076">
        <f>F120-T120-U120-X120-AA120</f>
        <v>0</v>
      </c>
      <c r="AE120" s="1069">
        <f>'2018-2022'!H113</f>
        <v>6000000</v>
      </c>
      <c r="AF120" s="1062">
        <f>AD120+AE120</f>
        <v>6000000</v>
      </c>
      <c r="AG120" s="1082" t="str">
        <f>'2018-2022'!I113</f>
        <v xml:space="preserve">Around 60 sets, most of them needs to be replaced in the year 2017. </v>
      </c>
    </row>
    <row r="121" spans="1:33" s="665" customFormat="1" ht="40" customHeight="1" x14ac:dyDescent="0.35">
      <c r="A121" s="1113" t="s">
        <v>26</v>
      </c>
      <c r="B121" s="660" t="s">
        <v>251</v>
      </c>
      <c r="C121" s="666" t="s">
        <v>502</v>
      </c>
      <c r="D121" s="662"/>
      <c r="E121" s="662"/>
      <c r="F121" s="663">
        <f>'2018-2022'!D114</f>
        <v>28000000</v>
      </c>
      <c r="G121" s="663">
        <v>12</v>
      </c>
      <c r="H121" s="662">
        <f>F121/G121</f>
        <v>2333333.3333333335</v>
      </c>
      <c r="I121" s="662">
        <f>H121</f>
        <v>2333333.3333333335</v>
      </c>
      <c r="J121" s="662">
        <f t="shared" ref="J121:S121" si="170">I121</f>
        <v>2333333.3333333335</v>
      </c>
      <c r="K121" s="662">
        <f t="shared" si="170"/>
        <v>2333333.3333333335</v>
      </c>
      <c r="L121" s="662">
        <f t="shared" si="170"/>
        <v>2333333.3333333335</v>
      </c>
      <c r="M121" s="662">
        <f t="shared" si="170"/>
        <v>2333333.3333333335</v>
      </c>
      <c r="N121" s="662">
        <f t="shared" si="170"/>
        <v>2333333.3333333335</v>
      </c>
      <c r="O121" s="662">
        <f t="shared" si="170"/>
        <v>2333333.3333333335</v>
      </c>
      <c r="P121" s="662">
        <f t="shared" si="170"/>
        <v>2333333.3333333335</v>
      </c>
      <c r="Q121" s="662">
        <f t="shared" si="170"/>
        <v>2333333.3333333335</v>
      </c>
      <c r="R121" s="662">
        <f t="shared" si="170"/>
        <v>2333333.3333333335</v>
      </c>
      <c r="S121" s="662">
        <f t="shared" si="170"/>
        <v>2333333.3333333335</v>
      </c>
      <c r="T121" s="664">
        <f t="shared" ref="T121:T123" si="171">SUM(H121:S121)</f>
        <v>27999999.999999996</v>
      </c>
      <c r="U121" s="1069">
        <f t="shared" ref="U121:U123" si="172">MIN(F121-T121,F121/G121*12)</f>
        <v>3.7252902984619141E-9</v>
      </c>
      <c r="V121" s="1069">
        <f>'2018-2022'!E114</f>
        <v>28000000</v>
      </c>
      <c r="W121" s="1062">
        <f>U121+V121</f>
        <v>28000000.000000004</v>
      </c>
      <c r="X121" s="1073">
        <f>MIN(F121-T121-U121,F121/G121*12)</f>
        <v>0</v>
      </c>
      <c r="Y121" s="1069">
        <f>'2018-2022'!F114</f>
        <v>28000000</v>
      </c>
      <c r="Z121" s="1062">
        <f>X121+Y121</f>
        <v>28000000</v>
      </c>
      <c r="AA121" s="1076">
        <f>MIN(F121-T121-U121-X121,F121/G121*12)</f>
        <v>0</v>
      </c>
      <c r="AB121" s="1069">
        <f>'2018-2022'!G114</f>
        <v>28000000</v>
      </c>
      <c r="AC121" s="1062">
        <f>AA121+AB121</f>
        <v>28000000</v>
      </c>
      <c r="AD121" s="1076">
        <f>F121-T121-U121-X121-AA121</f>
        <v>0</v>
      </c>
      <c r="AE121" s="1069">
        <f>'2018-2022'!H114</f>
        <v>28000000</v>
      </c>
      <c r="AF121" s="1062">
        <f>AD121+AE121</f>
        <v>28000000</v>
      </c>
      <c r="AG121" s="1082" t="str">
        <f>'2018-2022'!I114</f>
        <v xml:space="preserve">Plans to replace 280 Rechargeable batteries in the year 2018. </v>
      </c>
    </row>
    <row r="122" spans="1:33" s="665" customFormat="1" ht="40" customHeight="1" x14ac:dyDescent="0.35">
      <c r="A122" s="1113" t="s">
        <v>26</v>
      </c>
      <c r="B122" s="660">
        <v>3</v>
      </c>
      <c r="C122" s="666" t="s">
        <v>503</v>
      </c>
      <c r="D122" s="662"/>
      <c r="E122" s="662"/>
      <c r="F122" s="663">
        <f>'2018-2022'!D115</f>
        <v>150000000</v>
      </c>
      <c r="G122" s="663">
        <f>12*3</f>
        <v>36</v>
      </c>
      <c r="H122" s="662">
        <f>F122/G122</f>
        <v>4166666.6666666665</v>
      </c>
      <c r="I122" s="662">
        <f>H122</f>
        <v>4166666.6666666665</v>
      </c>
      <c r="J122" s="662">
        <f t="shared" ref="J122:S122" si="173">I122</f>
        <v>4166666.6666666665</v>
      </c>
      <c r="K122" s="662">
        <f t="shared" si="173"/>
        <v>4166666.6666666665</v>
      </c>
      <c r="L122" s="662">
        <f t="shared" si="173"/>
        <v>4166666.6666666665</v>
      </c>
      <c r="M122" s="662">
        <f t="shared" si="173"/>
        <v>4166666.6666666665</v>
      </c>
      <c r="N122" s="662">
        <f t="shared" si="173"/>
        <v>4166666.6666666665</v>
      </c>
      <c r="O122" s="662">
        <f t="shared" si="173"/>
        <v>4166666.6666666665</v>
      </c>
      <c r="P122" s="662">
        <f t="shared" si="173"/>
        <v>4166666.6666666665</v>
      </c>
      <c r="Q122" s="662">
        <f t="shared" si="173"/>
        <v>4166666.6666666665</v>
      </c>
      <c r="R122" s="662">
        <f t="shared" si="173"/>
        <v>4166666.6666666665</v>
      </c>
      <c r="S122" s="662">
        <f t="shared" si="173"/>
        <v>4166666.6666666665</v>
      </c>
      <c r="T122" s="664">
        <f t="shared" si="171"/>
        <v>49999999.999999993</v>
      </c>
      <c r="U122" s="1069">
        <f t="shared" si="172"/>
        <v>50000000</v>
      </c>
      <c r="V122" s="1069">
        <f>'2018-2022'!E115</f>
        <v>0</v>
      </c>
      <c r="W122" s="1062">
        <f>U122+V122</f>
        <v>50000000</v>
      </c>
      <c r="X122" s="1073">
        <f>MIN(F122-T122-U122,F122/G122*12)</f>
        <v>50000000</v>
      </c>
      <c r="Y122" s="1069">
        <f>'2018-2022'!F115</f>
        <v>0</v>
      </c>
      <c r="Z122" s="1062">
        <f>X122+Y122</f>
        <v>50000000</v>
      </c>
      <c r="AA122" s="1076">
        <f>MIN(F122-T122-U122-X122,F122/G122*12)</f>
        <v>0</v>
      </c>
      <c r="AB122" s="1069">
        <f>'2018-2022'!G115</f>
        <v>0</v>
      </c>
      <c r="AC122" s="1062">
        <f>AA122+AB122</f>
        <v>0</v>
      </c>
      <c r="AD122" s="1076">
        <f>F122-T122-U122-X122-AA122</f>
        <v>0</v>
      </c>
      <c r="AE122" s="1069">
        <f>'2018-2022'!H115</f>
        <v>150000000</v>
      </c>
      <c r="AF122" s="1062">
        <f>AD122+AE122</f>
        <v>150000000</v>
      </c>
      <c r="AG122" s="1082" t="str">
        <f>'2018-2022'!I115</f>
        <v>Around 300 sets . Most of them need to be replaced rechargeable batteries and lamp-bulbs</v>
      </c>
    </row>
    <row r="123" spans="1:33" s="665" customFormat="1" ht="40" customHeight="1" x14ac:dyDescent="0.35">
      <c r="A123" s="1115" t="s">
        <v>26</v>
      </c>
      <c r="B123" s="1089" t="s">
        <v>439</v>
      </c>
      <c r="C123" s="1090" t="s">
        <v>256</v>
      </c>
      <c r="D123" s="1091"/>
      <c r="E123" s="1091"/>
      <c r="F123" s="1092">
        <f>'2018-2022'!D116</f>
        <v>5000000</v>
      </c>
      <c r="G123" s="1092">
        <v>12</v>
      </c>
      <c r="H123" s="1091">
        <f>F123/G123</f>
        <v>416666.66666666669</v>
      </c>
      <c r="I123" s="1091">
        <f>H123</f>
        <v>416666.66666666669</v>
      </c>
      <c r="J123" s="1091">
        <f t="shared" ref="J123:S123" si="174">I123</f>
        <v>416666.66666666669</v>
      </c>
      <c r="K123" s="1091">
        <f t="shared" si="174"/>
        <v>416666.66666666669</v>
      </c>
      <c r="L123" s="1091">
        <f t="shared" si="174"/>
        <v>416666.66666666669</v>
      </c>
      <c r="M123" s="1091">
        <f t="shared" si="174"/>
        <v>416666.66666666669</v>
      </c>
      <c r="N123" s="1091">
        <f t="shared" si="174"/>
        <v>416666.66666666669</v>
      </c>
      <c r="O123" s="1091">
        <f t="shared" si="174"/>
        <v>416666.66666666669</v>
      </c>
      <c r="P123" s="1091">
        <f t="shared" si="174"/>
        <v>416666.66666666669</v>
      </c>
      <c r="Q123" s="1091">
        <f t="shared" si="174"/>
        <v>416666.66666666669</v>
      </c>
      <c r="R123" s="1091">
        <f t="shared" si="174"/>
        <v>416666.66666666669</v>
      </c>
      <c r="S123" s="1091">
        <f t="shared" si="174"/>
        <v>416666.66666666669</v>
      </c>
      <c r="T123" s="1093">
        <f t="shared" si="171"/>
        <v>5000000</v>
      </c>
      <c r="U123" s="1094">
        <f t="shared" si="172"/>
        <v>0</v>
      </c>
      <c r="V123" s="1094">
        <f>'2018-2022'!E116</f>
        <v>5000000</v>
      </c>
      <c r="W123" s="1095">
        <f>U123+V123</f>
        <v>5000000</v>
      </c>
      <c r="X123" s="1096">
        <f>MIN(F123-T123-U123,F123/G123*12)</f>
        <v>0</v>
      </c>
      <c r="Y123" s="1094">
        <f>'2018-2022'!F116</f>
        <v>5000000</v>
      </c>
      <c r="Z123" s="1095">
        <f>X123+Y123</f>
        <v>5000000</v>
      </c>
      <c r="AA123" s="1097">
        <f>MIN(F123-T123-U123-X123,F123/G123*12)</f>
        <v>0</v>
      </c>
      <c r="AB123" s="1094">
        <f>'2018-2022'!G116</f>
        <v>5000000</v>
      </c>
      <c r="AC123" s="1095">
        <f>AA123+AB123</f>
        <v>5000000</v>
      </c>
      <c r="AD123" s="1097">
        <f>F123-T123-U123-X123-AA123</f>
        <v>0</v>
      </c>
      <c r="AE123" s="1094">
        <f>'2018-2022'!H116</f>
        <v>5000000</v>
      </c>
      <c r="AF123" s="1095">
        <f>AD123+AE123</f>
        <v>5000000</v>
      </c>
      <c r="AG123" s="1098">
        <f>'2018-2022'!I116</f>
        <v>0</v>
      </c>
    </row>
    <row r="124" spans="1:33" s="665" customFormat="1" ht="40" customHeight="1" x14ac:dyDescent="0.35">
      <c r="A124" s="1116" t="s">
        <v>610</v>
      </c>
      <c r="B124" s="1099"/>
      <c r="C124" s="1100" t="s">
        <v>581</v>
      </c>
      <c r="D124" s="1105"/>
      <c r="E124" s="1105"/>
      <c r="F124" s="1101">
        <f t="shared" ref="F124:AD124" si="175">SUBTOTAL(9,F119:F123)</f>
        <v>189000000</v>
      </c>
      <c r="G124" s="1101"/>
      <c r="H124" s="1105">
        <f t="shared" si="175"/>
        <v>7416666.666666667</v>
      </c>
      <c r="I124" s="1105">
        <f t="shared" si="175"/>
        <v>7416666.666666667</v>
      </c>
      <c r="J124" s="1105">
        <f t="shared" si="175"/>
        <v>7416666.666666667</v>
      </c>
      <c r="K124" s="1105">
        <f t="shared" si="175"/>
        <v>7416666.666666667</v>
      </c>
      <c r="L124" s="1105">
        <f t="shared" si="175"/>
        <v>7416666.666666667</v>
      </c>
      <c r="M124" s="1105">
        <f t="shared" si="175"/>
        <v>7416666.666666667</v>
      </c>
      <c r="N124" s="1105">
        <f t="shared" si="175"/>
        <v>7416666.666666667</v>
      </c>
      <c r="O124" s="1105">
        <f t="shared" si="175"/>
        <v>7416666.666666667</v>
      </c>
      <c r="P124" s="1105">
        <f t="shared" si="175"/>
        <v>7416666.666666667</v>
      </c>
      <c r="Q124" s="1105">
        <f t="shared" si="175"/>
        <v>7416666.666666667</v>
      </c>
      <c r="R124" s="1105">
        <f t="shared" si="175"/>
        <v>7416666.666666667</v>
      </c>
      <c r="S124" s="1105">
        <f t="shared" si="175"/>
        <v>7416666.666666667</v>
      </c>
      <c r="T124" s="1101">
        <f t="shared" si="175"/>
        <v>89000000</v>
      </c>
      <c r="U124" s="1102">
        <f t="shared" si="175"/>
        <v>50000000</v>
      </c>
      <c r="V124" s="1102">
        <f>SUBTOTAL(9,V119:V123)</f>
        <v>39000000</v>
      </c>
      <c r="W124" s="1101">
        <f t="shared" si="175"/>
        <v>89000000</v>
      </c>
      <c r="X124" s="1102">
        <f t="shared" si="175"/>
        <v>50000000</v>
      </c>
      <c r="Y124" s="1102">
        <f>SUBTOTAL(9,Y119:Y123)</f>
        <v>39000000</v>
      </c>
      <c r="Z124" s="1101">
        <f t="shared" ref="Z124" si="176">SUBTOTAL(9,Z119:Z123)</f>
        <v>89000000</v>
      </c>
      <c r="AA124" s="1102">
        <f t="shared" si="175"/>
        <v>0</v>
      </c>
      <c r="AB124" s="1102">
        <f>SUBTOTAL(9,AB119:AB123)</f>
        <v>39000000</v>
      </c>
      <c r="AC124" s="1101">
        <f t="shared" ref="AC124" si="177">SUBTOTAL(9,AC119:AC123)</f>
        <v>39000000</v>
      </c>
      <c r="AD124" s="1102">
        <f t="shared" si="175"/>
        <v>0</v>
      </c>
      <c r="AE124" s="1102">
        <f>SUBTOTAL(9,AE119:AE123)</f>
        <v>189000000</v>
      </c>
      <c r="AF124" s="1101">
        <f t="shared" ref="AF124" si="178">SUBTOTAL(9,AF119:AF123)</f>
        <v>189000000</v>
      </c>
      <c r="AG124" s="1103">
        <f>SUBTOTAL(9,AG119:AG123)</f>
        <v>0</v>
      </c>
    </row>
    <row r="125" spans="1:33" s="665" customFormat="1" ht="40" customHeight="1" x14ac:dyDescent="0.35">
      <c r="A125" s="1112" t="s">
        <v>24</v>
      </c>
      <c r="B125" s="1056" t="s">
        <v>24</v>
      </c>
      <c r="C125" s="1104" t="s">
        <v>583</v>
      </c>
      <c r="D125" s="1058"/>
      <c r="E125" s="1058"/>
      <c r="F125" s="1059"/>
      <c r="G125" s="1059"/>
      <c r="H125" s="1058"/>
      <c r="I125" s="1058"/>
      <c r="J125" s="1058"/>
      <c r="K125" s="1058"/>
      <c r="L125" s="1058"/>
      <c r="M125" s="1058"/>
      <c r="N125" s="1058"/>
      <c r="O125" s="1058"/>
      <c r="P125" s="1058"/>
      <c r="Q125" s="1058"/>
      <c r="R125" s="1058"/>
      <c r="S125" s="1058"/>
      <c r="T125" s="1060"/>
      <c r="U125" s="1068"/>
      <c r="V125" s="1068"/>
      <c r="W125" s="1061"/>
      <c r="X125" s="1072"/>
      <c r="Y125" s="1068"/>
      <c r="Z125" s="1061"/>
      <c r="AA125" s="1075"/>
      <c r="AB125" s="1068"/>
      <c r="AC125" s="1061"/>
      <c r="AD125" s="1075"/>
      <c r="AE125" s="1068"/>
      <c r="AF125" s="1061"/>
      <c r="AG125" s="1081"/>
    </row>
    <row r="126" spans="1:33" s="665" customFormat="1" ht="40" customHeight="1" x14ac:dyDescent="0.35">
      <c r="A126" s="1113" t="s">
        <v>24</v>
      </c>
      <c r="B126" s="660">
        <v>1</v>
      </c>
      <c r="C126" s="666" t="s">
        <v>505</v>
      </c>
      <c r="D126" s="662"/>
      <c r="E126" s="662"/>
      <c r="F126" s="663">
        <f>'2018-2022'!D118</f>
        <v>10000000</v>
      </c>
      <c r="G126" s="663">
        <v>12</v>
      </c>
      <c r="H126" s="662">
        <f>F126/G126</f>
        <v>833333.33333333337</v>
      </c>
      <c r="I126" s="662">
        <f>H126</f>
        <v>833333.33333333337</v>
      </c>
      <c r="J126" s="662">
        <f t="shared" ref="J126:S126" si="179">I126</f>
        <v>833333.33333333337</v>
      </c>
      <c r="K126" s="662">
        <f t="shared" si="179"/>
        <v>833333.33333333337</v>
      </c>
      <c r="L126" s="662">
        <f t="shared" si="179"/>
        <v>833333.33333333337</v>
      </c>
      <c r="M126" s="662">
        <f t="shared" si="179"/>
        <v>833333.33333333337</v>
      </c>
      <c r="N126" s="662">
        <f t="shared" si="179"/>
        <v>833333.33333333337</v>
      </c>
      <c r="O126" s="662">
        <f t="shared" si="179"/>
        <v>833333.33333333337</v>
      </c>
      <c r="P126" s="662">
        <f t="shared" si="179"/>
        <v>833333.33333333337</v>
      </c>
      <c r="Q126" s="662">
        <f t="shared" si="179"/>
        <v>833333.33333333337</v>
      </c>
      <c r="R126" s="662">
        <f t="shared" si="179"/>
        <v>833333.33333333337</v>
      </c>
      <c r="S126" s="662">
        <f t="shared" si="179"/>
        <v>833333.33333333337</v>
      </c>
      <c r="T126" s="664">
        <f t="shared" ref="T126" si="180">SUM(H126:S126)</f>
        <v>10000000</v>
      </c>
      <c r="U126" s="1069">
        <f t="shared" ref="U126:U127" si="181">MIN(F126-T126,F126/G126*12)</f>
        <v>0</v>
      </c>
      <c r="V126" s="1069">
        <f>'2018-2022'!E118</f>
        <v>10000000</v>
      </c>
      <c r="W126" s="1062">
        <f>U126+V126</f>
        <v>10000000</v>
      </c>
      <c r="X126" s="1073">
        <f>MIN(F126-T126-U126,F126/G126*12)</f>
        <v>0</v>
      </c>
      <c r="Y126" s="1069">
        <f>'2018-2022'!F118</f>
        <v>10000000</v>
      </c>
      <c r="Z126" s="1062">
        <f>X126+Y126</f>
        <v>10000000</v>
      </c>
      <c r="AA126" s="1076">
        <f>MIN(F126-T126-U126-X126,F126/G126*12)</f>
        <v>0</v>
      </c>
      <c r="AB126" s="1069">
        <f>'2018-2022'!G118</f>
        <v>10000000</v>
      </c>
      <c r="AC126" s="1062">
        <f>AA126+AB126</f>
        <v>10000000</v>
      </c>
      <c r="AD126" s="1076">
        <f>F126-T126-U126-X126-AA126</f>
        <v>0</v>
      </c>
      <c r="AE126" s="1069">
        <f>'2018-2022'!H118</f>
        <v>10000000</v>
      </c>
      <c r="AF126" s="1062">
        <f>AD126+AE126</f>
        <v>10000000</v>
      </c>
      <c r="AG126" s="1082" t="str">
        <f>'2018-2022'!I118</f>
        <v>replacement for loss or broken</v>
      </c>
    </row>
    <row r="127" spans="1:33" s="665" customFormat="1" ht="40" customHeight="1" x14ac:dyDescent="0.35">
      <c r="A127" s="1115" t="s">
        <v>24</v>
      </c>
      <c r="B127" s="1089">
        <v>2</v>
      </c>
      <c r="C127" s="1090" t="s">
        <v>644</v>
      </c>
      <c r="D127" s="1091"/>
      <c r="E127" s="1091"/>
      <c r="F127" s="1092">
        <f>'2018-2022'!D119</f>
        <v>2000000</v>
      </c>
      <c r="G127" s="1092">
        <v>12</v>
      </c>
      <c r="H127" s="1091">
        <f>F127/G127</f>
        <v>166666.66666666666</v>
      </c>
      <c r="I127" s="1091">
        <f>H127</f>
        <v>166666.66666666666</v>
      </c>
      <c r="J127" s="1091">
        <f t="shared" ref="J127:S127" si="182">I127</f>
        <v>166666.66666666666</v>
      </c>
      <c r="K127" s="1091">
        <f t="shared" si="182"/>
        <v>166666.66666666666</v>
      </c>
      <c r="L127" s="1091">
        <f t="shared" si="182"/>
        <v>166666.66666666666</v>
      </c>
      <c r="M127" s="1091">
        <f t="shared" si="182"/>
        <v>166666.66666666666</v>
      </c>
      <c r="N127" s="1091">
        <f t="shared" si="182"/>
        <v>166666.66666666666</v>
      </c>
      <c r="O127" s="1091">
        <f t="shared" si="182"/>
        <v>166666.66666666666</v>
      </c>
      <c r="P127" s="1091">
        <f t="shared" si="182"/>
        <v>166666.66666666666</v>
      </c>
      <c r="Q127" s="1091">
        <f t="shared" si="182"/>
        <v>166666.66666666666</v>
      </c>
      <c r="R127" s="1091">
        <f t="shared" si="182"/>
        <v>166666.66666666666</v>
      </c>
      <c r="S127" s="1091">
        <f t="shared" si="182"/>
        <v>166666.66666666666</v>
      </c>
      <c r="T127" s="1093">
        <f t="shared" ref="T127" si="183">SUM(H127:S127)</f>
        <v>2000000.0000000002</v>
      </c>
      <c r="U127" s="1094">
        <f t="shared" si="181"/>
        <v>-2.3283064365386963E-10</v>
      </c>
      <c r="V127" s="1094">
        <f>'2018-2022'!E119</f>
        <v>2000000</v>
      </c>
      <c r="W127" s="1095">
        <f>U127+V127</f>
        <v>1999999.9999999998</v>
      </c>
      <c r="X127" s="1096">
        <f>MIN(F127-T127-U127,F127/G127*12)</f>
        <v>0</v>
      </c>
      <c r="Y127" s="1094">
        <f>'2018-2022'!F119</f>
        <v>2000000</v>
      </c>
      <c r="Z127" s="1095">
        <f>X127+Y127</f>
        <v>2000000</v>
      </c>
      <c r="AA127" s="1097">
        <f>MIN(F127-T127-U127-X127,F127/G127*12)</f>
        <v>0</v>
      </c>
      <c r="AB127" s="1094">
        <f>'2018-2022'!G119</f>
        <v>2000000</v>
      </c>
      <c r="AC127" s="1095">
        <f>AA127+AB127</f>
        <v>2000000</v>
      </c>
      <c r="AD127" s="1097">
        <f>F127-T127-U127-X127-AA127</f>
        <v>0</v>
      </c>
      <c r="AE127" s="1094">
        <f>'2018-2022'!H119</f>
        <v>2000000</v>
      </c>
      <c r="AF127" s="1095">
        <f>AD127+AE127</f>
        <v>2000000</v>
      </c>
      <c r="AG127" s="1098" t="str">
        <f>'2018-2022'!I119</f>
        <v>replacement for loss or broken</v>
      </c>
    </row>
    <row r="128" spans="1:33" s="665" customFormat="1" ht="40" customHeight="1" x14ac:dyDescent="0.35">
      <c r="A128" s="1116" t="s">
        <v>611</v>
      </c>
      <c r="B128" s="1099"/>
      <c r="C128" s="1100" t="s">
        <v>583</v>
      </c>
      <c r="D128" s="1101"/>
      <c r="E128" s="1101"/>
      <c r="F128" s="1101">
        <f t="shared" ref="F128:AD128" si="184">SUBTOTAL(9,F125:F127)</f>
        <v>12000000</v>
      </c>
      <c r="G128" s="1101"/>
      <c r="H128" s="1101">
        <f t="shared" si="184"/>
        <v>1000000</v>
      </c>
      <c r="I128" s="1101">
        <f t="shared" si="184"/>
        <v>1000000</v>
      </c>
      <c r="J128" s="1101">
        <f t="shared" si="184"/>
        <v>1000000</v>
      </c>
      <c r="K128" s="1101">
        <f t="shared" si="184"/>
        <v>1000000</v>
      </c>
      <c r="L128" s="1101">
        <f t="shared" si="184"/>
        <v>1000000</v>
      </c>
      <c r="M128" s="1101">
        <f t="shared" si="184"/>
        <v>1000000</v>
      </c>
      <c r="N128" s="1101">
        <f t="shared" si="184"/>
        <v>1000000</v>
      </c>
      <c r="O128" s="1101">
        <f t="shared" si="184"/>
        <v>1000000</v>
      </c>
      <c r="P128" s="1101">
        <f t="shared" si="184"/>
        <v>1000000</v>
      </c>
      <c r="Q128" s="1101">
        <f t="shared" si="184"/>
        <v>1000000</v>
      </c>
      <c r="R128" s="1101">
        <f t="shared" si="184"/>
        <v>1000000</v>
      </c>
      <c r="S128" s="1101">
        <f t="shared" si="184"/>
        <v>1000000</v>
      </c>
      <c r="T128" s="1101">
        <f t="shared" si="184"/>
        <v>12000000</v>
      </c>
      <c r="U128" s="1102">
        <f t="shared" si="184"/>
        <v>-2.3283064365386963E-10</v>
      </c>
      <c r="V128" s="1102">
        <f>SUBTOTAL(9,V125:V127)</f>
        <v>12000000</v>
      </c>
      <c r="W128" s="1101">
        <f t="shared" si="184"/>
        <v>12000000</v>
      </c>
      <c r="X128" s="1102">
        <f t="shared" si="184"/>
        <v>0</v>
      </c>
      <c r="Y128" s="1102">
        <f>SUBTOTAL(9,Y125:Y127)</f>
        <v>12000000</v>
      </c>
      <c r="Z128" s="1101">
        <f t="shared" ref="Z128" si="185">SUBTOTAL(9,Z125:Z127)</f>
        <v>12000000</v>
      </c>
      <c r="AA128" s="1102">
        <f t="shared" si="184"/>
        <v>0</v>
      </c>
      <c r="AB128" s="1102">
        <f>SUBTOTAL(9,AB125:AB127)</f>
        <v>12000000</v>
      </c>
      <c r="AC128" s="1101">
        <f t="shared" ref="AC128" si="186">SUBTOTAL(9,AC125:AC127)</f>
        <v>12000000</v>
      </c>
      <c r="AD128" s="1102">
        <f t="shared" si="184"/>
        <v>0</v>
      </c>
      <c r="AE128" s="1102">
        <f>SUBTOTAL(9,AE125:AE127)</f>
        <v>12000000</v>
      </c>
      <c r="AF128" s="1101">
        <f t="shared" ref="AF128" si="187">SUBTOTAL(9,AF125:AF127)</f>
        <v>12000000</v>
      </c>
      <c r="AG128" s="1103">
        <f>SUBTOTAL(9,AG125:AG127)</f>
        <v>0</v>
      </c>
    </row>
    <row r="129" spans="1:33" s="665" customFormat="1" ht="40" customHeight="1" x14ac:dyDescent="0.35">
      <c r="A129" s="1112" t="s">
        <v>22</v>
      </c>
      <c r="B129" s="1056" t="s">
        <v>22</v>
      </c>
      <c r="C129" s="1104" t="s">
        <v>585</v>
      </c>
      <c r="D129" s="1058"/>
      <c r="E129" s="1058"/>
      <c r="F129" s="1059"/>
      <c r="G129" s="1059"/>
      <c r="H129" s="1058"/>
      <c r="I129" s="1058"/>
      <c r="J129" s="1058"/>
      <c r="K129" s="1058"/>
      <c r="L129" s="1058"/>
      <c r="M129" s="1058"/>
      <c r="N129" s="1058"/>
      <c r="O129" s="1058"/>
      <c r="P129" s="1058"/>
      <c r="Q129" s="1058"/>
      <c r="R129" s="1058"/>
      <c r="S129" s="1058"/>
      <c r="T129" s="1060"/>
      <c r="U129" s="1068"/>
      <c r="V129" s="1068"/>
      <c r="W129" s="1061"/>
      <c r="X129" s="1072"/>
      <c r="Y129" s="1068"/>
      <c r="Z129" s="1061"/>
      <c r="AA129" s="1075"/>
      <c r="AB129" s="1068"/>
      <c r="AC129" s="1061"/>
      <c r="AD129" s="1075"/>
      <c r="AE129" s="1068"/>
      <c r="AF129" s="1061"/>
      <c r="AG129" s="1081"/>
    </row>
    <row r="130" spans="1:33" s="665" customFormat="1" ht="40" customHeight="1" x14ac:dyDescent="0.35">
      <c r="A130" s="1113" t="s">
        <v>22</v>
      </c>
      <c r="B130" s="660">
        <v>1</v>
      </c>
      <c r="C130" s="666" t="s">
        <v>506</v>
      </c>
      <c r="D130" s="662"/>
      <c r="E130" s="662"/>
      <c r="F130" s="663">
        <f>'2018-2022'!D121</f>
        <v>20000000</v>
      </c>
      <c r="G130" s="663">
        <v>12</v>
      </c>
      <c r="H130" s="662">
        <f t="shared" ref="H130:H132" si="188">F130/G130</f>
        <v>1666666.6666666667</v>
      </c>
      <c r="I130" s="662">
        <f>H130</f>
        <v>1666666.6666666667</v>
      </c>
      <c r="J130" s="662">
        <f t="shared" ref="J130:S130" si="189">I130</f>
        <v>1666666.6666666667</v>
      </c>
      <c r="K130" s="662">
        <f t="shared" si="189"/>
        <v>1666666.6666666667</v>
      </c>
      <c r="L130" s="662">
        <f t="shared" si="189"/>
        <v>1666666.6666666667</v>
      </c>
      <c r="M130" s="662">
        <f t="shared" si="189"/>
        <v>1666666.6666666667</v>
      </c>
      <c r="N130" s="662">
        <f t="shared" si="189"/>
        <v>1666666.6666666667</v>
      </c>
      <c r="O130" s="662">
        <f t="shared" si="189"/>
        <v>1666666.6666666667</v>
      </c>
      <c r="P130" s="662">
        <f t="shared" si="189"/>
        <v>1666666.6666666667</v>
      </c>
      <c r="Q130" s="662">
        <f t="shared" si="189"/>
        <v>1666666.6666666667</v>
      </c>
      <c r="R130" s="662">
        <f t="shared" si="189"/>
        <v>1666666.6666666667</v>
      </c>
      <c r="S130" s="662">
        <f t="shared" si="189"/>
        <v>1666666.6666666667</v>
      </c>
      <c r="T130" s="664">
        <f t="shared" ref="T130" si="190">SUM(H130:S130)</f>
        <v>20000000</v>
      </c>
      <c r="U130" s="1069">
        <f t="shared" ref="U130:U132" si="191">MIN(F130-T130,F130/G130*12)</f>
        <v>0</v>
      </c>
      <c r="V130" s="1069">
        <f>'2018-2022'!E121</f>
        <v>20000000</v>
      </c>
      <c r="W130" s="1062">
        <f>U130+V130</f>
        <v>20000000</v>
      </c>
      <c r="X130" s="1073">
        <f>MIN(F130-T130-U130,F130/G130*12)</f>
        <v>0</v>
      </c>
      <c r="Y130" s="1069">
        <f>'2018-2022'!F121</f>
        <v>20000000</v>
      </c>
      <c r="Z130" s="1062">
        <f>X130+Y130</f>
        <v>20000000</v>
      </c>
      <c r="AA130" s="1076">
        <f>MIN(F130-T130-U130-X130,F130/G130*12)</f>
        <v>0</v>
      </c>
      <c r="AB130" s="1069">
        <f>'2018-2022'!G121</f>
        <v>20000000</v>
      </c>
      <c r="AC130" s="1062">
        <f>AA130+AB130</f>
        <v>20000000</v>
      </c>
      <c r="AD130" s="1076">
        <f>F130-T130-U130-X130-AA130</f>
        <v>0</v>
      </c>
      <c r="AE130" s="1069">
        <f>'2018-2022'!H121</f>
        <v>20000000</v>
      </c>
      <c r="AF130" s="1062">
        <f>AD130+AE130</f>
        <v>20000000</v>
      </c>
      <c r="AG130" s="1082" t="str">
        <f>'2018-2022'!I121</f>
        <v>Touch up 600m2</v>
      </c>
    </row>
    <row r="131" spans="1:33" s="665" customFormat="1" ht="40" customHeight="1" x14ac:dyDescent="0.35">
      <c r="A131" s="1113" t="s">
        <v>22</v>
      </c>
      <c r="B131" s="660">
        <v>2</v>
      </c>
      <c r="C131" s="666" t="s">
        <v>507</v>
      </c>
      <c r="D131" s="662"/>
      <c r="E131" s="662"/>
      <c r="F131" s="663">
        <f>'2018-2022'!D122</f>
        <v>15000000</v>
      </c>
      <c r="G131" s="663">
        <v>12</v>
      </c>
      <c r="H131" s="662">
        <f t="shared" si="188"/>
        <v>1250000</v>
      </c>
      <c r="I131" s="662">
        <f>H131</f>
        <v>1250000</v>
      </c>
      <c r="J131" s="662">
        <f t="shared" ref="J131:S131" si="192">I131</f>
        <v>1250000</v>
      </c>
      <c r="K131" s="662">
        <f t="shared" si="192"/>
        <v>1250000</v>
      </c>
      <c r="L131" s="662">
        <f t="shared" si="192"/>
        <v>1250000</v>
      </c>
      <c r="M131" s="662">
        <f t="shared" si="192"/>
        <v>1250000</v>
      </c>
      <c r="N131" s="662">
        <f t="shared" si="192"/>
        <v>1250000</v>
      </c>
      <c r="O131" s="662">
        <f t="shared" si="192"/>
        <v>1250000</v>
      </c>
      <c r="P131" s="662">
        <f t="shared" si="192"/>
        <v>1250000</v>
      </c>
      <c r="Q131" s="662">
        <f t="shared" si="192"/>
        <v>1250000</v>
      </c>
      <c r="R131" s="662">
        <f t="shared" si="192"/>
        <v>1250000</v>
      </c>
      <c r="S131" s="662">
        <f t="shared" si="192"/>
        <v>1250000</v>
      </c>
      <c r="T131" s="664">
        <f t="shared" ref="T131:T132" si="193">SUM(H131:S131)</f>
        <v>15000000</v>
      </c>
      <c r="U131" s="1069">
        <f t="shared" si="191"/>
        <v>0</v>
      </c>
      <c r="V131" s="1069">
        <f>'2018-2022'!E122</f>
        <v>15000000</v>
      </c>
      <c r="W131" s="1062">
        <f>U131+V131</f>
        <v>15000000</v>
      </c>
      <c r="X131" s="1073">
        <f>MIN(F131-T131-U131,F131/G131*12)</f>
        <v>0</v>
      </c>
      <c r="Y131" s="1069">
        <f>'2018-2022'!F122</f>
        <v>15000000</v>
      </c>
      <c r="Z131" s="1062">
        <f>X131+Y131</f>
        <v>15000000</v>
      </c>
      <c r="AA131" s="1076">
        <f>MIN(F131-T131-U131-X131,F131/G131*12)</f>
        <v>0</v>
      </c>
      <c r="AB131" s="1069">
        <f>'2018-2022'!G122</f>
        <v>15000000</v>
      </c>
      <c r="AC131" s="1062">
        <f>AA131+AB131</f>
        <v>15000000</v>
      </c>
      <c r="AD131" s="1076">
        <f>F131-T131-U131-X131-AA131</f>
        <v>0</v>
      </c>
      <c r="AE131" s="1069">
        <f>'2018-2022'!H122</f>
        <v>15000000</v>
      </c>
      <c r="AF131" s="1062">
        <f>AD131+AE131</f>
        <v>15000000</v>
      </c>
      <c r="AG131" s="1082" t="str">
        <f>'2018-2022'!I122</f>
        <v>Touch up 250m2</v>
      </c>
    </row>
    <row r="132" spans="1:33" s="665" customFormat="1" ht="40" customHeight="1" x14ac:dyDescent="0.35">
      <c r="A132" s="1115" t="s">
        <v>22</v>
      </c>
      <c r="B132" s="1089">
        <v>3</v>
      </c>
      <c r="C132" s="1090" t="s">
        <v>508</v>
      </c>
      <c r="D132" s="1091"/>
      <c r="E132" s="1091"/>
      <c r="F132" s="1092">
        <f>'2018-2022'!D123</f>
        <v>5000000</v>
      </c>
      <c r="G132" s="1092">
        <v>12</v>
      </c>
      <c r="H132" s="1091">
        <f t="shared" si="188"/>
        <v>416666.66666666669</v>
      </c>
      <c r="I132" s="1091">
        <f>H132</f>
        <v>416666.66666666669</v>
      </c>
      <c r="J132" s="1091">
        <f t="shared" ref="J132:S132" si="194">I132</f>
        <v>416666.66666666669</v>
      </c>
      <c r="K132" s="1091">
        <f t="shared" si="194"/>
        <v>416666.66666666669</v>
      </c>
      <c r="L132" s="1091">
        <f t="shared" si="194"/>
        <v>416666.66666666669</v>
      </c>
      <c r="M132" s="1091">
        <f t="shared" si="194"/>
        <v>416666.66666666669</v>
      </c>
      <c r="N132" s="1091">
        <f t="shared" si="194"/>
        <v>416666.66666666669</v>
      </c>
      <c r="O132" s="1091">
        <f t="shared" si="194"/>
        <v>416666.66666666669</v>
      </c>
      <c r="P132" s="1091">
        <f t="shared" si="194"/>
        <v>416666.66666666669</v>
      </c>
      <c r="Q132" s="1091">
        <f t="shared" si="194"/>
        <v>416666.66666666669</v>
      </c>
      <c r="R132" s="1091">
        <f t="shared" si="194"/>
        <v>416666.66666666669</v>
      </c>
      <c r="S132" s="1091">
        <f t="shared" si="194"/>
        <v>416666.66666666669</v>
      </c>
      <c r="T132" s="1093">
        <f t="shared" si="193"/>
        <v>5000000</v>
      </c>
      <c r="U132" s="1094">
        <f t="shared" si="191"/>
        <v>0</v>
      </c>
      <c r="V132" s="1094">
        <f>'2018-2022'!E123</f>
        <v>5000000</v>
      </c>
      <c r="W132" s="1095">
        <f>U132+V132</f>
        <v>5000000</v>
      </c>
      <c r="X132" s="1096">
        <f>MIN(F132-T132-U132,F132/G132*12)</f>
        <v>0</v>
      </c>
      <c r="Y132" s="1094">
        <f>'2018-2022'!F123</f>
        <v>5000000</v>
      </c>
      <c r="Z132" s="1095">
        <f>X132+Y132</f>
        <v>5000000</v>
      </c>
      <c r="AA132" s="1097">
        <f>MIN(F132-T132-U132-X132,F132/G132*12)</f>
        <v>0</v>
      </c>
      <c r="AB132" s="1094">
        <f>'2018-2022'!G123</f>
        <v>5000000</v>
      </c>
      <c r="AC132" s="1095">
        <f>AA132+AB132</f>
        <v>5000000</v>
      </c>
      <c r="AD132" s="1097">
        <f>F132-T132-U132-X132-AA132</f>
        <v>0</v>
      </c>
      <c r="AE132" s="1094">
        <f>'2018-2022'!H123</f>
        <v>5000000</v>
      </c>
      <c r="AF132" s="1095">
        <f>AD132+AE132</f>
        <v>5000000</v>
      </c>
      <c r="AG132" s="1098">
        <f>'2018-2022'!I123</f>
        <v>0</v>
      </c>
    </row>
    <row r="133" spans="1:33" s="665" customFormat="1" ht="40" customHeight="1" x14ac:dyDescent="0.35">
      <c r="A133" s="1116" t="s">
        <v>612</v>
      </c>
      <c r="B133" s="1099"/>
      <c r="C133" s="1100" t="s">
        <v>585</v>
      </c>
      <c r="D133" s="1101"/>
      <c r="E133" s="1101"/>
      <c r="F133" s="1101">
        <f t="shared" ref="F133:AD133" si="195">SUBTOTAL(9,F129:F132)</f>
        <v>40000000</v>
      </c>
      <c r="G133" s="1101"/>
      <c r="H133" s="1101">
        <f t="shared" si="195"/>
        <v>3333333.3333333335</v>
      </c>
      <c r="I133" s="1101">
        <f t="shared" si="195"/>
        <v>3333333.3333333335</v>
      </c>
      <c r="J133" s="1101">
        <f t="shared" si="195"/>
        <v>3333333.3333333335</v>
      </c>
      <c r="K133" s="1101">
        <f t="shared" si="195"/>
        <v>3333333.3333333335</v>
      </c>
      <c r="L133" s="1101">
        <f t="shared" si="195"/>
        <v>3333333.3333333335</v>
      </c>
      <c r="M133" s="1101">
        <f t="shared" si="195"/>
        <v>3333333.3333333335</v>
      </c>
      <c r="N133" s="1101">
        <f t="shared" si="195"/>
        <v>3333333.3333333335</v>
      </c>
      <c r="O133" s="1101">
        <f t="shared" si="195"/>
        <v>3333333.3333333335</v>
      </c>
      <c r="P133" s="1101">
        <f t="shared" si="195"/>
        <v>3333333.3333333335</v>
      </c>
      <c r="Q133" s="1101">
        <f t="shared" si="195"/>
        <v>3333333.3333333335</v>
      </c>
      <c r="R133" s="1101">
        <f t="shared" si="195"/>
        <v>3333333.3333333335</v>
      </c>
      <c r="S133" s="1101">
        <f t="shared" si="195"/>
        <v>3333333.3333333335</v>
      </c>
      <c r="T133" s="1101">
        <f t="shared" si="195"/>
        <v>40000000</v>
      </c>
      <c r="U133" s="1102">
        <f t="shared" si="195"/>
        <v>0</v>
      </c>
      <c r="V133" s="1102">
        <f t="shared" si="195"/>
        <v>40000000</v>
      </c>
      <c r="W133" s="1101">
        <f t="shared" si="195"/>
        <v>40000000</v>
      </c>
      <c r="X133" s="1102">
        <f t="shared" si="195"/>
        <v>0</v>
      </c>
      <c r="Y133" s="1102">
        <f>SUBTOTAL(9,Y129:Y132)</f>
        <v>40000000</v>
      </c>
      <c r="Z133" s="1101">
        <f t="shared" ref="Z133" si="196">SUBTOTAL(9,Z129:Z132)</f>
        <v>40000000</v>
      </c>
      <c r="AA133" s="1102">
        <f t="shared" si="195"/>
        <v>0</v>
      </c>
      <c r="AB133" s="1102">
        <f t="shared" ref="AB133:AC133" si="197">SUBTOTAL(9,AB129:AB132)</f>
        <v>40000000</v>
      </c>
      <c r="AC133" s="1101">
        <f t="shared" si="197"/>
        <v>40000000</v>
      </c>
      <c r="AD133" s="1102">
        <f t="shared" si="195"/>
        <v>0</v>
      </c>
      <c r="AE133" s="1102">
        <f t="shared" ref="AE133:AG133" si="198">SUBTOTAL(9,AE129:AE132)</f>
        <v>40000000</v>
      </c>
      <c r="AF133" s="1101">
        <f t="shared" si="198"/>
        <v>40000000</v>
      </c>
      <c r="AG133" s="1103">
        <f t="shared" si="198"/>
        <v>0</v>
      </c>
    </row>
    <row r="134" spans="1:33" s="665" customFormat="1" ht="40" customHeight="1" x14ac:dyDescent="0.35">
      <c r="A134" s="1112" t="s">
        <v>20</v>
      </c>
      <c r="B134" s="1056" t="s">
        <v>20</v>
      </c>
      <c r="C134" s="1104" t="s">
        <v>587</v>
      </c>
      <c r="D134" s="1058"/>
      <c r="E134" s="1058"/>
      <c r="F134" s="1059"/>
      <c r="G134" s="1059"/>
      <c r="H134" s="1058"/>
      <c r="I134" s="1058"/>
      <c r="J134" s="1058"/>
      <c r="K134" s="1058"/>
      <c r="L134" s="1058"/>
      <c r="M134" s="1058"/>
      <c r="N134" s="1058"/>
      <c r="O134" s="1058"/>
      <c r="P134" s="1058"/>
      <c r="Q134" s="1058"/>
      <c r="R134" s="1058"/>
      <c r="S134" s="1058"/>
      <c r="T134" s="1060"/>
      <c r="U134" s="1068"/>
      <c r="V134" s="1068"/>
      <c r="W134" s="1061"/>
      <c r="X134" s="1072"/>
      <c r="Y134" s="1068"/>
      <c r="Z134" s="1061"/>
      <c r="AA134" s="1075"/>
      <c r="AB134" s="1068"/>
      <c r="AC134" s="1061"/>
      <c r="AD134" s="1075"/>
      <c r="AE134" s="1068"/>
      <c r="AF134" s="1061"/>
      <c r="AG134" s="1081"/>
    </row>
    <row r="135" spans="1:33" s="665" customFormat="1" ht="40" customHeight="1" x14ac:dyDescent="0.35">
      <c r="A135" s="1113" t="s">
        <v>20</v>
      </c>
      <c r="B135" s="660">
        <v>1</v>
      </c>
      <c r="C135" s="666" t="s">
        <v>260</v>
      </c>
      <c r="D135" s="662"/>
      <c r="E135" s="662"/>
      <c r="F135" s="663">
        <f>'2018-2022'!D125</f>
        <v>30000000</v>
      </c>
      <c r="G135" s="663">
        <v>12</v>
      </c>
      <c r="H135" s="662">
        <f t="shared" ref="H135:H144" si="199">F135/G135</f>
        <v>2500000</v>
      </c>
      <c r="I135" s="662">
        <f>H135</f>
        <v>2500000</v>
      </c>
      <c r="J135" s="662">
        <f t="shared" ref="J135:S135" si="200">I135</f>
        <v>2500000</v>
      </c>
      <c r="K135" s="662">
        <f t="shared" si="200"/>
        <v>2500000</v>
      </c>
      <c r="L135" s="662">
        <f t="shared" si="200"/>
        <v>2500000</v>
      </c>
      <c r="M135" s="662">
        <f t="shared" si="200"/>
        <v>2500000</v>
      </c>
      <c r="N135" s="662">
        <f t="shared" si="200"/>
        <v>2500000</v>
      </c>
      <c r="O135" s="662">
        <f t="shared" si="200"/>
        <v>2500000</v>
      </c>
      <c r="P135" s="662">
        <f t="shared" si="200"/>
        <v>2500000</v>
      </c>
      <c r="Q135" s="662">
        <f t="shared" si="200"/>
        <v>2500000</v>
      </c>
      <c r="R135" s="662">
        <f t="shared" si="200"/>
        <v>2500000</v>
      </c>
      <c r="S135" s="662">
        <f t="shared" si="200"/>
        <v>2500000</v>
      </c>
      <c r="T135" s="664">
        <f t="shared" ref="T135" si="201">SUM(H135:S135)</f>
        <v>30000000</v>
      </c>
      <c r="U135" s="1069">
        <f t="shared" ref="U135:U145" si="202">MIN(F135-T135,F135/G135*12)</f>
        <v>0</v>
      </c>
      <c r="V135" s="1069">
        <f>'2018-2022'!E125</f>
        <v>30000000</v>
      </c>
      <c r="W135" s="1062">
        <f t="shared" ref="W135:W145" si="203">U135+V135</f>
        <v>30000000</v>
      </c>
      <c r="X135" s="1073">
        <f t="shared" ref="X135:X145" si="204">MIN(F135-T135-U135,F135/G135*12)</f>
        <v>0</v>
      </c>
      <c r="Y135" s="1069">
        <f>'2018-2022'!F125</f>
        <v>30000000</v>
      </c>
      <c r="Z135" s="1062">
        <f t="shared" ref="Z135:Z145" si="205">X135+Y135</f>
        <v>30000000</v>
      </c>
      <c r="AA135" s="1076">
        <f t="shared" ref="AA135:AA145" si="206">MIN(F135-T135-U135-X135,F135/G135*12)</f>
        <v>0</v>
      </c>
      <c r="AB135" s="1069">
        <f>'2018-2022'!G125</f>
        <v>30000000</v>
      </c>
      <c r="AC135" s="1062">
        <f t="shared" ref="AC135:AC145" si="207">AA135+AB135</f>
        <v>30000000</v>
      </c>
      <c r="AD135" s="1076">
        <f t="shared" ref="AD135:AD145" si="208">F135-T135-U135-X135-AA135</f>
        <v>0</v>
      </c>
      <c r="AE135" s="1069">
        <f>'2018-2022'!H125</f>
        <v>30000000</v>
      </c>
      <c r="AF135" s="1062">
        <f t="shared" ref="AF135:AF145" si="209">AD135+AE135</f>
        <v>30000000</v>
      </c>
      <c r="AG135" s="1082">
        <f>'2018-2022'!I125</f>
        <v>0</v>
      </c>
    </row>
    <row r="136" spans="1:33" s="665" customFormat="1" ht="40" customHeight="1" x14ac:dyDescent="0.35">
      <c r="A136" s="1113" t="s">
        <v>20</v>
      </c>
      <c r="B136" s="660">
        <v>2</v>
      </c>
      <c r="C136" s="666" t="s">
        <v>261</v>
      </c>
      <c r="D136" s="662"/>
      <c r="E136" s="662"/>
      <c r="F136" s="663">
        <f>'2018-2022'!D126</f>
        <v>12000000</v>
      </c>
      <c r="G136" s="663">
        <v>12</v>
      </c>
      <c r="H136" s="662">
        <f t="shared" si="199"/>
        <v>1000000</v>
      </c>
      <c r="I136" s="662">
        <f>H136</f>
        <v>1000000</v>
      </c>
      <c r="J136" s="662">
        <f t="shared" ref="J136:S136" si="210">I136</f>
        <v>1000000</v>
      </c>
      <c r="K136" s="662">
        <f t="shared" si="210"/>
        <v>1000000</v>
      </c>
      <c r="L136" s="662">
        <f t="shared" si="210"/>
        <v>1000000</v>
      </c>
      <c r="M136" s="662">
        <f t="shared" si="210"/>
        <v>1000000</v>
      </c>
      <c r="N136" s="662">
        <f t="shared" si="210"/>
        <v>1000000</v>
      </c>
      <c r="O136" s="662">
        <f t="shared" si="210"/>
        <v>1000000</v>
      </c>
      <c r="P136" s="662">
        <f t="shared" si="210"/>
        <v>1000000</v>
      </c>
      <c r="Q136" s="662">
        <f t="shared" si="210"/>
        <v>1000000</v>
      </c>
      <c r="R136" s="662">
        <f t="shared" si="210"/>
        <v>1000000</v>
      </c>
      <c r="S136" s="662">
        <f t="shared" si="210"/>
        <v>1000000</v>
      </c>
      <c r="T136" s="664">
        <f t="shared" ref="T136:T145" si="211">SUM(H136:S136)</f>
        <v>12000000</v>
      </c>
      <c r="U136" s="1069">
        <f t="shared" si="202"/>
        <v>0</v>
      </c>
      <c r="V136" s="1069">
        <f>'2018-2022'!E126</f>
        <v>12000000</v>
      </c>
      <c r="W136" s="1062">
        <f t="shared" si="203"/>
        <v>12000000</v>
      </c>
      <c r="X136" s="1073">
        <f t="shared" si="204"/>
        <v>0</v>
      </c>
      <c r="Y136" s="1069">
        <f>'2018-2022'!F126</f>
        <v>12000000</v>
      </c>
      <c r="Z136" s="1062">
        <f t="shared" si="205"/>
        <v>12000000</v>
      </c>
      <c r="AA136" s="1076">
        <f t="shared" si="206"/>
        <v>0</v>
      </c>
      <c r="AB136" s="1069">
        <f>'2018-2022'!G126</f>
        <v>12000000</v>
      </c>
      <c r="AC136" s="1062">
        <f t="shared" si="207"/>
        <v>12000000</v>
      </c>
      <c r="AD136" s="1076">
        <f t="shared" si="208"/>
        <v>0</v>
      </c>
      <c r="AE136" s="1069">
        <f>'2018-2022'!H126</f>
        <v>12000000</v>
      </c>
      <c r="AF136" s="1062">
        <f t="shared" si="209"/>
        <v>12000000</v>
      </c>
      <c r="AG136" s="1082" t="str">
        <f>'2018-2022'!I126</f>
        <v>Estimates 1 milion VND/ month</v>
      </c>
    </row>
    <row r="137" spans="1:33" s="665" customFormat="1" ht="40" customHeight="1" x14ac:dyDescent="0.35">
      <c r="A137" s="1113" t="s">
        <v>20</v>
      </c>
      <c r="B137" s="660">
        <v>3</v>
      </c>
      <c r="C137" s="666" t="s">
        <v>345</v>
      </c>
      <c r="D137" s="662"/>
      <c r="E137" s="662"/>
      <c r="F137" s="663">
        <f>'2018-2022'!D127</f>
        <v>5000000</v>
      </c>
      <c r="G137" s="663">
        <v>12</v>
      </c>
      <c r="H137" s="662">
        <f t="shared" si="199"/>
        <v>416666.66666666669</v>
      </c>
      <c r="I137" s="662">
        <f t="shared" ref="I137:S146" si="212">H137</f>
        <v>416666.66666666669</v>
      </c>
      <c r="J137" s="662">
        <f t="shared" si="212"/>
        <v>416666.66666666669</v>
      </c>
      <c r="K137" s="662">
        <f t="shared" si="212"/>
        <v>416666.66666666669</v>
      </c>
      <c r="L137" s="662">
        <f t="shared" si="212"/>
        <v>416666.66666666669</v>
      </c>
      <c r="M137" s="662">
        <f t="shared" si="212"/>
        <v>416666.66666666669</v>
      </c>
      <c r="N137" s="662">
        <f t="shared" si="212"/>
        <v>416666.66666666669</v>
      </c>
      <c r="O137" s="662">
        <f t="shared" si="212"/>
        <v>416666.66666666669</v>
      </c>
      <c r="P137" s="662">
        <f t="shared" si="212"/>
        <v>416666.66666666669</v>
      </c>
      <c r="Q137" s="662">
        <f t="shared" si="212"/>
        <v>416666.66666666669</v>
      </c>
      <c r="R137" s="662">
        <f t="shared" si="212"/>
        <v>416666.66666666669</v>
      </c>
      <c r="S137" s="662">
        <f t="shared" si="212"/>
        <v>416666.66666666669</v>
      </c>
      <c r="T137" s="664">
        <f t="shared" si="211"/>
        <v>5000000</v>
      </c>
      <c r="U137" s="1069">
        <f t="shared" si="202"/>
        <v>0</v>
      </c>
      <c r="V137" s="1069">
        <f>'2018-2022'!E127</f>
        <v>5000000</v>
      </c>
      <c r="W137" s="1062">
        <f t="shared" si="203"/>
        <v>5000000</v>
      </c>
      <c r="X137" s="1073">
        <f t="shared" si="204"/>
        <v>0</v>
      </c>
      <c r="Y137" s="1069">
        <f>'2018-2022'!F127</f>
        <v>5000000</v>
      </c>
      <c r="Z137" s="1062">
        <f t="shared" si="205"/>
        <v>5000000</v>
      </c>
      <c r="AA137" s="1076">
        <f t="shared" si="206"/>
        <v>0</v>
      </c>
      <c r="AB137" s="1069">
        <f>'2018-2022'!G127</f>
        <v>5000000</v>
      </c>
      <c r="AC137" s="1062">
        <f t="shared" si="207"/>
        <v>5000000</v>
      </c>
      <c r="AD137" s="1076">
        <f t="shared" si="208"/>
        <v>0</v>
      </c>
      <c r="AE137" s="1069">
        <f>'2018-2022'!H127</f>
        <v>5000000</v>
      </c>
      <c r="AF137" s="1062">
        <f t="shared" si="209"/>
        <v>5000000</v>
      </c>
      <c r="AG137" s="1082">
        <f>'2018-2022'!I127</f>
        <v>0</v>
      </c>
    </row>
    <row r="138" spans="1:33" s="665" customFormat="1" ht="40" customHeight="1" x14ac:dyDescent="0.35">
      <c r="A138" s="1113" t="s">
        <v>20</v>
      </c>
      <c r="B138" s="660">
        <v>4</v>
      </c>
      <c r="C138" s="666" t="s">
        <v>509</v>
      </c>
      <c r="D138" s="662"/>
      <c r="E138" s="662"/>
      <c r="F138" s="663">
        <f>'2018-2022'!D128</f>
        <v>20000000</v>
      </c>
      <c r="G138" s="663">
        <v>12</v>
      </c>
      <c r="H138" s="662">
        <f t="shared" si="199"/>
        <v>1666666.6666666667</v>
      </c>
      <c r="I138" s="662">
        <f t="shared" si="212"/>
        <v>1666666.6666666667</v>
      </c>
      <c r="J138" s="662">
        <f t="shared" si="212"/>
        <v>1666666.6666666667</v>
      </c>
      <c r="K138" s="662">
        <f t="shared" si="212"/>
        <v>1666666.6666666667</v>
      </c>
      <c r="L138" s="662">
        <f t="shared" si="212"/>
        <v>1666666.6666666667</v>
      </c>
      <c r="M138" s="662">
        <f t="shared" si="212"/>
        <v>1666666.6666666667</v>
      </c>
      <c r="N138" s="662">
        <f t="shared" si="212"/>
        <v>1666666.6666666667</v>
      </c>
      <c r="O138" s="662">
        <f t="shared" si="212"/>
        <v>1666666.6666666667</v>
      </c>
      <c r="P138" s="662">
        <f t="shared" si="212"/>
        <v>1666666.6666666667</v>
      </c>
      <c r="Q138" s="662">
        <f t="shared" si="212"/>
        <v>1666666.6666666667</v>
      </c>
      <c r="R138" s="662">
        <f t="shared" si="212"/>
        <v>1666666.6666666667</v>
      </c>
      <c r="S138" s="662">
        <f t="shared" si="212"/>
        <v>1666666.6666666667</v>
      </c>
      <c r="T138" s="664">
        <f t="shared" si="211"/>
        <v>20000000</v>
      </c>
      <c r="U138" s="1069">
        <f t="shared" si="202"/>
        <v>0</v>
      </c>
      <c r="V138" s="1069">
        <f>'2018-2022'!E128</f>
        <v>20000000</v>
      </c>
      <c r="W138" s="1062">
        <f t="shared" si="203"/>
        <v>20000000</v>
      </c>
      <c r="X138" s="1073">
        <f t="shared" si="204"/>
        <v>0</v>
      </c>
      <c r="Y138" s="1069">
        <f>'2018-2022'!F128</f>
        <v>20000000</v>
      </c>
      <c r="Z138" s="1062">
        <f t="shared" si="205"/>
        <v>20000000</v>
      </c>
      <c r="AA138" s="1076">
        <f t="shared" si="206"/>
        <v>0</v>
      </c>
      <c r="AB138" s="1069">
        <f>'2018-2022'!G128</f>
        <v>20000000</v>
      </c>
      <c r="AC138" s="1062">
        <f t="shared" si="207"/>
        <v>20000000</v>
      </c>
      <c r="AD138" s="1076">
        <f t="shared" si="208"/>
        <v>0</v>
      </c>
      <c r="AE138" s="1069">
        <f>'2018-2022'!H128</f>
        <v>20000000</v>
      </c>
      <c r="AF138" s="1062">
        <f t="shared" si="209"/>
        <v>20000000</v>
      </c>
      <c r="AG138" s="1082">
        <f>'2018-2022'!I128</f>
        <v>0</v>
      </c>
    </row>
    <row r="139" spans="1:33" s="665" customFormat="1" ht="40" customHeight="1" x14ac:dyDescent="0.35">
      <c r="A139" s="1113" t="s">
        <v>20</v>
      </c>
      <c r="B139" s="660">
        <v>5</v>
      </c>
      <c r="C139" s="666" t="s">
        <v>510</v>
      </c>
      <c r="D139" s="662"/>
      <c r="E139" s="662"/>
      <c r="F139" s="663">
        <f>'2018-2022'!D129</f>
        <v>75000000</v>
      </c>
      <c r="G139" s="663">
        <v>12</v>
      </c>
      <c r="H139" s="662">
        <f t="shared" si="199"/>
        <v>6250000</v>
      </c>
      <c r="I139" s="662">
        <f t="shared" si="212"/>
        <v>6250000</v>
      </c>
      <c r="J139" s="662">
        <f t="shared" si="212"/>
        <v>6250000</v>
      </c>
      <c r="K139" s="662">
        <f t="shared" si="212"/>
        <v>6250000</v>
      </c>
      <c r="L139" s="662">
        <f t="shared" si="212"/>
        <v>6250000</v>
      </c>
      <c r="M139" s="662">
        <f t="shared" si="212"/>
        <v>6250000</v>
      </c>
      <c r="N139" s="662">
        <f t="shared" si="212"/>
        <v>6250000</v>
      </c>
      <c r="O139" s="662">
        <f t="shared" si="212"/>
        <v>6250000</v>
      </c>
      <c r="P139" s="662">
        <f t="shared" si="212"/>
        <v>6250000</v>
      </c>
      <c r="Q139" s="662">
        <f t="shared" si="212"/>
        <v>6250000</v>
      </c>
      <c r="R139" s="662">
        <f t="shared" si="212"/>
        <v>6250000</v>
      </c>
      <c r="S139" s="662">
        <f t="shared" si="212"/>
        <v>6250000</v>
      </c>
      <c r="T139" s="664">
        <f t="shared" si="211"/>
        <v>75000000</v>
      </c>
      <c r="U139" s="1069">
        <f t="shared" si="202"/>
        <v>0</v>
      </c>
      <c r="V139" s="1069">
        <f>'2018-2022'!E129</f>
        <v>75000000</v>
      </c>
      <c r="W139" s="1062">
        <f t="shared" si="203"/>
        <v>75000000</v>
      </c>
      <c r="X139" s="1073">
        <f t="shared" si="204"/>
        <v>0</v>
      </c>
      <c r="Y139" s="1069">
        <f>'2018-2022'!F129</f>
        <v>75000000</v>
      </c>
      <c r="Z139" s="1062">
        <f t="shared" si="205"/>
        <v>75000000</v>
      </c>
      <c r="AA139" s="1076">
        <f t="shared" si="206"/>
        <v>0</v>
      </c>
      <c r="AB139" s="1069">
        <f>'2018-2022'!G129</f>
        <v>75000000</v>
      </c>
      <c r="AC139" s="1062">
        <f t="shared" si="207"/>
        <v>75000000</v>
      </c>
      <c r="AD139" s="1076">
        <f t="shared" si="208"/>
        <v>0</v>
      </c>
      <c r="AE139" s="1069">
        <f>'2018-2022'!H129</f>
        <v>75000000</v>
      </c>
      <c r="AF139" s="1062">
        <f t="shared" si="209"/>
        <v>75000000</v>
      </c>
      <c r="AG139" s="1082" t="str">
        <f>'2018-2022'!I129</f>
        <v>touch up 500m</v>
      </c>
    </row>
    <row r="140" spans="1:33" s="665" customFormat="1" ht="40" customHeight="1" x14ac:dyDescent="0.35">
      <c r="A140" s="1113" t="s">
        <v>20</v>
      </c>
      <c r="B140" s="660">
        <v>6</v>
      </c>
      <c r="C140" s="666" t="s">
        <v>347</v>
      </c>
      <c r="D140" s="662"/>
      <c r="E140" s="662"/>
      <c r="F140" s="663">
        <f>'2018-2022'!D130</f>
        <v>18000000</v>
      </c>
      <c r="G140" s="663">
        <v>12</v>
      </c>
      <c r="H140" s="662">
        <f t="shared" si="199"/>
        <v>1500000</v>
      </c>
      <c r="I140" s="662">
        <f t="shared" si="212"/>
        <v>1500000</v>
      </c>
      <c r="J140" s="662">
        <f t="shared" si="212"/>
        <v>1500000</v>
      </c>
      <c r="K140" s="662">
        <f t="shared" si="212"/>
        <v>1500000</v>
      </c>
      <c r="L140" s="662">
        <f t="shared" si="212"/>
        <v>1500000</v>
      </c>
      <c r="M140" s="662">
        <f t="shared" si="212"/>
        <v>1500000</v>
      </c>
      <c r="N140" s="662">
        <f t="shared" si="212"/>
        <v>1500000</v>
      </c>
      <c r="O140" s="662">
        <f t="shared" si="212"/>
        <v>1500000</v>
      </c>
      <c r="P140" s="662">
        <f t="shared" si="212"/>
        <v>1500000</v>
      </c>
      <c r="Q140" s="662">
        <f t="shared" si="212"/>
        <v>1500000</v>
      </c>
      <c r="R140" s="662">
        <f t="shared" si="212"/>
        <v>1500000</v>
      </c>
      <c r="S140" s="662">
        <f t="shared" si="212"/>
        <v>1500000</v>
      </c>
      <c r="T140" s="664">
        <f t="shared" si="211"/>
        <v>18000000</v>
      </c>
      <c r="U140" s="1069">
        <f t="shared" si="202"/>
        <v>0</v>
      </c>
      <c r="V140" s="1069">
        <f>'2018-2022'!E130</f>
        <v>18000000</v>
      </c>
      <c r="W140" s="1062">
        <f t="shared" si="203"/>
        <v>18000000</v>
      </c>
      <c r="X140" s="1073">
        <f t="shared" si="204"/>
        <v>0</v>
      </c>
      <c r="Y140" s="1069">
        <f>'2018-2022'!F130</f>
        <v>18000000</v>
      </c>
      <c r="Z140" s="1062">
        <f t="shared" si="205"/>
        <v>18000000</v>
      </c>
      <c r="AA140" s="1076">
        <f t="shared" si="206"/>
        <v>0</v>
      </c>
      <c r="AB140" s="1069">
        <f>'2018-2022'!G130</f>
        <v>18000000</v>
      </c>
      <c r="AC140" s="1062">
        <f t="shared" si="207"/>
        <v>18000000</v>
      </c>
      <c r="AD140" s="1076">
        <f t="shared" si="208"/>
        <v>0</v>
      </c>
      <c r="AE140" s="1069">
        <f>'2018-2022'!H130</f>
        <v>18000000</v>
      </c>
      <c r="AF140" s="1062">
        <f t="shared" si="209"/>
        <v>18000000</v>
      </c>
      <c r="AG140" s="1082">
        <f>'2018-2022'!I130</f>
        <v>0</v>
      </c>
    </row>
    <row r="141" spans="1:33" s="665" customFormat="1" ht="40" customHeight="1" x14ac:dyDescent="0.35">
      <c r="A141" s="1113" t="s">
        <v>20</v>
      </c>
      <c r="B141" s="660">
        <v>7</v>
      </c>
      <c r="C141" s="666" t="s">
        <v>349</v>
      </c>
      <c r="D141" s="662"/>
      <c r="E141" s="662"/>
      <c r="F141" s="663">
        <f>'2018-2022'!D131</f>
        <v>25000000</v>
      </c>
      <c r="G141" s="663">
        <v>12</v>
      </c>
      <c r="H141" s="662">
        <f t="shared" si="199"/>
        <v>2083333.3333333333</v>
      </c>
      <c r="I141" s="662">
        <f t="shared" si="212"/>
        <v>2083333.3333333333</v>
      </c>
      <c r="J141" s="662">
        <f t="shared" si="212"/>
        <v>2083333.3333333333</v>
      </c>
      <c r="K141" s="662">
        <f t="shared" si="212"/>
        <v>2083333.3333333333</v>
      </c>
      <c r="L141" s="662">
        <f t="shared" si="212"/>
        <v>2083333.3333333333</v>
      </c>
      <c r="M141" s="662">
        <f t="shared" si="212"/>
        <v>2083333.3333333333</v>
      </c>
      <c r="N141" s="662">
        <f t="shared" si="212"/>
        <v>2083333.3333333333</v>
      </c>
      <c r="O141" s="662">
        <f t="shared" si="212"/>
        <v>2083333.3333333333</v>
      </c>
      <c r="P141" s="662">
        <f t="shared" si="212"/>
        <v>2083333.3333333333</v>
      </c>
      <c r="Q141" s="662">
        <f t="shared" si="212"/>
        <v>2083333.3333333333</v>
      </c>
      <c r="R141" s="662">
        <f t="shared" si="212"/>
        <v>2083333.3333333333</v>
      </c>
      <c r="S141" s="662">
        <f t="shared" si="212"/>
        <v>2083333.3333333333</v>
      </c>
      <c r="T141" s="664">
        <f t="shared" si="211"/>
        <v>24999999.999999996</v>
      </c>
      <c r="U141" s="1069">
        <f t="shared" si="202"/>
        <v>3.7252902984619141E-9</v>
      </c>
      <c r="V141" s="1069">
        <f>'2018-2022'!E131</f>
        <v>25000000</v>
      </c>
      <c r="W141" s="1062">
        <f t="shared" si="203"/>
        <v>25000000.000000004</v>
      </c>
      <c r="X141" s="1073">
        <f t="shared" si="204"/>
        <v>0</v>
      </c>
      <c r="Y141" s="1069">
        <f>'2018-2022'!F131</f>
        <v>25000000</v>
      </c>
      <c r="Z141" s="1062">
        <f t="shared" si="205"/>
        <v>25000000</v>
      </c>
      <c r="AA141" s="1076">
        <f t="shared" si="206"/>
        <v>0</v>
      </c>
      <c r="AB141" s="1069">
        <f>'2018-2022'!G131</f>
        <v>25000000</v>
      </c>
      <c r="AC141" s="1062">
        <f t="shared" si="207"/>
        <v>25000000</v>
      </c>
      <c r="AD141" s="1076">
        <f t="shared" si="208"/>
        <v>0</v>
      </c>
      <c r="AE141" s="1069">
        <f>'2018-2022'!H131</f>
        <v>25000000</v>
      </c>
      <c r="AF141" s="1062">
        <f t="shared" si="209"/>
        <v>25000000</v>
      </c>
      <c r="AG141" s="1082">
        <f>'2018-2022'!I131</f>
        <v>0</v>
      </c>
    </row>
    <row r="142" spans="1:33" s="665" customFormat="1" ht="40" customHeight="1" x14ac:dyDescent="0.35">
      <c r="A142" s="1113" t="s">
        <v>20</v>
      </c>
      <c r="B142" s="660">
        <v>8</v>
      </c>
      <c r="C142" s="666" t="s">
        <v>350</v>
      </c>
      <c r="D142" s="662"/>
      <c r="E142" s="662"/>
      <c r="F142" s="663">
        <f>'2018-2022'!D132</f>
        <v>28800000</v>
      </c>
      <c r="G142" s="663">
        <v>12</v>
      </c>
      <c r="H142" s="662">
        <f t="shared" si="199"/>
        <v>2400000</v>
      </c>
      <c r="I142" s="662">
        <f t="shared" si="212"/>
        <v>2400000</v>
      </c>
      <c r="J142" s="662">
        <f t="shared" si="212"/>
        <v>2400000</v>
      </c>
      <c r="K142" s="662">
        <f t="shared" si="212"/>
        <v>2400000</v>
      </c>
      <c r="L142" s="662">
        <f t="shared" si="212"/>
        <v>2400000</v>
      </c>
      <c r="M142" s="662">
        <f t="shared" si="212"/>
        <v>2400000</v>
      </c>
      <c r="N142" s="662">
        <f t="shared" si="212"/>
        <v>2400000</v>
      </c>
      <c r="O142" s="662">
        <f t="shared" si="212"/>
        <v>2400000</v>
      </c>
      <c r="P142" s="662">
        <f t="shared" si="212"/>
        <v>2400000</v>
      </c>
      <c r="Q142" s="662">
        <f t="shared" si="212"/>
        <v>2400000</v>
      </c>
      <c r="R142" s="662">
        <f t="shared" si="212"/>
        <v>2400000</v>
      </c>
      <c r="S142" s="662">
        <f t="shared" si="212"/>
        <v>2400000</v>
      </c>
      <c r="T142" s="664">
        <f t="shared" si="211"/>
        <v>28800000</v>
      </c>
      <c r="U142" s="1069">
        <f t="shared" si="202"/>
        <v>0</v>
      </c>
      <c r="V142" s="1069">
        <f>'2018-2022'!E132</f>
        <v>28800000</v>
      </c>
      <c r="W142" s="1062">
        <f t="shared" si="203"/>
        <v>28800000</v>
      </c>
      <c r="X142" s="1073">
        <f t="shared" si="204"/>
        <v>0</v>
      </c>
      <c r="Y142" s="1069">
        <f>'2018-2022'!F132</f>
        <v>28800000</v>
      </c>
      <c r="Z142" s="1062">
        <f t="shared" si="205"/>
        <v>28800000</v>
      </c>
      <c r="AA142" s="1076">
        <f t="shared" si="206"/>
        <v>0</v>
      </c>
      <c r="AB142" s="1069">
        <f>'2018-2022'!G132</f>
        <v>28800000</v>
      </c>
      <c r="AC142" s="1062">
        <f t="shared" si="207"/>
        <v>28800000</v>
      </c>
      <c r="AD142" s="1076">
        <f t="shared" si="208"/>
        <v>0</v>
      </c>
      <c r="AE142" s="1069">
        <f>'2018-2022'!H132</f>
        <v>28800000</v>
      </c>
      <c r="AF142" s="1062">
        <f t="shared" si="209"/>
        <v>28800000</v>
      </c>
      <c r="AG142" s="1082" t="str">
        <f>'2018-2022'!I132</f>
        <v>240m2, 120,000 VND/m2</v>
      </c>
    </row>
    <row r="143" spans="1:33" s="665" customFormat="1" ht="40" customHeight="1" x14ac:dyDescent="0.35">
      <c r="A143" s="1113" t="s">
        <v>20</v>
      </c>
      <c r="B143" s="660">
        <v>9</v>
      </c>
      <c r="C143" s="666" t="s">
        <v>355</v>
      </c>
      <c r="D143" s="662"/>
      <c r="E143" s="662"/>
      <c r="F143" s="663">
        <f>'2018-2022'!D133</f>
        <v>260000000</v>
      </c>
      <c r="G143" s="663">
        <v>36</v>
      </c>
      <c r="H143" s="662">
        <f t="shared" si="199"/>
        <v>7222222.222222222</v>
      </c>
      <c r="I143" s="662">
        <f t="shared" si="212"/>
        <v>7222222.222222222</v>
      </c>
      <c r="J143" s="662">
        <f t="shared" si="212"/>
        <v>7222222.222222222</v>
      </c>
      <c r="K143" s="662">
        <f t="shared" si="212"/>
        <v>7222222.222222222</v>
      </c>
      <c r="L143" s="662">
        <f t="shared" si="212"/>
        <v>7222222.222222222</v>
      </c>
      <c r="M143" s="662">
        <f t="shared" si="212"/>
        <v>7222222.222222222</v>
      </c>
      <c r="N143" s="662">
        <f t="shared" si="212"/>
        <v>7222222.222222222</v>
      </c>
      <c r="O143" s="662">
        <f t="shared" si="212"/>
        <v>7222222.222222222</v>
      </c>
      <c r="P143" s="662">
        <f t="shared" si="212"/>
        <v>7222222.222222222</v>
      </c>
      <c r="Q143" s="662">
        <f t="shared" si="212"/>
        <v>7222222.222222222</v>
      </c>
      <c r="R143" s="662">
        <f t="shared" si="212"/>
        <v>7222222.222222222</v>
      </c>
      <c r="S143" s="662">
        <f t="shared" si="212"/>
        <v>7222222.222222222</v>
      </c>
      <c r="T143" s="664">
        <f t="shared" si="211"/>
        <v>86666666.666666672</v>
      </c>
      <c r="U143" s="1069">
        <f t="shared" si="202"/>
        <v>86666666.666666657</v>
      </c>
      <c r="V143" s="1069">
        <f>'2018-2022'!E133</f>
        <v>260000000</v>
      </c>
      <c r="W143" s="1062">
        <f t="shared" si="203"/>
        <v>346666666.66666663</v>
      </c>
      <c r="X143" s="1073">
        <f t="shared" si="204"/>
        <v>86666666.666666657</v>
      </c>
      <c r="Y143" s="1069">
        <f>'2018-2022'!F133</f>
        <v>260000000</v>
      </c>
      <c r="Z143" s="1062">
        <f t="shared" si="205"/>
        <v>346666666.66666663</v>
      </c>
      <c r="AA143" s="1076">
        <f t="shared" si="206"/>
        <v>0</v>
      </c>
      <c r="AB143" s="1069">
        <f>'2018-2022'!G133</f>
        <v>260000000</v>
      </c>
      <c r="AC143" s="1062">
        <f t="shared" si="207"/>
        <v>260000000</v>
      </c>
      <c r="AD143" s="1076">
        <f t="shared" si="208"/>
        <v>0</v>
      </c>
      <c r="AE143" s="1069">
        <f>'2018-2022'!H133</f>
        <v>260000000</v>
      </c>
      <c r="AF143" s="1062">
        <f t="shared" si="209"/>
        <v>260000000</v>
      </c>
      <c r="AG143" s="1082" t="str">
        <f>'2018-2022'!I133</f>
        <v>MF, 3 năm</v>
      </c>
    </row>
    <row r="144" spans="1:33" s="665" customFormat="1" ht="40" customHeight="1" x14ac:dyDescent="0.35">
      <c r="A144" s="1113" t="s">
        <v>20</v>
      </c>
      <c r="B144" s="660">
        <v>10</v>
      </c>
      <c r="C144" s="666" t="s">
        <v>357</v>
      </c>
      <c r="D144" s="662"/>
      <c r="E144" s="662"/>
      <c r="F144" s="663">
        <f>'2018-2022'!D134</f>
        <v>300000000</v>
      </c>
      <c r="G144" s="663">
        <v>12</v>
      </c>
      <c r="H144" s="662">
        <f t="shared" si="199"/>
        <v>25000000</v>
      </c>
      <c r="I144" s="662">
        <f t="shared" si="212"/>
        <v>25000000</v>
      </c>
      <c r="J144" s="662">
        <f t="shared" si="212"/>
        <v>25000000</v>
      </c>
      <c r="K144" s="662">
        <f t="shared" si="212"/>
        <v>25000000</v>
      </c>
      <c r="L144" s="662">
        <f t="shared" si="212"/>
        <v>25000000</v>
      </c>
      <c r="M144" s="662">
        <f t="shared" si="212"/>
        <v>25000000</v>
      </c>
      <c r="N144" s="662">
        <f t="shared" si="212"/>
        <v>25000000</v>
      </c>
      <c r="O144" s="662">
        <f t="shared" si="212"/>
        <v>25000000</v>
      </c>
      <c r="P144" s="662">
        <f t="shared" si="212"/>
        <v>25000000</v>
      </c>
      <c r="Q144" s="662">
        <f t="shared" si="212"/>
        <v>25000000</v>
      </c>
      <c r="R144" s="662">
        <f t="shared" si="212"/>
        <v>25000000</v>
      </c>
      <c r="S144" s="662">
        <f t="shared" si="212"/>
        <v>25000000</v>
      </c>
      <c r="T144" s="664">
        <f t="shared" si="211"/>
        <v>300000000</v>
      </c>
      <c r="U144" s="1069">
        <f t="shared" si="202"/>
        <v>0</v>
      </c>
      <c r="V144" s="1069">
        <f>'2018-2022'!E134</f>
        <v>300000000</v>
      </c>
      <c r="W144" s="1062">
        <f t="shared" si="203"/>
        <v>300000000</v>
      </c>
      <c r="X144" s="1073">
        <f t="shared" si="204"/>
        <v>0</v>
      </c>
      <c r="Y144" s="1069">
        <f>'2018-2022'!F134</f>
        <v>300000000</v>
      </c>
      <c r="Z144" s="1062">
        <f t="shared" si="205"/>
        <v>300000000</v>
      </c>
      <c r="AA144" s="1076">
        <f t="shared" si="206"/>
        <v>0</v>
      </c>
      <c r="AB144" s="1069">
        <f>'2018-2022'!G134</f>
        <v>300000000</v>
      </c>
      <c r="AC144" s="1062">
        <f t="shared" si="207"/>
        <v>300000000</v>
      </c>
      <c r="AD144" s="1076">
        <f t="shared" si="208"/>
        <v>0</v>
      </c>
      <c r="AE144" s="1069">
        <f>'2018-2022'!H134</f>
        <v>300000000</v>
      </c>
      <c r="AF144" s="1062">
        <f t="shared" si="209"/>
        <v>300000000</v>
      </c>
      <c r="AG144" s="1082">
        <f>'2018-2022'!I134</f>
        <v>0</v>
      </c>
    </row>
    <row r="145" spans="1:33" s="665" customFormat="1" ht="40" customHeight="1" x14ac:dyDescent="0.35">
      <c r="A145" s="1113" t="s">
        <v>20</v>
      </c>
      <c r="B145" s="660">
        <v>11</v>
      </c>
      <c r="C145" s="666" t="s">
        <v>512</v>
      </c>
      <c r="D145" s="662"/>
      <c r="E145" s="662"/>
      <c r="F145" s="663">
        <f>'2018-2022'!D135</f>
        <v>35000000</v>
      </c>
      <c r="G145" s="663">
        <v>12</v>
      </c>
      <c r="H145" s="662">
        <f>F145/G145</f>
        <v>2916666.6666666665</v>
      </c>
      <c r="I145" s="662">
        <f>H145</f>
        <v>2916666.6666666665</v>
      </c>
      <c r="J145" s="662">
        <f t="shared" si="212"/>
        <v>2916666.6666666665</v>
      </c>
      <c r="K145" s="662">
        <f t="shared" si="212"/>
        <v>2916666.6666666665</v>
      </c>
      <c r="L145" s="662">
        <f t="shared" si="212"/>
        <v>2916666.6666666665</v>
      </c>
      <c r="M145" s="662">
        <f t="shared" si="212"/>
        <v>2916666.6666666665</v>
      </c>
      <c r="N145" s="662">
        <f t="shared" si="212"/>
        <v>2916666.6666666665</v>
      </c>
      <c r="O145" s="662">
        <f t="shared" si="212"/>
        <v>2916666.6666666665</v>
      </c>
      <c r="P145" s="662">
        <f t="shared" si="212"/>
        <v>2916666.6666666665</v>
      </c>
      <c r="Q145" s="662">
        <f t="shared" si="212"/>
        <v>2916666.6666666665</v>
      </c>
      <c r="R145" s="662">
        <f t="shared" si="212"/>
        <v>2916666.6666666665</v>
      </c>
      <c r="S145" s="662">
        <f t="shared" si="212"/>
        <v>2916666.6666666665</v>
      </c>
      <c r="T145" s="664">
        <f t="shared" si="211"/>
        <v>35000000.000000007</v>
      </c>
      <c r="U145" s="1069">
        <f t="shared" si="202"/>
        <v>-7.4505805969238281E-9</v>
      </c>
      <c r="V145" s="1069">
        <f>'2018-2022'!E135</f>
        <v>35000000</v>
      </c>
      <c r="W145" s="1062">
        <f t="shared" si="203"/>
        <v>34999999.999999993</v>
      </c>
      <c r="X145" s="1073">
        <f t="shared" si="204"/>
        <v>0</v>
      </c>
      <c r="Y145" s="1069">
        <f>'2018-2022'!F135</f>
        <v>35000000</v>
      </c>
      <c r="Z145" s="1062">
        <f t="shared" si="205"/>
        <v>35000000</v>
      </c>
      <c r="AA145" s="1076">
        <f t="shared" si="206"/>
        <v>0</v>
      </c>
      <c r="AB145" s="1069">
        <f>'2018-2022'!G135</f>
        <v>35000000</v>
      </c>
      <c r="AC145" s="1062">
        <f t="shared" si="207"/>
        <v>35000000</v>
      </c>
      <c r="AD145" s="1076">
        <f t="shared" si="208"/>
        <v>0</v>
      </c>
      <c r="AE145" s="1069">
        <f>'2018-2022'!H135</f>
        <v>35000000</v>
      </c>
      <c r="AF145" s="1062">
        <f t="shared" si="209"/>
        <v>35000000</v>
      </c>
      <c r="AG145" s="1082">
        <f>'2018-2022'!I135</f>
        <v>0</v>
      </c>
    </row>
    <row r="146" spans="1:33" s="665" customFormat="1" ht="40" customHeight="1" x14ac:dyDescent="0.35">
      <c r="A146" s="1341" t="s">
        <v>20</v>
      </c>
      <c r="B146" s="1342">
        <v>12</v>
      </c>
      <c r="C146" s="1343" t="s">
        <v>354</v>
      </c>
      <c r="D146" s="1344"/>
      <c r="E146" s="1344"/>
      <c r="F146" s="1345">
        <v>550000000</v>
      </c>
      <c r="G146" s="1345">
        <f>6*12</f>
        <v>72</v>
      </c>
      <c r="H146" s="1344">
        <f>F146/G146</f>
        <v>7638888.888888889</v>
      </c>
      <c r="I146" s="1344">
        <f>H146</f>
        <v>7638888.888888889</v>
      </c>
      <c r="J146" s="1344">
        <f t="shared" si="212"/>
        <v>7638888.888888889</v>
      </c>
      <c r="K146" s="1344">
        <f t="shared" si="212"/>
        <v>7638888.888888889</v>
      </c>
      <c r="L146" s="1344">
        <f t="shared" si="212"/>
        <v>7638888.888888889</v>
      </c>
      <c r="M146" s="1344">
        <f t="shared" si="212"/>
        <v>7638888.888888889</v>
      </c>
      <c r="N146" s="1344">
        <f t="shared" si="212"/>
        <v>7638888.888888889</v>
      </c>
      <c r="O146" s="1344">
        <f t="shared" si="212"/>
        <v>7638888.888888889</v>
      </c>
      <c r="P146" s="1344">
        <f t="shared" si="212"/>
        <v>7638888.888888889</v>
      </c>
      <c r="Q146" s="1344">
        <f t="shared" si="212"/>
        <v>7638888.888888889</v>
      </c>
      <c r="R146" s="1344">
        <f t="shared" si="212"/>
        <v>7638888.888888889</v>
      </c>
      <c r="S146" s="1344">
        <f t="shared" si="212"/>
        <v>7638888.888888889</v>
      </c>
      <c r="T146" s="1346">
        <f>SUM(H146:S146)</f>
        <v>91666666.666666687</v>
      </c>
      <c r="U146" s="1347">
        <f t="shared" ref="U146" si="213">MIN(F146-T146,F146/G146*12)</f>
        <v>91666666.666666672</v>
      </c>
      <c r="V146" s="1347">
        <f>'2018-2022'!E136</f>
        <v>0</v>
      </c>
      <c r="W146" s="1348">
        <f>U146+V146</f>
        <v>91666666.666666672</v>
      </c>
      <c r="X146" s="1349">
        <f t="shared" ref="X146" si="214">MIN(F146-T146-U146,F146/G146*12)</f>
        <v>91666666.666666672</v>
      </c>
      <c r="Y146" s="1347">
        <f>'2018-2022'!F136</f>
        <v>0</v>
      </c>
      <c r="Z146" s="1348">
        <f>X146+Y146</f>
        <v>91666666.666666672</v>
      </c>
      <c r="AA146" s="1350">
        <f t="shared" ref="AA146" si="215">MIN(F146-T146-U146-X146,F146/G146*12)</f>
        <v>91666666.666666672</v>
      </c>
      <c r="AB146" s="1347">
        <f>'2018-2022'!G136</f>
        <v>0</v>
      </c>
      <c r="AC146" s="1348">
        <f>AA146+AB146</f>
        <v>91666666.666666672</v>
      </c>
      <c r="AD146" s="1350">
        <f t="shared" ref="AD146" si="216">F146-T146-U146-X146-AA146</f>
        <v>183333333.33333325</v>
      </c>
      <c r="AE146" s="1347">
        <f>'2018-2022'!H136</f>
        <v>0</v>
      </c>
      <c r="AF146" s="1348">
        <f>AD146+AE146</f>
        <v>183333333.33333325</v>
      </c>
      <c r="AG146" s="1351"/>
    </row>
    <row r="147" spans="1:33" s="665" customFormat="1" ht="40" customHeight="1" x14ac:dyDescent="0.35">
      <c r="A147" s="1116" t="s">
        <v>613</v>
      </c>
      <c r="B147" s="1099"/>
      <c r="C147" s="1100" t="s">
        <v>587</v>
      </c>
      <c r="D147" s="1101"/>
      <c r="E147" s="1101"/>
      <c r="F147" s="1101">
        <f t="shared" ref="F147:U147" si="217">SUBTOTAL(9,F134:F145)</f>
        <v>808800000</v>
      </c>
      <c r="G147" s="1101"/>
      <c r="H147" s="1101">
        <f t="shared" ref="H147:T147" si="218">SUBTOTAL(9,H134:H146)</f>
        <v>60594444.44444444</v>
      </c>
      <c r="I147" s="1101">
        <f t="shared" si="218"/>
        <v>60594444.44444444</v>
      </c>
      <c r="J147" s="1101">
        <f t="shared" si="218"/>
        <v>60594444.44444444</v>
      </c>
      <c r="K147" s="1101">
        <f t="shared" si="218"/>
        <v>60594444.44444444</v>
      </c>
      <c r="L147" s="1101">
        <f t="shared" si="218"/>
        <v>60594444.44444444</v>
      </c>
      <c r="M147" s="1101">
        <f t="shared" si="218"/>
        <v>60594444.44444444</v>
      </c>
      <c r="N147" s="1101">
        <f t="shared" si="218"/>
        <v>60594444.44444444</v>
      </c>
      <c r="O147" s="1101">
        <f t="shared" si="218"/>
        <v>60594444.44444444</v>
      </c>
      <c r="P147" s="1101">
        <f t="shared" si="218"/>
        <v>60594444.44444444</v>
      </c>
      <c r="Q147" s="1101">
        <f t="shared" si="218"/>
        <v>60594444.44444444</v>
      </c>
      <c r="R147" s="1101">
        <f t="shared" si="218"/>
        <v>60594444.44444444</v>
      </c>
      <c r="S147" s="1101">
        <f t="shared" si="218"/>
        <v>60594444.44444444</v>
      </c>
      <c r="T147" s="1101">
        <f t="shared" si="218"/>
        <v>727133333.33333349</v>
      </c>
      <c r="U147" s="1102">
        <f t="shared" si="217"/>
        <v>86666666.666666657</v>
      </c>
      <c r="V147" s="1102">
        <f>SUBTOTAL(9,V134:V145)</f>
        <v>808800000</v>
      </c>
      <c r="W147" s="1101">
        <f>SUBTOTAL(9,W134:W146)</f>
        <v>987133333.33333325</v>
      </c>
      <c r="X147" s="1102">
        <f t="shared" ref="X147:AE147" si="219">SUBTOTAL(9,X134:X146)</f>
        <v>178333333.33333331</v>
      </c>
      <c r="Y147" s="1102">
        <f t="shared" si="219"/>
        <v>808800000</v>
      </c>
      <c r="Z147" s="1101">
        <f>SUBTOTAL(9,Z134:Z146)</f>
        <v>987133333.33333325</v>
      </c>
      <c r="AA147" s="1102">
        <f t="shared" si="219"/>
        <v>91666666.666666672</v>
      </c>
      <c r="AB147" s="1102">
        <f t="shared" si="219"/>
        <v>808800000</v>
      </c>
      <c r="AC147" s="1101">
        <f>SUBTOTAL(9,AC134:AC146)</f>
        <v>900466666.66666663</v>
      </c>
      <c r="AD147" s="1102">
        <f t="shared" si="219"/>
        <v>183333333.33333325</v>
      </c>
      <c r="AE147" s="1102">
        <f t="shared" si="219"/>
        <v>808800000</v>
      </c>
      <c r="AF147" s="1101">
        <f>SUBTOTAL(9,AF134:AF146)</f>
        <v>992133333.33333325</v>
      </c>
      <c r="AG147" s="1103">
        <f>SUBTOTAL(9,AG134:AG145)</f>
        <v>0</v>
      </c>
    </row>
    <row r="148" spans="1:33" s="665" customFormat="1" ht="40" customHeight="1" x14ac:dyDescent="0.35">
      <c r="A148" s="1112" t="s">
        <v>18</v>
      </c>
      <c r="B148" s="1056" t="s">
        <v>18</v>
      </c>
      <c r="C148" s="1104" t="s">
        <v>590</v>
      </c>
      <c r="D148" s="1058"/>
      <c r="E148" s="1058"/>
      <c r="F148" s="1059"/>
      <c r="G148" s="1059"/>
      <c r="H148" s="1058"/>
      <c r="I148" s="1058"/>
      <c r="J148" s="1058"/>
      <c r="K148" s="1058"/>
      <c r="L148" s="1058"/>
      <c r="M148" s="1058"/>
      <c r="N148" s="1058"/>
      <c r="O148" s="1058"/>
      <c r="P148" s="1058"/>
      <c r="Q148" s="1058"/>
      <c r="R148" s="1058"/>
      <c r="S148" s="1058"/>
      <c r="T148" s="1060"/>
      <c r="U148" s="1068"/>
      <c r="V148" s="1068"/>
      <c r="W148" s="1061"/>
      <c r="X148" s="1072"/>
      <c r="Y148" s="1068"/>
      <c r="Z148" s="1061"/>
      <c r="AA148" s="1075"/>
      <c r="AB148" s="1068"/>
      <c r="AC148" s="1061"/>
      <c r="AD148" s="1075"/>
      <c r="AE148" s="1068"/>
      <c r="AF148" s="1061"/>
      <c r="AG148" s="1081"/>
    </row>
    <row r="149" spans="1:33" s="665" customFormat="1" ht="40" customHeight="1" x14ac:dyDescent="0.35">
      <c r="A149" s="1113" t="s">
        <v>18</v>
      </c>
      <c r="B149" s="660">
        <v>1</v>
      </c>
      <c r="C149" s="666" t="s">
        <v>263</v>
      </c>
      <c r="D149" s="662"/>
      <c r="E149" s="662"/>
      <c r="F149" s="663">
        <f>'2018-2022'!D138</f>
        <v>25400000</v>
      </c>
      <c r="G149" s="663">
        <v>12</v>
      </c>
      <c r="H149" s="662">
        <f>F149/G149</f>
        <v>2116666.6666666665</v>
      </c>
      <c r="I149" s="662">
        <f>H149</f>
        <v>2116666.6666666665</v>
      </c>
      <c r="J149" s="662">
        <f t="shared" ref="J149:S149" si="220">I149</f>
        <v>2116666.6666666665</v>
      </c>
      <c r="K149" s="662">
        <f t="shared" si="220"/>
        <v>2116666.6666666665</v>
      </c>
      <c r="L149" s="662">
        <f t="shared" si="220"/>
        <v>2116666.6666666665</v>
      </c>
      <c r="M149" s="662">
        <f t="shared" si="220"/>
        <v>2116666.6666666665</v>
      </c>
      <c r="N149" s="662">
        <f t="shared" si="220"/>
        <v>2116666.6666666665</v>
      </c>
      <c r="O149" s="662">
        <f t="shared" si="220"/>
        <v>2116666.6666666665</v>
      </c>
      <c r="P149" s="662">
        <f t="shared" si="220"/>
        <v>2116666.6666666665</v>
      </c>
      <c r="Q149" s="662">
        <f t="shared" si="220"/>
        <v>2116666.6666666665</v>
      </c>
      <c r="R149" s="662">
        <f t="shared" si="220"/>
        <v>2116666.6666666665</v>
      </c>
      <c r="S149" s="662">
        <f t="shared" si="220"/>
        <v>2116666.6666666665</v>
      </c>
      <c r="T149" s="664">
        <f t="shared" ref="T149" si="221">SUM(H149:S149)</f>
        <v>25400000.000000004</v>
      </c>
      <c r="U149" s="1069">
        <f t="shared" ref="U149:U154" si="222">MIN(F149-T149,F149/G149*12)</f>
        <v>-3.7252902984619141E-9</v>
      </c>
      <c r="V149" s="1069">
        <f>'2018-2022'!E138</f>
        <v>25400000</v>
      </c>
      <c r="W149" s="1062">
        <f t="shared" ref="W149:W154" si="223">U149+V149</f>
        <v>25399999.999999996</v>
      </c>
      <c r="X149" s="1073">
        <f t="shared" ref="X149:X154" si="224">MIN(F149-T149-U149,F149/G149*12)</f>
        <v>0</v>
      </c>
      <c r="Y149" s="1069">
        <f>'2018-2022'!F138</f>
        <v>25400000</v>
      </c>
      <c r="Z149" s="1062">
        <f t="shared" ref="Z149:Z154" si="225">X149+Y149</f>
        <v>25400000</v>
      </c>
      <c r="AA149" s="1076">
        <f t="shared" ref="AA149:AA154" si="226">MIN(F149-T149-U149-X149,F149/G149*12)</f>
        <v>0</v>
      </c>
      <c r="AB149" s="1069">
        <f>'2018-2022'!G138</f>
        <v>25400000</v>
      </c>
      <c r="AC149" s="1062">
        <f t="shared" ref="AC149:AC154" si="227">AA149+AB149</f>
        <v>25400000</v>
      </c>
      <c r="AD149" s="1076">
        <f t="shared" ref="AD149:AD154" si="228">F149-T149-U149-X149-AA149</f>
        <v>0</v>
      </c>
      <c r="AE149" s="1069">
        <f>'2018-2022'!H138</f>
        <v>25400000</v>
      </c>
      <c r="AF149" s="1062">
        <f t="shared" ref="AF149:AF154" si="229">AD149+AE149</f>
        <v>25400000</v>
      </c>
      <c r="AG149" s="1082">
        <f>'2018-2022'!I138</f>
        <v>0</v>
      </c>
    </row>
    <row r="150" spans="1:33" s="665" customFormat="1" ht="40" customHeight="1" x14ac:dyDescent="0.35">
      <c r="A150" s="1113" t="s">
        <v>18</v>
      </c>
      <c r="B150" s="660">
        <v>2</v>
      </c>
      <c r="C150" s="666" t="s">
        <v>264</v>
      </c>
      <c r="D150" s="662"/>
      <c r="E150" s="662"/>
      <c r="F150" s="663">
        <f>'2018-2022'!D139</f>
        <v>82000000</v>
      </c>
      <c r="G150" s="663">
        <v>24</v>
      </c>
      <c r="H150" s="662">
        <f t="shared" ref="H150:H154" si="230">F150/G150</f>
        <v>3416666.6666666665</v>
      </c>
      <c r="I150" s="662">
        <f>H150</f>
        <v>3416666.6666666665</v>
      </c>
      <c r="J150" s="662">
        <f t="shared" ref="J150:S150" si="231">I150</f>
        <v>3416666.6666666665</v>
      </c>
      <c r="K150" s="662">
        <f t="shared" si="231"/>
        <v>3416666.6666666665</v>
      </c>
      <c r="L150" s="662">
        <f t="shared" si="231"/>
        <v>3416666.6666666665</v>
      </c>
      <c r="M150" s="662">
        <f t="shared" si="231"/>
        <v>3416666.6666666665</v>
      </c>
      <c r="N150" s="662">
        <f t="shared" si="231"/>
        <v>3416666.6666666665</v>
      </c>
      <c r="O150" s="662">
        <f t="shared" si="231"/>
        <v>3416666.6666666665</v>
      </c>
      <c r="P150" s="662">
        <f t="shared" si="231"/>
        <v>3416666.6666666665</v>
      </c>
      <c r="Q150" s="662">
        <f t="shared" si="231"/>
        <v>3416666.6666666665</v>
      </c>
      <c r="R150" s="662">
        <f t="shared" si="231"/>
        <v>3416666.6666666665</v>
      </c>
      <c r="S150" s="662">
        <f t="shared" si="231"/>
        <v>3416666.6666666665</v>
      </c>
      <c r="T150" s="664">
        <f t="shared" ref="T150:T154" si="232">SUM(H150:S150)</f>
        <v>41000000</v>
      </c>
      <c r="U150" s="1069">
        <f t="shared" si="222"/>
        <v>41000000</v>
      </c>
      <c r="V150" s="1069">
        <f>'2018-2022'!E139</f>
        <v>0</v>
      </c>
      <c r="W150" s="1062">
        <f t="shared" si="223"/>
        <v>41000000</v>
      </c>
      <c r="X150" s="1073">
        <f t="shared" si="224"/>
        <v>0</v>
      </c>
      <c r="Y150" s="1069">
        <f>'2018-2022'!F139</f>
        <v>82000000</v>
      </c>
      <c r="Z150" s="1062">
        <f t="shared" si="225"/>
        <v>82000000</v>
      </c>
      <c r="AA150" s="1076">
        <f t="shared" si="226"/>
        <v>0</v>
      </c>
      <c r="AB150" s="1069">
        <f>'2018-2022'!G139</f>
        <v>0</v>
      </c>
      <c r="AC150" s="1062">
        <f t="shared" si="227"/>
        <v>0</v>
      </c>
      <c r="AD150" s="1076">
        <f t="shared" si="228"/>
        <v>0</v>
      </c>
      <c r="AE150" s="1069">
        <f>'2018-2022'!H139</f>
        <v>82000000</v>
      </c>
      <c r="AF150" s="1062">
        <f t="shared" si="229"/>
        <v>82000000</v>
      </c>
      <c r="AG150" s="1082" t="str">
        <f>'2018-2022'!I139</f>
        <v>Valid till 2018</v>
      </c>
    </row>
    <row r="151" spans="1:33" s="665" customFormat="1" ht="40" customHeight="1" x14ac:dyDescent="0.35">
      <c r="A151" s="1113" t="s">
        <v>18</v>
      </c>
      <c r="B151" s="660">
        <v>3</v>
      </c>
      <c r="C151" s="666" t="s">
        <v>266</v>
      </c>
      <c r="D151" s="662"/>
      <c r="E151" s="662"/>
      <c r="F151" s="663">
        <f>'2018-2022'!D140</f>
        <v>20000000</v>
      </c>
      <c r="G151" s="663">
        <v>12</v>
      </c>
      <c r="H151" s="662">
        <f t="shared" si="230"/>
        <v>1666666.6666666667</v>
      </c>
      <c r="I151" s="662">
        <f t="shared" ref="I151:S154" si="233">H151</f>
        <v>1666666.6666666667</v>
      </c>
      <c r="J151" s="662">
        <f t="shared" si="233"/>
        <v>1666666.6666666667</v>
      </c>
      <c r="K151" s="662">
        <f t="shared" si="233"/>
        <v>1666666.6666666667</v>
      </c>
      <c r="L151" s="662">
        <f t="shared" si="233"/>
        <v>1666666.6666666667</v>
      </c>
      <c r="M151" s="662">
        <f t="shared" si="233"/>
        <v>1666666.6666666667</v>
      </c>
      <c r="N151" s="662">
        <f t="shared" si="233"/>
        <v>1666666.6666666667</v>
      </c>
      <c r="O151" s="662">
        <f t="shared" si="233"/>
        <v>1666666.6666666667</v>
      </c>
      <c r="P151" s="662">
        <f t="shared" si="233"/>
        <v>1666666.6666666667</v>
      </c>
      <c r="Q151" s="662">
        <f t="shared" si="233"/>
        <v>1666666.6666666667</v>
      </c>
      <c r="R151" s="662">
        <f t="shared" si="233"/>
        <v>1666666.6666666667</v>
      </c>
      <c r="S151" s="662">
        <f t="shared" si="233"/>
        <v>1666666.6666666667</v>
      </c>
      <c r="T151" s="664">
        <f t="shared" si="232"/>
        <v>20000000</v>
      </c>
      <c r="U151" s="1069">
        <f t="shared" si="222"/>
        <v>0</v>
      </c>
      <c r="V151" s="1069">
        <f>'2018-2022'!E140</f>
        <v>20000000</v>
      </c>
      <c r="W151" s="1062">
        <f t="shared" si="223"/>
        <v>20000000</v>
      </c>
      <c r="X151" s="1073">
        <f t="shared" si="224"/>
        <v>0</v>
      </c>
      <c r="Y151" s="1069">
        <f>'2018-2022'!F140</f>
        <v>20000000</v>
      </c>
      <c r="Z151" s="1062">
        <f t="shared" si="225"/>
        <v>20000000</v>
      </c>
      <c r="AA151" s="1076">
        <f t="shared" si="226"/>
        <v>0</v>
      </c>
      <c r="AB151" s="1069">
        <f>'2018-2022'!G140</f>
        <v>20000000</v>
      </c>
      <c r="AC151" s="1062">
        <f t="shared" si="227"/>
        <v>20000000</v>
      </c>
      <c r="AD151" s="1076">
        <f t="shared" si="228"/>
        <v>0</v>
      </c>
      <c r="AE151" s="1069">
        <f>'2018-2022'!H140</f>
        <v>20000000</v>
      </c>
      <c r="AF151" s="1062">
        <f t="shared" si="229"/>
        <v>20000000</v>
      </c>
      <c r="AG151" s="1082">
        <f>'2018-2022'!I140</f>
        <v>0</v>
      </c>
    </row>
    <row r="152" spans="1:33" s="665" customFormat="1" ht="40" customHeight="1" x14ac:dyDescent="0.35">
      <c r="A152" s="1113" t="s">
        <v>18</v>
      </c>
      <c r="B152" s="660">
        <v>4</v>
      </c>
      <c r="C152" s="666" t="s">
        <v>267</v>
      </c>
      <c r="D152" s="662"/>
      <c r="E152" s="662"/>
      <c r="F152" s="663">
        <f>'2018-2022'!D141</f>
        <v>36000000</v>
      </c>
      <c r="G152" s="663">
        <v>12</v>
      </c>
      <c r="H152" s="662">
        <f t="shared" si="230"/>
        <v>3000000</v>
      </c>
      <c r="I152" s="662">
        <f t="shared" si="233"/>
        <v>3000000</v>
      </c>
      <c r="J152" s="662">
        <f t="shared" si="233"/>
        <v>3000000</v>
      </c>
      <c r="K152" s="662">
        <f t="shared" si="233"/>
        <v>3000000</v>
      </c>
      <c r="L152" s="662">
        <f t="shared" si="233"/>
        <v>3000000</v>
      </c>
      <c r="M152" s="662">
        <f t="shared" si="233"/>
        <v>3000000</v>
      </c>
      <c r="N152" s="662">
        <f t="shared" si="233"/>
        <v>3000000</v>
      </c>
      <c r="O152" s="662">
        <f t="shared" si="233"/>
        <v>3000000</v>
      </c>
      <c r="P152" s="662">
        <f t="shared" si="233"/>
        <v>3000000</v>
      </c>
      <c r="Q152" s="662">
        <f t="shared" si="233"/>
        <v>3000000</v>
      </c>
      <c r="R152" s="662">
        <f t="shared" si="233"/>
        <v>3000000</v>
      </c>
      <c r="S152" s="662">
        <f t="shared" si="233"/>
        <v>3000000</v>
      </c>
      <c r="T152" s="664">
        <f t="shared" si="232"/>
        <v>36000000</v>
      </c>
      <c r="U152" s="1069">
        <f t="shared" si="222"/>
        <v>0</v>
      </c>
      <c r="V152" s="1069">
        <f>'2018-2022'!E141</f>
        <v>36000000</v>
      </c>
      <c r="W152" s="1062">
        <f t="shared" si="223"/>
        <v>36000000</v>
      </c>
      <c r="X152" s="1073">
        <f t="shared" si="224"/>
        <v>0</v>
      </c>
      <c r="Y152" s="1069">
        <f>'2018-2022'!F141</f>
        <v>36000000</v>
      </c>
      <c r="Z152" s="1062">
        <f t="shared" si="225"/>
        <v>36000000</v>
      </c>
      <c r="AA152" s="1076">
        <f t="shared" si="226"/>
        <v>0</v>
      </c>
      <c r="AB152" s="1069">
        <f>'2018-2022'!G141</f>
        <v>36000000</v>
      </c>
      <c r="AC152" s="1062">
        <f t="shared" si="227"/>
        <v>36000000</v>
      </c>
      <c r="AD152" s="1076">
        <f t="shared" si="228"/>
        <v>0</v>
      </c>
      <c r="AE152" s="1069">
        <f>'2018-2022'!H141</f>
        <v>36000000</v>
      </c>
      <c r="AF152" s="1062">
        <f t="shared" si="229"/>
        <v>36000000</v>
      </c>
      <c r="AG152" s="1082">
        <f>'2018-2022'!I141</f>
        <v>0</v>
      </c>
    </row>
    <row r="153" spans="1:33" s="665" customFormat="1" ht="40" customHeight="1" x14ac:dyDescent="0.35">
      <c r="A153" s="1113" t="s">
        <v>18</v>
      </c>
      <c r="B153" s="660">
        <v>5</v>
      </c>
      <c r="C153" s="666" t="s">
        <v>268</v>
      </c>
      <c r="D153" s="662"/>
      <c r="E153" s="662"/>
      <c r="F153" s="663">
        <f>'2018-2022'!D142</f>
        <v>20000000</v>
      </c>
      <c r="G153" s="663">
        <v>12</v>
      </c>
      <c r="H153" s="662">
        <f t="shared" si="230"/>
        <v>1666666.6666666667</v>
      </c>
      <c r="I153" s="662">
        <f t="shared" si="233"/>
        <v>1666666.6666666667</v>
      </c>
      <c r="J153" s="662">
        <f t="shared" si="233"/>
        <v>1666666.6666666667</v>
      </c>
      <c r="K153" s="662">
        <f t="shared" si="233"/>
        <v>1666666.6666666667</v>
      </c>
      <c r="L153" s="662">
        <f t="shared" si="233"/>
        <v>1666666.6666666667</v>
      </c>
      <c r="M153" s="662">
        <f t="shared" si="233"/>
        <v>1666666.6666666667</v>
      </c>
      <c r="N153" s="662">
        <f t="shared" si="233"/>
        <v>1666666.6666666667</v>
      </c>
      <c r="O153" s="662">
        <f t="shared" si="233"/>
        <v>1666666.6666666667</v>
      </c>
      <c r="P153" s="662">
        <f t="shared" si="233"/>
        <v>1666666.6666666667</v>
      </c>
      <c r="Q153" s="662">
        <f t="shared" si="233"/>
        <v>1666666.6666666667</v>
      </c>
      <c r="R153" s="662">
        <f t="shared" si="233"/>
        <v>1666666.6666666667</v>
      </c>
      <c r="S153" s="662">
        <f t="shared" si="233"/>
        <v>1666666.6666666667</v>
      </c>
      <c r="T153" s="664">
        <f t="shared" si="232"/>
        <v>20000000</v>
      </c>
      <c r="U153" s="1069">
        <f t="shared" si="222"/>
        <v>0</v>
      </c>
      <c r="V153" s="1069">
        <f>'2018-2022'!E142</f>
        <v>20000000</v>
      </c>
      <c r="W153" s="1062">
        <f t="shared" si="223"/>
        <v>20000000</v>
      </c>
      <c r="X153" s="1073">
        <f t="shared" si="224"/>
        <v>0</v>
      </c>
      <c r="Y153" s="1069">
        <f>'2018-2022'!F142</f>
        <v>20000000</v>
      </c>
      <c r="Z153" s="1062">
        <f t="shared" si="225"/>
        <v>20000000</v>
      </c>
      <c r="AA153" s="1076">
        <f t="shared" si="226"/>
        <v>0</v>
      </c>
      <c r="AB153" s="1069">
        <f>'2018-2022'!G142</f>
        <v>20000000</v>
      </c>
      <c r="AC153" s="1062">
        <f t="shared" si="227"/>
        <v>20000000</v>
      </c>
      <c r="AD153" s="1076">
        <f t="shared" si="228"/>
        <v>0</v>
      </c>
      <c r="AE153" s="1069">
        <f>'2018-2022'!H142</f>
        <v>20000000</v>
      </c>
      <c r="AF153" s="1062">
        <f t="shared" si="229"/>
        <v>20000000</v>
      </c>
      <c r="AG153" s="1082" t="str">
        <f>'2018-2022'!I142</f>
        <v>Required by Fire Dept: 01 time per year.</v>
      </c>
    </row>
    <row r="154" spans="1:33" s="665" customFormat="1" ht="40" customHeight="1" x14ac:dyDescent="0.35">
      <c r="A154" s="1115" t="s">
        <v>18</v>
      </c>
      <c r="B154" s="1089">
        <v>6</v>
      </c>
      <c r="C154" s="1090" t="s">
        <v>269</v>
      </c>
      <c r="D154" s="1091"/>
      <c r="E154" s="1091"/>
      <c r="F154" s="1092">
        <f>'2018-2022'!D143</f>
        <v>5000000</v>
      </c>
      <c r="G154" s="1092">
        <v>12</v>
      </c>
      <c r="H154" s="1091">
        <f t="shared" si="230"/>
        <v>416666.66666666669</v>
      </c>
      <c r="I154" s="1091">
        <f t="shared" si="233"/>
        <v>416666.66666666669</v>
      </c>
      <c r="J154" s="1091">
        <f t="shared" si="233"/>
        <v>416666.66666666669</v>
      </c>
      <c r="K154" s="1091">
        <f t="shared" si="233"/>
        <v>416666.66666666669</v>
      </c>
      <c r="L154" s="1091">
        <f t="shared" si="233"/>
        <v>416666.66666666669</v>
      </c>
      <c r="M154" s="1091">
        <f t="shared" si="233"/>
        <v>416666.66666666669</v>
      </c>
      <c r="N154" s="1091">
        <f t="shared" si="233"/>
        <v>416666.66666666669</v>
      </c>
      <c r="O154" s="1091">
        <f t="shared" si="233"/>
        <v>416666.66666666669</v>
      </c>
      <c r="P154" s="1091">
        <f t="shared" si="233"/>
        <v>416666.66666666669</v>
      </c>
      <c r="Q154" s="1091">
        <f t="shared" si="233"/>
        <v>416666.66666666669</v>
      </c>
      <c r="R154" s="1091">
        <f t="shared" si="233"/>
        <v>416666.66666666669</v>
      </c>
      <c r="S154" s="1091">
        <f t="shared" si="233"/>
        <v>416666.66666666669</v>
      </c>
      <c r="T154" s="1093">
        <f t="shared" si="232"/>
        <v>5000000</v>
      </c>
      <c r="U154" s="1094">
        <f t="shared" si="222"/>
        <v>0</v>
      </c>
      <c r="V154" s="1094">
        <f>'2018-2022'!E143</f>
        <v>5000000</v>
      </c>
      <c r="W154" s="1095">
        <f t="shared" si="223"/>
        <v>5000000</v>
      </c>
      <c r="X154" s="1096">
        <f t="shared" si="224"/>
        <v>0</v>
      </c>
      <c r="Y154" s="1094">
        <f>'2018-2022'!F143</f>
        <v>5000000</v>
      </c>
      <c r="Z154" s="1095">
        <f t="shared" si="225"/>
        <v>5000000</v>
      </c>
      <c r="AA154" s="1097">
        <f t="shared" si="226"/>
        <v>0</v>
      </c>
      <c r="AB154" s="1094">
        <f>'2018-2022'!G143</f>
        <v>5000000</v>
      </c>
      <c r="AC154" s="1095">
        <f t="shared" si="227"/>
        <v>5000000</v>
      </c>
      <c r="AD154" s="1097">
        <f t="shared" si="228"/>
        <v>0</v>
      </c>
      <c r="AE154" s="1094">
        <f>'2018-2022'!H143</f>
        <v>5000000</v>
      </c>
      <c r="AF154" s="1095">
        <f t="shared" si="229"/>
        <v>5000000</v>
      </c>
      <c r="AG154" s="1098" t="str">
        <f>'2018-2022'!I143</f>
        <v>One for Repeater, one for walkie takies (Follow the Law).</v>
      </c>
    </row>
    <row r="155" spans="1:33" s="665" customFormat="1" ht="40" customHeight="1" x14ac:dyDescent="0.35">
      <c r="A155" s="1116" t="s">
        <v>614</v>
      </c>
      <c r="B155" s="1099"/>
      <c r="C155" s="1100" t="s">
        <v>590</v>
      </c>
      <c r="D155" s="1101"/>
      <c r="E155" s="1101"/>
      <c r="F155" s="1101">
        <f t="shared" ref="F155:AD155" si="234">SUBTOTAL(9,F148:F154)</f>
        <v>188400000</v>
      </c>
      <c r="G155" s="1101"/>
      <c r="H155" s="1101">
        <f>SUBTOTAL(9,H148:H154)</f>
        <v>12283333.333333332</v>
      </c>
      <c r="I155" s="1101">
        <f t="shared" si="234"/>
        <v>12283333.333333332</v>
      </c>
      <c r="J155" s="1101">
        <f t="shared" si="234"/>
        <v>12283333.333333332</v>
      </c>
      <c r="K155" s="1101">
        <f t="shared" si="234"/>
        <v>12283333.333333332</v>
      </c>
      <c r="L155" s="1101">
        <f t="shared" si="234"/>
        <v>12283333.333333332</v>
      </c>
      <c r="M155" s="1101">
        <f t="shared" si="234"/>
        <v>12283333.333333332</v>
      </c>
      <c r="N155" s="1101">
        <f t="shared" si="234"/>
        <v>12283333.333333332</v>
      </c>
      <c r="O155" s="1101">
        <f t="shared" si="234"/>
        <v>12283333.333333332</v>
      </c>
      <c r="P155" s="1101">
        <f t="shared" si="234"/>
        <v>12283333.333333332</v>
      </c>
      <c r="Q155" s="1101">
        <f t="shared" si="234"/>
        <v>12283333.333333332</v>
      </c>
      <c r="R155" s="1101">
        <f t="shared" si="234"/>
        <v>12283333.333333332</v>
      </c>
      <c r="S155" s="1101">
        <f t="shared" si="234"/>
        <v>12283333.333333332</v>
      </c>
      <c r="T155" s="1101">
        <f t="shared" si="234"/>
        <v>147400000</v>
      </c>
      <c r="U155" s="1102">
        <f t="shared" si="234"/>
        <v>41000000</v>
      </c>
      <c r="V155" s="1102">
        <f t="shared" si="234"/>
        <v>106400000</v>
      </c>
      <c r="W155" s="1101">
        <f t="shared" si="234"/>
        <v>147400000</v>
      </c>
      <c r="X155" s="1102">
        <f t="shared" si="234"/>
        <v>0</v>
      </c>
      <c r="Y155" s="1102">
        <f>SUBTOTAL(9,Y148:Y154)</f>
        <v>188400000</v>
      </c>
      <c r="Z155" s="1101">
        <f t="shared" ref="Z155" si="235">SUBTOTAL(9,Z148:Z154)</f>
        <v>188400000</v>
      </c>
      <c r="AA155" s="1102">
        <f t="shared" si="234"/>
        <v>0</v>
      </c>
      <c r="AB155" s="1102">
        <f t="shared" ref="AB155:AC155" si="236">SUBTOTAL(9,AB148:AB154)</f>
        <v>106400000</v>
      </c>
      <c r="AC155" s="1101">
        <f t="shared" si="236"/>
        <v>106400000</v>
      </c>
      <c r="AD155" s="1102">
        <f t="shared" si="234"/>
        <v>0</v>
      </c>
      <c r="AE155" s="1102">
        <f t="shared" ref="AE155:AG155" si="237">SUBTOTAL(9,AE148:AE154)</f>
        <v>188400000</v>
      </c>
      <c r="AF155" s="1101">
        <f t="shared" si="237"/>
        <v>188400000</v>
      </c>
      <c r="AG155" s="1103">
        <f t="shared" si="237"/>
        <v>0</v>
      </c>
    </row>
    <row r="156" spans="1:33" s="665" customFormat="1" ht="40" customHeight="1" x14ac:dyDescent="0.35">
      <c r="A156" s="1112" t="s">
        <v>4</v>
      </c>
      <c r="B156" s="1056" t="s">
        <v>4</v>
      </c>
      <c r="C156" s="1104" t="s">
        <v>594</v>
      </c>
      <c r="D156" s="1058"/>
      <c r="E156" s="1058"/>
      <c r="F156" s="1059"/>
      <c r="G156" s="1059"/>
      <c r="H156" s="1058"/>
      <c r="I156" s="1058"/>
      <c r="J156" s="1058"/>
      <c r="K156" s="1058"/>
      <c r="L156" s="1058"/>
      <c r="M156" s="1058"/>
      <c r="N156" s="1058"/>
      <c r="O156" s="1058"/>
      <c r="P156" s="1058"/>
      <c r="Q156" s="1058"/>
      <c r="R156" s="1058"/>
      <c r="S156" s="1058"/>
      <c r="T156" s="1060"/>
      <c r="U156" s="1068"/>
      <c r="V156" s="1068"/>
      <c r="W156" s="1061"/>
      <c r="X156" s="1072"/>
      <c r="Y156" s="1068"/>
      <c r="Z156" s="1061"/>
      <c r="AA156" s="1075"/>
      <c r="AB156" s="1068"/>
      <c r="AC156" s="1061"/>
      <c r="AD156" s="1075"/>
      <c r="AE156" s="1068"/>
      <c r="AF156" s="1061"/>
      <c r="AG156" s="1081"/>
    </row>
    <row r="157" spans="1:33" s="665" customFormat="1" ht="40" customHeight="1" x14ac:dyDescent="0.35">
      <c r="A157" s="1115" t="s">
        <v>4</v>
      </c>
      <c r="B157" s="1089">
        <v>1</v>
      </c>
      <c r="C157" s="1090" t="s">
        <v>457</v>
      </c>
      <c r="D157" s="1091"/>
      <c r="E157" s="1091"/>
      <c r="F157" s="1092">
        <f>'2018-2022'!D145</f>
        <v>60640800.000000007</v>
      </c>
      <c r="G157" s="1092">
        <v>12</v>
      </c>
      <c r="H157" s="1091">
        <f>F157/G157</f>
        <v>5053400.0000000009</v>
      </c>
      <c r="I157" s="1091">
        <f>H157</f>
        <v>5053400.0000000009</v>
      </c>
      <c r="J157" s="1091">
        <f t="shared" ref="J157:S157" si="238">I157</f>
        <v>5053400.0000000009</v>
      </c>
      <c r="K157" s="1091">
        <f t="shared" si="238"/>
        <v>5053400.0000000009</v>
      </c>
      <c r="L157" s="1091">
        <f t="shared" si="238"/>
        <v>5053400.0000000009</v>
      </c>
      <c r="M157" s="1091">
        <f t="shared" si="238"/>
        <v>5053400.0000000009</v>
      </c>
      <c r="N157" s="1091">
        <f t="shared" si="238"/>
        <v>5053400.0000000009</v>
      </c>
      <c r="O157" s="1091">
        <f t="shared" si="238"/>
        <v>5053400.0000000009</v>
      </c>
      <c r="P157" s="1091">
        <f t="shared" si="238"/>
        <v>5053400.0000000009</v>
      </c>
      <c r="Q157" s="1091">
        <f t="shared" si="238"/>
        <v>5053400.0000000009</v>
      </c>
      <c r="R157" s="1091">
        <f t="shared" si="238"/>
        <v>5053400.0000000009</v>
      </c>
      <c r="S157" s="1091">
        <f t="shared" si="238"/>
        <v>5053400.0000000009</v>
      </c>
      <c r="T157" s="1093">
        <f>SUM(H157:S157)</f>
        <v>60640800.000000007</v>
      </c>
      <c r="U157" s="1094">
        <f>MIN(F157-T157,F157/G157*12)</f>
        <v>0</v>
      </c>
      <c r="V157" s="1094">
        <f>'2018-2022'!E145</f>
        <v>60640800.000000007</v>
      </c>
      <c r="W157" s="1095">
        <f>U157+V157</f>
        <v>60640800.000000007</v>
      </c>
      <c r="X157" s="1096">
        <f>MIN(F157-T157-U157,F157/G157*12)</f>
        <v>0</v>
      </c>
      <c r="Y157" s="1094">
        <f>'2018-2022'!F145</f>
        <v>60640800.000000007</v>
      </c>
      <c r="Z157" s="1095">
        <f>X157+Y157</f>
        <v>60640800.000000007</v>
      </c>
      <c r="AA157" s="1097">
        <f>MIN(F157-T157-U157-X157,F157/G157*12)</f>
        <v>0</v>
      </c>
      <c r="AB157" s="1094">
        <f>'2018-2022'!G145</f>
        <v>60640800.000000007</v>
      </c>
      <c r="AC157" s="1095">
        <f>AA157+AB157</f>
        <v>60640800.000000007</v>
      </c>
      <c r="AD157" s="1097">
        <f>F157-T157-U157-X157-AA157</f>
        <v>0</v>
      </c>
      <c r="AE157" s="1094">
        <f>'2018-2022'!H145</f>
        <v>60640800.000000007</v>
      </c>
      <c r="AF157" s="1095">
        <f>AD157+AE157</f>
        <v>60640800.000000007</v>
      </c>
      <c r="AG157" s="1098" t="str">
        <f>'2018-2022'!I145</f>
        <v>Total 4,000 lit ( 1800 lit for run test and 4800 lit  for in load)</v>
      </c>
    </row>
    <row r="158" spans="1:33" s="665" customFormat="1" ht="40" customHeight="1" x14ac:dyDescent="0.35">
      <c r="A158" s="1116" t="s">
        <v>615</v>
      </c>
      <c r="B158" s="1099"/>
      <c r="C158" s="1100" t="s">
        <v>594</v>
      </c>
      <c r="D158" s="1101"/>
      <c r="E158" s="1101"/>
      <c r="F158" s="1101">
        <f>SUBTOTAL(9,F157:F157)</f>
        <v>60640800.000000007</v>
      </c>
      <c r="G158" s="1101"/>
      <c r="H158" s="1101">
        <f t="shared" ref="H158:AD158" si="239">SUBTOTAL(9,H157:H157)</f>
        <v>5053400.0000000009</v>
      </c>
      <c r="I158" s="1101">
        <f t="shared" si="239"/>
        <v>5053400.0000000009</v>
      </c>
      <c r="J158" s="1101">
        <f t="shared" si="239"/>
        <v>5053400.0000000009</v>
      </c>
      <c r="K158" s="1101">
        <f t="shared" si="239"/>
        <v>5053400.0000000009</v>
      </c>
      <c r="L158" s="1101">
        <f t="shared" si="239"/>
        <v>5053400.0000000009</v>
      </c>
      <c r="M158" s="1101">
        <f t="shared" si="239"/>
        <v>5053400.0000000009</v>
      </c>
      <c r="N158" s="1101">
        <f t="shared" si="239"/>
        <v>5053400.0000000009</v>
      </c>
      <c r="O158" s="1101">
        <f t="shared" si="239"/>
        <v>5053400.0000000009</v>
      </c>
      <c r="P158" s="1101">
        <f t="shared" si="239"/>
        <v>5053400.0000000009</v>
      </c>
      <c r="Q158" s="1101">
        <f t="shared" si="239"/>
        <v>5053400.0000000009</v>
      </c>
      <c r="R158" s="1101">
        <f t="shared" si="239"/>
        <v>5053400.0000000009</v>
      </c>
      <c r="S158" s="1101">
        <f t="shared" si="239"/>
        <v>5053400.0000000009</v>
      </c>
      <c r="T158" s="1101">
        <f t="shared" si="239"/>
        <v>60640800.000000007</v>
      </c>
      <c r="U158" s="1102">
        <f t="shared" si="239"/>
        <v>0</v>
      </c>
      <c r="V158" s="1102">
        <f t="shared" si="239"/>
        <v>60640800.000000007</v>
      </c>
      <c r="W158" s="1101">
        <f>SUBTOTAL(9,W157:W157)</f>
        <v>60640800.000000007</v>
      </c>
      <c r="X158" s="1102">
        <f t="shared" si="239"/>
        <v>0</v>
      </c>
      <c r="Y158" s="1102">
        <f>SUBTOTAL(9,Y157:Y157)</f>
        <v>60640800.000000007</v>
      </c>
      <c r="Z158" s="1101">
        <f>SUBTOTAL(9,Z157:Z157)</f>
        <v>60640800.000000007</v>
      </c>
      <c r="AA158" s="1102">
        <f t="shared" si="239"/>
        <v>0</v>
      </c>
      <c r="AB158" s="1102">
        <f t="shared" ref="AB158" si="240">SUBTOTAL(9,AB157:AB157)</f>
        <v>60640800.000000007</v>
      </c>
      <c r="AC158" s="1101">
        <f>SUBTOTAL(9,AC157:AC157)</f>
        <v>60640800.000000007</v>
      </c>
      <c r="AD158" s="1102">
        <f t="shared" si="239"/>
        <v>0</v>
      </c>
      <c r="AE158" s="1102">
        <f t="shared" ref="AE158:AG158" si="241">SUBTOTAL(9,AE157:AE157)</f>
        <v>60640800.000000007</v>
      </c>
      <c r="AF158" s="1101">
        <f>SUBTOTAL(9,AF157:AF157)</f>
        <v>60640800.000000007</v>
      </c>
      <c r="AG158" s="1103">
        <f t="shared" si="241"/>
        <v>0</v>
      </c>
    </row>
    <row r="159" spans="1:33" s="665" customFormat="1" ht="40" customHeight="1" x14ac:dyDescent="0.35">
      <c r="A159" s="1117" t="s">
        <v>598</v>
      </c>
      <c r="B159" s="1084"/>
      <c r="C159" s="1085"/>
      <c r="D159" s="1086"/>
      <c r="E159" s="1086"/>
      <c r="F159" s="1086">
        <f>SUBTOTAL(9,F7:F158)</f>
        <v>7376426800</v>
      </c>
      <c r="G159" s="1086"/>
      <c r="H159" s="1086">
        <f t="shared" ref="H159:AG159" si="242">SUBTOTAL(9,H7:H158)</f>
        <v>491876677.77777809</v>
      </c>
      <c r="I159" s="1086">
        <f t="shared" si="242"/>
        <v>491876677.77777809</v>
      </c>
      <c r="J159" s="1086">
        <f t="shared" si="242"/>
        <v>492476677.77777809</v>
      </c>
      <c r="K159" s="1086">
        <f t="shared" si="242"/>
        <v>502436677.77777803</v>
      </c>
      <c r="L159" s="1086">
        <f t="shared" si="242"/>
        <v>502436677.77777803</v>
      </c>
      <c r="M159" s="1086">
        <f t="shared" si="242"/>
        <v>502436677.77777803</v>
      </c>
      <c r="N159" s="1086">
        <f t="shared" si="242"/>
        <v>502436677.77777803</v>
      </c>
      <c r="O159" s="1086">
        <f t="shared" si="242"/>
        <v>502436677.77777803</v>
      </c>
      <c r="P159" s="1086">
        <f t="shared" si="242"/>
        <v>503036677.77777803</v>
      </c>
      <c r="Q159" s="1086">
        <f t="shared" si="242"/>
        <v>502436677.77777803</v>
      </c>
      <c r="R159" s="1086">
        <f t="shared" si="242"/>
        <v>502436677.77777803</v>
      </c>
      <c r="S159" s="1086">
        <f t="shared" si="242"/>
        <v>502436677.77777803</v>
      </c>
      <c r="T159" s="1086">
        <f t="shared" si="242"/>
        <v>5998760133.333334</v>
      </c>
      <c r="U159" s="1087">
        <f t="shared" si="242"/>
        <v>477833333.33333319</v>
      </c>
      <c r="V159" s="1087">
        <f t="shared" si="242"/>
        <v>5921426800</v>
      </c>
      <c r="W159" s="1086">
        <f t="shared" si="242"/>
        <v>6399260133.333334</v>
      </c>
      <c r="X159" s="1087">
        <f t="shared" si="242"/>
        <v>366583333.33333331</v>
      </c>
      <c r="Y159" s="1087">
        <f t="shared" si="242"/>
        <v>6159426800</v>
      </c>
      <c r="Z159" s="1086">
        <f t="shared" si="242"/>
        <v>6526010133.333334</v>
      </c>
      <c r="AA159" s="1087">
        <f t="shared" si="242"/>
        <v>229916666.66666669</v>
      </c>
      <c r="AB159" s="1087">
        <f t="shared" si="242"/>
        <v>6247426800</v>
      </c>
      <c r="AC159" s="1086">
        <f t="shared" si="242"/>
        <v>6477343466.666667</v>
      </c>
      <c r="AD159" s="1087">
        <f t="shared" si="242"/>
        <v>303333333.33333325</v>
      </c>
      <c r="AE159" s="1087">
        <f t="shared" si="242"/>
        <v>6826426800</v>
      </c>
      <c r="AF159" s="1086">
        <f t="shared" si="242"/>
        <v>7129760133.333333</v>
      </c>
      <c r="AG159" s="1088">
        <f t="shared" si="242"/>
        <v>0</v>
      </c>
    </row>
    <row r="182" spans="6:6" x14ac:dyDescent="0.3">
      <c r="F182" s="130">
        <f>F159-'Engineering - Breakdown - MF'!D4</f>
        <v>0</v>
      </c>
    </row>
  </sheetData>
  <pageMargins left="0.4" right="0.4" top="0.3" bottom="0.3" header="0.3" footer="0.2"/>
  <pageSetup paperSize="8" scale="55" firstPageNumber="5" orientation="landscape" useFirstPageNumber="1" r:id="rId1"/>
  <headerFooter>
    <oddFooter>&amp;L&amp;F, &amp;A&amp;RPage &amp;P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7"/>
  <sheetViews>
    <sheetView topLeftCell="A13" zoomScale="80" zoomScaleNormal="80" zoomScaleSheetLayoutView="70" zoomScalePageLayoutView="80" workbookViewId="0">
      <selection activeCell="D4" sqref="D4"/>
    </sheetView>
  </sheetViews>
  <sheetFormatPr defaultColWidth="8.81640625" defaultRowHeight="11.25" customHeight="1" x14ac:dyDescent="0.35"/>
  <cols>
    <col min="1" max="1" width="5.81640625" style="369" customWidth="1"/>
    <col min="2" max="2" width="6.81640625" style="142" customWidth="1"/>
    <col min="3" max="3" width="61.7265625" style="369" customWidth="1"/>
    <col min="4" max="8" width="20.453125" style="684" customWidth="1"/>
    <col min="9" max="9" width="40.7265625" style="143" customWidth="1"/>
    <col min="10" max="10" width="21.26953125" style="414" customWidth="1"/>
    <col min="11" max="11" width="8.81640625" style="369"/>
    <col min="12" max="12" width="12.453125" style="369" bestFit="1" customWidth="1"/>
    <col min="13" max="13" width="18.1796875" style="369" bestFit="1" customWidth="1"/>
    <col min="14" max="16384" width="8.81640625" style="369"/>
  </cols>
  <sheetData>
    <row r="1" spans="1:10" ht="58.5" customHeight="1" x14ac:dyDescent="0.35"/>
    <row r="2" spans="1:10" ht="38.25" customHeight="1" x14ac:dyDescent="0.35">
      <c r="A2" s="438" t="s">
        <v>909</v>
      </c>
      <c r="B2" s="439"/>
      <c r="C2" s="440"/>
      <c r="D2" s="685"/>
      <c r="E2" s="685"/>
      <c r="F2" s="685"/>
      <c r="G2" s="685"/>
      <c r="H2" s="685"/>
      <c r="I2" s="440"/>
    </row>
    <row r="3" spans="1:10" ht="69.75" customHeight="1" x14ac:dyDescent="0.35">
      <c r="A3" s="434" t="s">
        <v>459</v>
      </c>
      <c r="B3" s="435"/>
      <c r="C3" s="434" t="s">
        <v>236</v>
      </c>
      <c r="D3" s="686" t="s">
        <v>237</v>
      </c>
      <c r="E3" s="686" t="s">
        <v>905</v>
      </c>
      <c r="F3" s="436" t="s">
        <v>906</v>
      </c>
      <c r="G3" s="686" t="s">
        <v>907</v>
      </c>
      <c r="H3" s="686" t="s">
        <v>908</v>
      </c>
      <c r="I3" s="437" t="s">
        <v>593</v>
      </c>
    </row>
    <row r="4" spans="1:10" s="321" customFormat="1" ht="30" customHeight="1" x14ac:dyDescent="0.35">
      <c r="A4" s="481"/>
      <c r="B4" s="482"/>
      <c r="C4" s="481" t="s">
        <v>556</v>
      </c>
      <c r="D4" s="687">
        <f>D5+D9+D11+D20+D31+D39+D51+D64+D73+D81+D86+D91+D112+D117+D120+D124+D137+D97+D144</f>
        <v>7376426800</v>
      </c>
      <c r="E4" s="687">
        <f>E5+E9+E11+E20+E31+E39+E51+E64+E73+E81+E86+E91+E112+E117+E120+E124+E137+E97+E144</f>
        <v>5921426800</v>
      </c>
      <c r="F4" s="687">
        <f>F5+F9+F11+F20+F31+F39+F51+F64+F73+F81+F86+F91+F112+F117+F120+F124+F137+F97+F144</f>
        <v>6159426800</v>
      </c>
      <c r="G4" s="687">
        <f>G5+G9+G11+G20+G31+G39+G51+G64+G73+G81+G86+G91+G112+G117+G120+G124+G137+G97+G144</f>
        <v>6247426800</v>
      </c>
      <c r="H4" s="687">
        <f>H5+H9+H11+H20+H31+H39+H51+H64+H73+H81+H86+H91+H112+H117+H120+H124+H137+H97+H144</f>
        <v>6826426800</v>
      </c>
      <c r="I4" s="335"/>
      <c r="J4" s="364"/>
    </row>
    <row r="5" spans="1:10" s="321" customFormat="1" ht="30" customHeight="1" x14ac:dyDescent="0.35">
      <c r="A5" s="484" t="s">
        <v>77</v>
      </c>
      <c r="B5" s="485" t="s">
        <v>199</v>
      </c>
      <c r="C5" s="486" t="s">
        <v>557</v>
      </c>
      <c r="D5" s="688">
        <f>SUM(D6:D8)</f>
        <v>31200000</v>
      </c>
      <c r="E5" s="688">
        <f t="shared" ref="E5:H5" si="0">SUM(E6:E8)</f>
        <v>31200000</v>
      </c>
      <c r="F5" s="688">
        <f t="shared" si="0"/>
        <v>31200000</v>
      </c>
      <c r="G5" s="688">
        <f t="shared" si="0"/>
        <v>31200000</v>
      </c>
      <c r="H5" s="688">
        <f t="shared" si="0"/>
        <v>31200000</v>
      </c>
      <c r="I5" s="145"/>
      <c r="J5" s="364"/>
    </row>
    <row r="6" spans="1:10" s="321" customFormat="1" ht="30" customHeight="1" x14ac:dyDescent="0.35">
      <c r="A6" s="331"/>
      <c r="B6" s="446" t="s">
        <v>249</v>
      </c>
      <c r="C6" s="456" t="s">
        <v>493</v>
      </c>
      <c r="D6" s="689">
        <f>600000*2</f>
        <v>1200000</v>
      </c>
      <c r="E6" s="689">
        <v>1200000</v>
      </c>
      <c r="F6" s="689">
        <v>1200000</v>
      </c>
      <c r="G6" s="689">
        <v>1200000</v>
      </c>
      <c r="H6" s="689">
        <v>1200000</v>
      </c>
      <c r="I6" s="480" t="s">
        <v>327</v>
      </c>
      <c r="J6" s="415"/>
    </row>
    <row r="7" spans="1:10" s="418" customFormat="1" ht="30" customHeight="1" x14ac:dyDescent="0.35">
      <c r="A7" s="416"/>
      <c r="B7" s="147" t="s">
        <v>251</v>
      </c>
      <c r="C7" s="153" t="s">
        <v>494</v>
      </c>
      <c r="D7" s="690">
        <v>10000000</v>
      </c>
      <c r="E7" s="690">
        <v>10000000</v>
      </c>
      <c r="F7" s="690">
        <v>10000000</v>
      </c>
      <c r="G7" s="690">
        <v>10000000</v>
      </c>
      <c r="H7" s="690">
        <v>10000000</v>
      </c>
      <c r="I7" s="330"/>
      <c r="J7" s="417"/>
    </row>
    <row r="8" spans="1:10" s="321" customFormat="1" ht="30" customHeight="1" x14ac:dyDescent="0.35">
      <c r="A8" s="441"/>
      <c r="B8" s="442">
        <v>3</v>
      </c>
      <c r="C8" s="468" t="s">
        <v>238</v>
      </c>
      <c r="D8" s="691">
        <v>20000000</v>
      </c>
      <c r="E8" s="691">
        <v>20000000</v>
      </c>
      <c r="F8" s="691">
        <v>20000000</v>
      </c>
      <c r="G8" s="691">
        <v>20000000</v>
      </c>
      <c r="H8" s="691">
        <v>20000000</v>
      </c>
      <c r="I8" s="366"/>
      <c r="J8" s="364"/>
    </row>
    <row r="9" spans="1:10" s="321" customFormat="1" ht="30" customHeight="1" x14ac:dyDescent="0.35">
      <c r="A9" s="451" t="s">
        <v>75</v>
      </c>
      <c r="B9" s="478" t="s">
        <v>164</v>
      </c>
      <c r="C9" s="692" t="s">
        <v>551</v>
      </c>
      <c r="D9" s="688">
        <f>SUM(D10)</f>
        <v>1673400000</v>
      </c>
      <c r="E9" s="688">
        <f>SUM(E10)</f>
        <v>1673400000</v>
      </c>
      <c r="F9" s="688">
        <f t="shared" ref="F9:H9" si="1">SUM(F10)</f>
        <v>1673400000</v>
      </c>
      <c r="G9" s="688">
        <f t="shared" si="1"/>
        <v>1673400000</v>
      </c>
      <c r="H9" s="688">
        <f t="shared" si="1"/>
        <v>1673400000</v>
      </c>
      <c r="I9" s="145"/>
      <c r="J9" s="419"/>
    </row>
    <row r="10" spans="1:10" s="321" customFormat="1" ht="60.75" customHeight="1" x14ac:dyDescent="0.35">
      <c r="A10" s="475"/>
      <c r="B10" s="476">
        <v>1</v>
      </c>
      <c r="C10" s="477" t="s">
        <v>281</v>
      </c>
      <c r="D10" s="693">
        <f>1578360000/12*3+1705080000/12*9</f>
        <v>1673400000</v>
      </c>
      <c r="E10" s="693">
        <v>1673400000</v>
      </c>
      <c r="F10" s="693">
        <v>1673400000</v>
      </c>
      <c r="G10" s="693">
        <v>1673400000</v>
      </c>
      <c r="H10" s="693">
        <v>1673400000</v>
      </c>
      <c r="I10" s="367" t="s">
        <v>282</v>
      </c>
      <c r="J10" s="419" t="s">
        <v>462</v>
      </c>
    </row>
    <row r="11" spans="1:10" s="321" customFormat="1" ht="30" customHeight="1" x14ac:dyDescent="0.35">
      <c r="A11" s="457" t="s">
        <v>73</v>
      </c>
      <c r="B11" s="458" t="s">
        <v>558</v>
      </c>
      <c r="C11" s="457" t="s">
        <v>559</v>
      </c>
      <c r="D11" s="694">
        <f>SUM(D12:D13)</f>
        <v>284280000</v>
      </c>
      <c r="E11" s="694">
        <f>SUM(E12:E13)</f>
        <v>284280000</v>
      </c>
      <c r="F11" s="694">
        <f t="shared" ref="F11:H11" si="2">SUM(F12:F13)</f>
        <v>260280000</v>
      </c>
      <c r="G11" s="694">
        <f t="shared" si="2"/>
        <v>260280000</v>
      </c>
      <c r="H11" s="694">
        <f t="shared" si="2"/>
        <v>284280000</v>
      </c>
      <c r="I11" s="145"/>
      <c r="J11" s="364"/>
    </row>
    <row r="12" spans="1:10" ht="30" customHeight="1" x14ac:dyDescent="0.35">
      <c r="A12" s="331"/>
      <c r="B12" s="465">
        <v>1</v>
      </c>
      <c r="C12" s="466" t="s">
        <v>285</v>
      </c>
      <c r="D12" s="695">
        <f>66000000*1.08</f>
        <v>71280000</v>
      </c>
      <c r="E12" s="695">
        <v>71280000</v>
      </c>
      <c r="F12" s="695">
        <v>71280000</v>
      </c>
      <c r="G12" s="695">
        <v>71280000</v>
      </c>
      <c r="H12" s="695">
        <v>71280000</v>
      </c>
      <c r="I12" s="334"/>
    </row>
    <row r="13" spans="1:10" ht="30" customHeight="1" x14ac:dyDescent="0.35">
      <c r="A13" s="150"/>
      <c r="B13" s="412">
        <v>2</v>
      </c>
      <c r="C13" s="425" t="s">
        <v>560</v>
      </c>
      <c r="D13" s="696">
        <f>SUM(D14:D19)</f>
        <v>213000000</v>
      </c>
      <c r="E13" s="696">
        <f t="shared" ref="E13:H13" si="3">SUM(E14:E19)</f>
        <v>213000000</v>
      </c>
      <c r="F13" s="696">
        <f t="shared" si="3"/>
        <v>189000000</v>
      </c>
      <c r="G13" s="696">
        <f t="shared" si="3"/>
        <v>189000000</v>
      </c>
      <c r="H13" s="696">
        <f t="shared" si="3"/>
        <v>213000000</v>
      </c>
      <c r="I13" s="153"/>
    </row>
    <row r="14" spans="1:10" s="418" customFormat="1" ht="30" customHeight="1" x14ac:dyDescent="0.35">
      <c r="A14" s="416"/>
      <c r="B14" s="147">
        <v>2.1</v>
      </c>
      <c r="C14" s="368" t="s">
        <v>239</v>
      </c>
      <c r="D14" s="690">
        <v>18000000</v>
      </c>
      <c r="E14" s="690">
        <v>18000000</v>
      </c>
      <c r="F14" s="690"/>
      <c r="G14" s="690"/>
      <c r="H14" s="690">
        <v>18000000</v>
      </c>
      <c r="I14" s="420" t="s">
        <v>240</v>
      </c>
      <c r="J14" s="421"/>
    </row>
    <row r="15" spans="1:10" s="418" customFormat="1" ht="30" customHeight="1" x14ac:dyDescent="0.35">
      <c r="A15" s="416"/>
      <c r="B15" s="147">
        <v>2.2000000000000002</v>
      </c>
      <c r="C15" s="368" t="s">
        <v>241</v>
      </c>
      <c r="D15" s="690">
        <v>6000000</v>
      </c>
      <c r="E15" s="690">
        <v>6000000</v>
      </c>
      <c r="F15" s="690"/>
      <c r="G15" s="690"/>
      <c r="H15" s="690">
        <v>6000000</v>
      </c>
      <c r="I15" s="422" t="s">
        <v>242</v>
      </c>
      <c r="J15" s="421"/>
    </row>
    <row r="16" spans="1:10" s="418" customFormat="1" ht="30" customHeight="1" x14ac:dyDescent="0.35">
      <c r="A16" s="416"/>
      <c r="B16" s="147">
        <v>2.2999999999999998</v>
      </c>
      <c r="C16" s="368" t="s">
        <v>243</v>
      </c>
      <c r="D16" s="690">
        <v>3000000</v>
      </c>
      <c r="E16" s="690">
        <v>3000000</v>
      </c>
      <c r="F16" s="690">
        <v>3000000</v>
      </c>
      <c r="G16" s="690">
        <v>3000000</v>
      </c>
      <c r="H16" s="690">
        <v>3000000</v>
      </c>
      <c r="I16" s="422"/>
      <c r="J16" s="421"/>
    </row>
    <row r="17" spans="1:10" s="418" customFormat="1" ht="30" customHeight="1" x14ac:dyDescent="0.35">
      <c r="A17" s="416"/>
      <c r="B17" s="147">
        <v>2.4</v>
      </c>
      <c r="C17" s="368" t="s">
        <v>463</v>
      </c>
      <c r="D17" s="690">
        <f>150*270000</f>
        <v>40500000</v>
      </c>
      <c r="E17" s="690">
        <v>40500000</v>
      </c>
      <c r="F17" s="690">
        <v>40500000</v>
      </c>
      <c r="G17" s="690">
        <v>40500000</v>
      </c>
      <c r="H17" s="690">
        <v>40500000</v>
      </c>
      <c r="I17" s="424"/>
      <c r="J17" s="421" t="s">
        <v>548</v>
      </c>
    </row>
    <row r="18" spans="1:10" s="418" customFormat="1" ht="30" customHeight="1" x14ac:dyDescent="0.35">
      <c r="A18" s="416"/>
      <c r="B18" s="147">
        <v>2.5</v>
      </c>
      <c r="C18" s="368" t="s">
        <v>464</v>
      </c>
      <c r="D18" s="690">
        <f>95000*900</f>
        <v>85500000</v>
      </c>
      <c r="E18" s="690">
        <v>85500000</v>
      </c>
      <c r="F18" s="690">
        <v>85500000</v>
      </c>
      <c r="G18" s="690">
        <v>85500000</v>
      </c>
      <c r="H18" s="690">
        <v>85500000</v>
      </c>
      <c r="I18" s="424"/>
      <c r="J18" s="421" t="s">
        <v>548</v>
      </c>
    </row>
    <row r="19" spans="1:10" s="418" customFormat="1" ht="30" customHeight="1" x14ac:dyDescent="0.35">
      <c r="A19" s="416"/>
      <c r="B19" s="155">
        <v>2.6</v>
      </c>
      <c r="C19" s="368" t="s">
        <v>465</v>
      </c>
      <c r="D19" s="690">
        <f>3*20000000</f>
        <v>60000000</v>
      </c>
      <c r="E19" s="690">
        <v>60000000</v>
      </c>
      <c r="F19" s="690">
        <v>60000000</v>
      </c>
      <c r="G19" s="690">
        <v>60000000</v>
      </c>
      <c r="H19" s="690">
        <v>60000000</v>
      </c>
      <c r="I19" s="330"/>
      <c r="J19" s="421" t="s">
        <v>548</v>
      </c>
    </row>
    <row r="20" spans="1:10" s="321" customFormat="1" ht="30" customHeight="1" x14ac:dyDescent="0.35">
      <c r="A20" s="457" t="s">
        <v>67</v>
      </c>
      <c r="B20" s="458" t="s">
        <v>562</v>
      </c>
      <c r="C20" s="457" t="s">
        <v>561</v>
      </c>
      <c r="D20" s="694">
        <f>SUM(D21:D22)</f>
        <v>444996000</v>
      </c>
      <c r="E20" s="694">
        <f t="shared" ref="E20:H20" si="4">SUM(E21:E22)</f>
        <v>444996000</v>
      </c>
      <c r="F20" s="694">
        <f t="shared" si="4"/>
        <v>444996000</v>
      </c>
      <c r="G20" s="694">
        <f t="shared" si="4"/>
        <v>444996000</v>
      </c>
      <c r="H20" s="694">
        <f t="shared" si="4"/>
        <v>444996000</v>
      </c>
      <c r="I20" s="145"/>
      <c r="J20" s="364"/>
    </row>
    <row r="21" spans="1:10" s="321" customFormat="1" ht="30" customHeight="1" x14ac:dyDescent="0.35">
      <c r="A21" s="331"/>
      <c r="B21" s="465">
        <v>1</v>
      </c>
      <c r="C21" s="466" t="s">
        <v>285</v>
      </c>
      <c r="D21" s="695">
        <v>250000000</v>
      </c>
      <c r="E21" s="695">
        <v>250000000</v>
      </c>
      <c r="F21" s="695">
        <v>250000000</v>
      </c>
      <c r="G21" s="695">
        <v>250000000</v>
      </c>
      <c r="H21" s="695">
        <v>250000000</v>
      </c>
      <c r="I21" s="467"/>
      <c r="J21" s="364"/>
    </row>
    <row r="22" spans="1:10" s="321" customFormat="1" ht="30" customHeight="1" x14ac:dyDescent="0.35">
      <c r="A22" s="150"/>
      <c r="B22" s="412">
        <v>2</v>
      </c>
      <c r="C22" s="425" t="s">
        <v>560</v>
      </c>
      <c r="D22" s="696">
        <f>SUM(D23:D30)</f>
        <v>194996000</v>
      </c>
      <c r="E22" s="696">
        <f>SUM(E23:E30)</f>
        <v>194996000</v>
      </c>
      <c r="F22" s="696">
        <f t="shared" ref="F22:H22" si="5">SUM(F23:F30)</f>
        <v>194996000</v>
      </c>
      <c r="G22" s="696">
        <f t="shared" si="5"/>
        <v>194996000</v>
      </c>
      <c r="H22" s="696">
        <f t="shared" si="5"/>
        <v>194996000</v>
      </c>
      <c r="I22" s="175"/>
      <c r="J22" s="364"/>
    </row>
    <row r="23" spans="1:10" s="418" customFormat="1" ht="30" customHeight="1" x14ac:dyDescent="0.35">
      <c r="A23" s="416"/>
      <c r="B23" s="147">
        <v>2.1</v>
      </c>
      <c r="C23" s="368" t="s">
        <v>244</v>
      </c>
      <c r="D23" s="690">
        <v>30000000</v>
      </c>
      <c r="E23" s="690">
        <v>30000000</v>
      </c>
      <c r="F23" s="690">
        <v>30000000</v>
      </c>
      <c r="G23" s="690">
        <v>30000000</v>
      </c>
      <c r="H23" s="690">
        <v>30000000</v>
      </c>
      <c r="I23" s="153" t="s">
        <v>245</v>
      </c>
      <c r="J23" s="421"/>
    </row>
    <row r="24" spans="1:10" s="418" customFormat="1" ht="30" customHeight="1" x14ac:dyDescent="0.35">
      <c r="A24" s="416"/>
      <c r="B24" s="147">
        <v>2.2000000000000002</v>
      </c>
      <c r="C24" s="368" t="s">
        <v>325</v>
      </c>
      <c r="D24" s="690">
        <f>(552*126000+8*468000)</f>
        <v>73296000</v>
      </c>
      <c r="E24" s="690">
        <v>73296000</v>
      </c>
      <c r="F24" s="690">
        <v>73296000</v>
      </c>
      <c r="G24" s="690">
        <v>73296000</v>
      </c>
      <c r="H24" s="690">
        <v>73296000</v>
      </c>
      <c r="I24" s="153" t="s">
        <v>895</v>
      </c>
      <c r="J24" s="421" t="s">
        <v>548</v>
      </c>
    </row>
    <row r="25" spans="1:10" s="418" customFormat="1" ht="30" customHeight="1" x14ac:dyDescent="0.35">
      <c r="A25" s="416"/>
      <c r="B25" s="147">
        <v>2.2999999999999998</v>
      </c>
      <c r="C25" s="368" t="s">
        <v>487</v>
      </c>
      <c r="D25" s="690">
        <v>39000000</v>
      </c>
      <c r="E25" s="690">
        <v>39000000</v>
      </c>
      <c r="F25" s="690">
        <v>39000000</v>
      </c>
      <c r="G25" s="690">
        <v>39000000</v>
      </c>
      <c r="H25" s="690">
        <v>39000000</v>
      </c>
      <c r="I25" s="153" t="s">
        <v>326</v>
      </c>
      <c r="J25" s="421" t="s">
        <v>548</v>
      </c>
    </row>
    <row r="26" spans="1:10" s="418" customFormat="1" ht="30" customHeight="1" x14ac:dyDescent="0.35">
      <c r="A26" s="416"/>
      <c r="B26" s="147">
        <v>2.4</v>
      </c>
      <c r="C26" s="368" t="s">
        <v>488</v>
      </c>
      <c r="D26" s="690">
        <v>10000000</v>
      </c>
      <c r="E26" s="690">
        <v>10000000</v>
      </c>
      <c r="F26" s="690">
        <v>10000000</v>
      </c>
      <c r="G26" s="690">
        <v>10000000</v>
      </c>
      <c r="H26" s="690">
        <v>10000000</v>
      </c>
      <c r="I26" s="153"/>
      <c r="J26" s="421" t="s">
        <v>548</v>
      </c>
    </row>
    <row r="27" spans="1:10" s="418" customFormat="1" ht="30" customHeight="1" x14ac:dyDescent="0.35">
      <c r="A27" s="416"/>
      <c r="B27" s="147">
        <v>2.5</v>
      </c>
      <c r="C27" s="368" t="s">
        <v>489</v>
      </c>
      <c r="D27" s="690">
        <v>19600000</v>
      </c>
      <c r="E27" s="690">
        <v>19600000</v>
      </c>
      <c r="F27" s="690">
        <v>19600000</v>
      </c>
      <c r="G27" s="690">
        <v>19600000</v>
      </c>
      <c r="H27" s="690">
        <v>19600000</v>
      </c>
      <c r="I27" s="153"/>
      <c r="J27" s="421" t="s">
        <v>548</v>
      </c>
    </row>
    <row r="28" spans="1:10" s="418" customFormat="1" ht="30" customHeight="1" x14ac:dyDescent="0.35">
      <c r="A28" s="416"/>
      <c r="B28" s="147">
        <v>2.6</v>
      </c>
      <c r="C28" s="368" t="s">
        <v>490</v>
      </c>
      <c r="D28" s="690">
        <v>600000</v>
      </c>
      <c r="E28" s="690">
        <v>600000</v>
      </c>
      <c r="F28" s="690">
        <v>600000</v>
      </c>
      <c r="G28" s="690">
        <v>600000</v>
      </c>
      <c r="H28" s="690">
        <v>600000</v>
      </c>
      <c r="I28" s="153"/>
      <c r="J28" s="421" t="s">
        <v>548</v>
      </c>
    </row>
    <row r="29" spans="1:10" s="418" customFormat="1" ht="30" customHeight="1" x14ac:dyDescent="0.35">
      <c r="A29" s="416"/>
      <c r="B29" s="147">
        <v>2.7</v>
      </c>
      <c r="C29" s="368" t="s">
        <v>491</v>
      </c>
      <c r="D29" s="690">
        <v>2500000</v>
      </c>
      <c r="E29" s="690">
        <v>2500000</v>
      </c>
      <c r="F29" s="690">
        <v>2500000</v>
      </c>
      <c r="G29" s="690">
        <v>2500000</v>
      </c>
      <c r="H29" s="690">
        <v>2500000</v>
      </c>
      <c r="I29" s="153" t="s">
        <v>492</v>
      </c>
      <c r="J29" s="421" t="s">
        <v>548</v>
      </c>
    </row>
    <row r="30" spans="1:10" ht="30" customHeight="1" x14ac:dyDescent="0.35">
      <c r="A30" s="472"/>
      <c r="B30" s="473">
        <v>2.8</v>
      </c>
      <c r="C30" s="468" t="s">
        <v>246</v>
      </c>
      <c r="D30" s="691">
        <v>20000000</v>
      </c>
      <c r="E30" s="691">
        <v>20000000</v>
      </c>
      <c r="F30" s="691">
        <v>20000000</v>
      </c>
      <c r="G30" s="691">
        <v>20000000</v>
      </c>
      <c r="H30" s="691">
        <v>20000000</v>
      </c>
      <c r="I30" s="474"/>
    </row>
    <row r="31" spans="1:10" s="321" customFormat="1" ht="30" customHeight="1" x14ac:dyDescent="0.35">
      <c r="A31" s="457" t="s">
        <v>61</v>
      </c>
      <c r="B31" s="458" t="s">
        <v>563</v>
      </c>
      <c r="C31" s="457" t="s">
        <v>564</v>
      </c>
      <c r="D31" s="694">
        <f>SUM(D32:D38)</f>
        <v>670300000</v>
      </c>
      <c r="E31" s="694">
        <f t="shared" ref="E31:H31" si="6">SUM(E32:E38)</f>
        <v>70300000</v>
      </c>
      <c r="F31" s="694">
        <f t="shared" si="6"/>
        <v>70300000</v>
      </c>
      <c r="G31" s="694">
        <f t="shared" si="6"/>
        <v>70300000</v>
      </c>
      <c r="H31" s="694">
        <f t="shared" si="6"/>
        <v>670300000</v>
      </c>
      <c r="I31" s="145"/>
      <c r="J31" s="364"/>
    </row>
    <row r="32" spans="1:10" ht="30" customHeight="1" x14ac:dyDescent="0.35">
      <c r="A32" s="331"/>
      <c r="B32" s="333">
        <v>1</v>
      </c>
      <c r="C32" s="456" t="s">
        <v>466</v>
      </c>
      <c r="D32" s="689">
        <f>1900000*10</f>
        <v>19000000</v>
      </c>
      <c r="E32" s="689">
        <v>19000000</v>
      </c>
      <c r="F32" s="689">
        <v>19000000</v>
      </c>
      <c r="G32" s="689">
        <v>19000000</v>
      </c>
      <c r="H32" s="689">
        <v>19000000</v>
      </c>
      <c r="I32" s="448" t="s">
        <v>297</v>
      </c>
      <c r="J32" s="417" t="s">
        <v>462</v>
      </c>
    </row>
    <row r="33" spans="1:10" ht="30" customHeight="1" x14ac:dyDescent="0.35">
      <c r="A33" s="150"/>
      <c r="B33" s="155">
        <v>2</v>
      </c>
      <c r="C33" s="413" t="s">
        <v>467</v>
      </c>
      <c r="D33" s="697">
        <v>10000000</v>
      </c>
      <c r="E33" s="697">
        <v>10000000</v>
      </c>
      <c r="F33" s="697">
        <v>10000000</v>
      </c>
      <c r="G33" s="697">
        <v>10000000</v>
      </c>
      <c r="H33" s="697">
        <v>10000000</v>
      </c>
      <c r="I33" s="330" t="s">
        <v>298</v>
      </c>
      <c r="J33" s="417" t="s">
        <v>462</v>
      </c>
    </row>
    <row r="34" spans="1:10" ht="30" customHeight="1" x14ac:dyDescent="0.35">
      <c r="A34" s="150"/>
      <c r="B34" s="155">
        <v>3</v>
      </c>
      <c r="C34" s="371" t="s">
        <v>468</v>
      </c>
      <c r="D34" s="690">
        <f>250000*10</f>
        <v>2500000</v>
      </c>
      <c r="E34" s="690">
        <v>2500000</v>
      </c>
      <c r="F34" s="690">
        <v>2500000</v>
      </c>
      <c r="G34" s="690">
        <v>2500000</v>
      </c>
      <c r="H34" s="690">
        <v>2500000</v>
      </c>
      <c r="I34" s="330" t="s">
        <v>299</v>
      </c>
      <c r="J34" s="417" t="s">
        <v>462</v>
      </c>
    </row>
    <row r="35" spans="1:10" ht="30" customHeight="1" x14ac:dyDescent="0.35">
      <c r="A35" s="150"/>
      <c r="B35" s="155">
        <v>4</v>
      </c>
      <c r="C35" s="371" t="s">
        <v>469</v>
      </c>
      <c r="D35" s="690">
        <v>6800000</v>
      </c>
      <c r="E35" s="690">
        <v>6800000</v>
      </c>
      <c r="F35" s="690">
        <v>6800000</v>
      </c>
      <c r="G35" s="690">
        <v>6800000</v>
      </c>
      <c r="H35" s="690">
        <v>6800000</v>
      </c>
      <c r="I35" s="330" t="s">
        <v>300</v>
      </c>
      <c r="J35" s="417" t="s">
        <v>462</v>
      </c>
    </row>
    <row r="36" spans="1:10" ht="30" customHeight="1" x14ac:dyDescent="0.35">
      <c r="A36" s="150"/>
      <c r="B36" s="155">
        <v>5</v>
      </c>
      <c r="C36" s="371" t="s">
        <v>292</v>
      </c>
      <c r="D36" s="690">
        <v>12000000</v>
      </c>
      <c r="E36" s="690">
        <v>12000000</v>
      </c>
      <c r="F36" s="690">
        <v>12000000</v>
      </c>
      <c r="G36" s="690">
        <v>12000000</v>
      </c>
      <c r="H36" s="690">
        <v>12000000</v>
      </c>
      <c r="I36" s="330" t="s">
        <v>293</v>
      </c>
      <c r="J36" s="417" t="s">
        <v>548</v>
      </c>
    </row>
    <row r="37" spans="1:10" ht="30" customHeight="1" x14ac:dyDescent="0.35">
      <c r="A37" s="150"/>
      <c r="B37" s="155">
        <v>6</v>
      </c>
      <c r="C37" s="371" t="s">
        <v>294</v>
      </c>
      <c r="D37" s="690">
        <v>600000000</v>
      </c>
      <c r="E37" s="690"/>
      <c r="F37" s="690"/>
      <c r="G37" s="690"/>
      <c r="H37" s="690">
        <v>600000000</v>
      </c>
      <c r="I37" s="330" t="s">
        <v>460</v>
      </c>
      <c r="J37" s="417" t="s">
        <v>548</v>
      </c>
    </row>
    <row r="38" spans="1:10" s="418" customFormat="1" ht="30" customHeight="1" x14ac:dyDescent="0.35">
      <c r="A38" s="454"/>
      <c r="B38" s="442">
        <v>7</v>
      </c>
      <c r="C38" s="443" t="s">
        <v>247</v>
      </c>
      <c r="D38" s="691">
        <v>20000000</v>
      </c>
      <c r="E38" s="691">
        <v>20000000</v>
      </c>
      <c r="F38" s="690">
        <v>20000000</v>
      </c>
      <c r="G38" s="690">
        <v>20000000</v>
      </c>
      <c r="H38" s="690">
        <v>20000000</v>
      </c>
      <c r="I38" s="444"/>
      <c r="J38" s="421"/>
    </row>
    <row r="39" spans="1:10" s="321" customFormat="1" ht="30" customHeight="1" x14ac:dyDescent="0.35">
      <c r="A39" s="457" t="s">
        <v>59</v>
      </c>
      <c r="B39" s="458" t="s">
        <v>565</v>
      </c>
      <c r="C39" s="457" t="s">
        <v>301</v>
      </c>
      <c r="D39" s="694">
        <f>SUM(D40:D41)</f>
        <v>388050000</v>
      </c>
      <c r="E39" s="694">
        <f>SUM(E40:E41)</f>
        <v>388050000</v>
      </c>
      <c r="F39" s="694">
        <f t="shared" ref="F39:H39" si="7">SUM(F40:F41)</f>
        <v>388050000</v>
      </c>
      <c r="G39" s="694">
        <f t="shared" si="7"/>
        <v>388050000</v>
      </c>
      <c r="H39" s="694">
        <f t="shared" si="7"/>
        <v>388050000</v>
      </c>
      <c r="I39" s="145"/>
      <c r="J39" s="364"/>
    </row>
    <row r="40" spans="1:10" ht="30" customHeight="1" x14ac:dyDescent="0.35">
      <c r="A40" s="331"/>
      <c r="B40" s="465">
        <v>1</v>
      </c>
      <c r="C40" s="466" t="s">
        <v>285</v>
      </c>
      <c r="D40" s="695">
        <v>198550000</v>
      </c>
      <c r="E40" s="695">
        <v>198550000</v>
      </c>
      <c r="F40" s="695">
        <v>198550000</v>
      </c>
      <c r="G40" s="695">
        <v>198550000</v>
      </c>
      <c r="H40" s="695">
        <v>198550000</v>
      </c>
      <c r="I40" s="334" t="s">
        <v>302</v>
      </c>
      <c r="J40" s="417" t="s">
        <v>462</v>
      </c>
    </row>
    <row r="41" spans="1:10" ht="30" customHeight="1" x14ac:dyDescent="0.35">
      <c r="A41" s="150"/>
      <c r="B41" s="412">
        <v>2</v>
      </c>
      <c r="C41" s="425" t="s">
        <v>560</v>
      </c>
      <c r="D41" s="696">
        <f>SUM(D42:D50)</f>
        <v>189500000</v>
      </c>
      <c r="E41" s="696">
        <f t="shared" ref="E41:H41" si="8">SUM(E42:E50)</f>
        <v>189500000</v>
      </c>
      <c r="F41" s="696">
        <f t="shared" si="8"/>
        <v>189500000</v>
      </c>
      <c r="G41" s="696">
        <f t="shared" si="8"/>
        <v>189500000</v>
      </c>
      <c r="H41" s="696">
        <f t="shared" si="8"/>
        <v>189500000</v>
      </c>
      <c r="I41" s="153"/>
      <c r="J41" s="417"/>
    </row>
    <row r="42" spans="1:10" ht="30" customHeight="1" x14ac:dyDescent="0.35">
      <c r="A42" s="150"/>
      <c r="B42" s="151">
        <v>2.1</v>
      </c>
      <c r="C42" s="368" t="s">
        <v>303</v>
      </c>
      <c r="D42" s="690">
        <v>75000000</v>
      </c>
      <c r="E42" s="690">
        <v>75000000</v>
      </c>
      <c r="F42" s="690">
        <v>75000000</v>
      </c>
      <c r="G42" s="690">
        <v>75000000</v>
      </c>
      <c r="H42" s="690">
        <v>75000000</v>
      </c>
      <c r="I42" s="153" t="s">
        <v>896</v>
      </c>
      <c r="J42" s="417" t="s">
        <v>548</v>
      </c>
    </row>
    <row r="43" spans="1:10" ht="30" customHeight="1" x14ac:dyDescent="0.35">
      <c r="A43" s="150"/>
      <c r="B43" s="151">
        <v>2.2000000000000002</v>
      </c>
      <c r="C43" s="368" t="s">
        <v>471</v>
      </c>
      <c r="D43" s="690">
        <v>5000000</v>
      </c>
      <c r="E43" s="690">
        <v>5000000</v>
      </c>
      <c r="F43" s="690">
        <v>5000000</v>
      </c>
      <c r="G43" s="690">
        <v>5000000</v>
      </c>
      <c r="H43" s="690">
        <v>5000000</v>
      </c>
      <c r="I43" s="153"/>
      <c r="J43" s="417" t="s">
        <v>548</v>
      </c>
    </row>
    <row r="44" spans="1:10" ht="30" customHeight="1" x14ac:dyDescent="0.35">
      <c r="A44" s="150"/>
      <c r="B44" s="151">
        <v>2.2999999999999998</v>
      </c>
      <c r="C44" s="368" t="s">
        <v>472</v>
      </c>
      <c r="D44" s="690">
        <v>20000000</v>
      </c>
      <c r="E44" s="690">
        <v>20000000</v>
      </c>
      <c r="F44" s="690">
        <v>20000000</v>
      </c>
      <c r="G44" s="690">
        <v>20000000</v>
      </c>
      <c r="H44" s="690">
        <v>20000000</v>
      </c>
      <c r="I44" s="153"/>
      <c r="J44" s="417" t="s">
        <v>548</v>
      </c>
    </row>
    <row r="45" spans="1:10" ht="30" customHeight="1" x14ac:dyDescent="0.35">
      <c r="A45" s="150"/>
      <c r="B45" s="151">
        <v>2.4</v>
      </c>
      <c r="C45" s="368" t="s">
        <v>473</v>
      </c>
      <c r="D45" s="690">
        <v>1000000</v>
      </c>
      <c r="E45" s="690">
        <v>1000000</v>
      </c>
      <c r="F45" s="690">
        <v>1000000</v>
      </c>
      <c r="G45" s="690">
        <v>1000000</v>
      </c>
      <c r="H45" s="690">
        <v>1000000</v>
      </c>
      <c r="I45" s="153"/>
      <c r="J45" s="417" t="s">
        <v>548</v>
      </c>
    </row>
    <row r="46" spans="1:10" ht="30" customHeight="1" x14ac:dyDescent="0.35">
      <c r="A46" s="150"/>
      <c r="B46" s="615">
        <v>2.5</v>
      </c>
      <c r="C46" s="368" t="s">
        <v>474</v>
      </c>
      <c r="D46" s="690">
        <v>4000000</v>
      </c>
      <c r="E46" s="690">
        <v>4000000</v>
      </c>
      <c r="F46" s="690">
        <v>4000000</v>
      </c>
      <c r="G46" s="690">
        <v>4000000</v>
      </c>
      <c r="H46" s="690">
        <v>4000000</v>
      </c>
      <c r="I46" s="153"/>
      <c r="J46" s="417" t="s">
        <v>548</v>
      </c>
    </row>
    <row r="47" spans="1:10" ht="30" customHeight="1" x14ac:dyDescent="0.35">
      <c r="A47" s="150"/>
      <c r="B47" s="615">
        <v>2.6</v>
      </c>
      <c r="C47" s="368" t="s">
        <v>476</v>
      </c>
      <c r="D47" s="690">
        <v>12500000</v>
      </c>
      <c r="E47" s="690">
        <v>12500000</v>
      </c>
      <c r="F47" s="690">
        <v>12500000</v>
      </c>
      <c r="G47" s="690">
        <v>12500000</v>
      </c>
      <c r="H47" s="690">
        <v>12500000</v>
      </c>
      <c r="I47" s="153"/>
      <c r="J47" s="417" t="s">
        <v>548</v>
      </c>
    </row>
    <row r="48" spans="1:10" ht="30" customHeight="1" x14ac:dyDescent="0.35">
      <c r="A48" s="150"/>
      <c r="B48" s="617">
        <v>2.7</v>
      </c>
      <c r="C48" s="368" t="s">
        <v>898</v>
      </c>
      <c r="D48" s="690">
        <f>3*14000000</f>
        <v>42000000</v>
      </c>
      <c r="E48" s="690">
        <v>42000000</v>
      </c>
      <c r="F48" s="690">
        <v>42000000</v>
      </c>
      <c r="G48" s="690">
        <v>42000000</v>
      </c>
      <c r="H48" s="690">
        <v>42000000</v>
      </c>
      <c r="I48" s="153" t="s">
        <v>899</v>
      </c>
      <c r="J48" s="417"/>
    </row>
    <row r="49" spans="1:10" ht="30" customHeight="1" x14ac:dyDescent="0.35">
      <c r="A49" s="150"/>
      <c r="B49" s="151">
        <v>2.8</v>
      </c>
      <c r="C49" s="368" t="s">
        <v>470</v>
      </c>
      <c r="D49" s="690">
        <v>10000000</v>
      </c>
      <c r="E49" s="690">
        <v>10000000</v>
      </c>
      <c r="F49" s="690">
        <v>10000000</v>
      </c>
      <c r="G49" s="690">
        <v>10000000</v>
      </c>
      <c r="H49" s="690">
        <v>10000000</v>
      </c>
      <c r="I49" s="153"/>
      <c r="J49" s="417" t="s">
        <v>548</v>
      </c>
    </row>
    <row r="50" spans="1:10" s="418" customFormat="1" ht="30" customHeight="1" x14ac:dyDescent="0.35">
      <c r="A50" s="454"/>
      <c r="B50" s="365">
        <v>2.9</v>
      </c>
      <c r="C50" s="468" t="s">
        <v>248</v>
      </c>
      <c r="D50" s="691">
        <v>20000000</v>
      </c>
      <c r="E50" s="691">
        <v>20000000</v>
      </c>
      <c r="F50" s="691">
        <v>20000000</v>
      </c>
      <c r="G50" s="691">
        <v>20000000</v>
      </c>
      <c r="H50" s="691">
        <v>20000000</v>
      </c>
      <c r="I50" s="444"/>
      <c r="J50" s="421"/>
    </row>
    <row r="51" spans="1:10" s="321" customFormat="1" ht="30" customHeight="1" x14ac:dyDescent="0.35">
      <c r="A51" s="457" t="s">
        <v>57</v>
      </c>
      <c r="B51" s="458" t="s">
        <v>568</v>
      </c>
      <c r="C51" s="457" t="s">
        <v>567</v>
      </c>
      <c r="D51" s="694">
        <f>SUM(D52:D63)</f>
        <v>448000000</v>
      </c>
      <c r="E51" s="694">
        <f t="shared" ref="E51:H51" si="9">SUM(E52:E63)</f>
        <v>315000000</v>
      </c>
      <c r="F51" s="694">
        <f t="shared" si="9"/>
        <v>375000000</v>
      </c>
      <c r="G51" s="694">
        <f t="shared" si="9"/>
        <v>375000000</v>
      </c>
      <c r="H51" s="694">
        <f t="shared" si="9"/>
        <v>448000000</v>
      </c>
      <c r="I51" s="145"/>
      <c r="J51" s="364"/>
    </row>
    <row r="52" spans="1:10" s="418" customFormat="1" ht="30" customHeight="1" x14ac:dyDescent="0.35">
      <c r="A52" s="445"/>
      <c r="B52" s="446">
        <v>2.1</v>
      </c>
      <c r="C52" s="471" t="s">
        <v>250</v>
      </c>
      <c r="D52" s="698">
        <v>240000000</v>
      </c>
      <c r="E52" s="698">
        <v>240000000</v>
      </c>
      <c r="F52" s="698">
        <v>240000000</v>
      </c>
      <c r="G52" s="698">
        <v>240000000</v>
      </c>
      <c r="H52" s="698">
        <v>240000000</v>
      </c>
      <c r="I52" s="449"/>
      <c r="J52" s="421"/>
    </row>
    <row r="53" spans="1:10" s="418" customFormat="1" ht="30" customHeight="1" x14ac:dyDescent="0.35">
      <c r="A53" s="416"/>
      <c r="B53" s="147">
        <v>2.2000000000000002</v>
      </c>
      <c r="C53" s="148" t="s">
        <v>308</v>
      </c>
      <c r="D53" s="697">
        <v>15000000</v>
      </c>
      <c r="E53" s="697">
        <v>15000000</v>
      </c>
      <c r="F53" s="697">
        <v>15000000</v>
      </c>
      <c r="G53" s="697">
        <v>15000000</v>
      </c>
      <c r="H53" s="697">
        <v>15000000</v>
      </c>
      <c r="I53" s="422" t="s">
        <v>309</v>
      </c>
      <c r="J53" s="421" t="s">
        <v>548</v>
      </c>
    </row>
    <row r="54" spans="1:10" s="418" customFormat="1" ht="30" customHeight="1" x14ac:dyDescent="0.35">
      <c r="A54" s="416"/>
      <c r="B54" s="147">
        <v>2.2999999999999998</v>
      </c>
      <c r="C54" s="148" t="s">
        <v>477</v>
      </c>
      <c r="D54" s="697">
        <v>35000000</v>
      </c>
      <c r="E54" s="697"/>
      <c r="F54" s="697"/>
      <c r="G54" s="697"/>
      <c r="H54" s="697">
        <v>35000000</v>
      </c>
      <c r="I54" s="422" t="s">
        <v>310</v>
      </c>
      <c r="J54" s="421" t="s">
        <v>548</v>
      </c>
    </row>
    <row r="55" spans="1:10" s="418" customFormat="1" ht="30" customHeight="1" x14ac:dyDescent="0.35">
      <c r="A55" s="416"/>
      <c r="B55" s="147">
        <v>2.4</v>
      </c>
      <c r="C55" s="148" t="s">
        <v>478</v>
      </c>
      <c r="D55" s="697">
        <v>22000000</v>
      </c>
      <c r="E55" s="697"/>
      <c r="F55" s="697"/>
      <c r="G55" s="697"/>
      <c r="H55" s="697">
        <v>22000000</v>
      </c>
      <c r="I55" s="422" t="s">
        <v>311</v>
      </c>
      <c r="J55" s="421" t="s">
        <v>548</v>
      </c>
    </row>
    <row r="56" spans="1:10" s="418" customFormat="1" ht="30" customHeight="1" x14ac:dyDescent="0.35">
      <c r="A56" s="416"/>
      <c r="B56" s="147">
        <v>2.5</v>
      </c>
      <c r="C56" s="148" t="s">
        <v>479</v>
      </c>
      <c r="D56" s="697">
        <v>16000000</v>
      </c>
      <c r="E56" s="697"/>
      <c r="F56" s="697"/>
      <c r="G56" s="697"/>
      <c r="H56" s="697">
        <v>16000000</v>
      </c>
      <c r="I56" s="422" t="s">
        <v>312</v>
      </c>
      <c r="J56" s="421" t="s">
        <v>548</v>
      </c>
    </row>
    <row r="57" spans="1:10" ht="30" customHeight="1" x14ac:dyDescent="0.35">
      <c r="A57" s="150"/>
      <c r="B57" s="147">
        <v>2.6</v>
      </c>
      <c r="C57" s="368" t="s">
        <v>475</v>
      </c>
      <c r="D57" s="690">
        <v>60000000</v>
      </c>
      <c r="E57" s="690"/>
      <c r="F57" s="697">
        <v>60000000</v>
      </c>
      <c r="G57" s="697">
        <v>60000000</v>
      </c>
      <c r="H57" s="697">
        <v>60000000</v>
      </c>
      <c r="I57" s="153" t="s">
        <v>304</v>
      </c>
      <c r="J57" s="417" t="s">
        <v>548</v>
      </c>
    </row>
    <row r="58" spans="1:10" s="418" customFormat="1" ht="30" customHeight="1" x14ac:dyDescent="0.35">
      <c r="A58" s="416"/>
      <c r="B58" s="147">
        <v>2.7</v>
      </c>
      <c r="C58" s="148" t="s">
        <v>480</v>
      </c>
      <c r="D58" s="697">
        <v>3000000</v>
      </c>
      <c r="E58" s="697">
        <v>3000000</v>
      </c>
      <c r="F58" s="697">
        <v>3000000</v>
      </c>
      <c r="G58" s="697">
        <v>3000000</v>
      </c>
      <c r="H58" s="697">
        <v>3000000</v>
      </c>
      <c r="I58" s="422" t="s">
        <v>313</v>
      </c>
      <c r="J58" s="421" t="s">
        <v>548</v>
      </c>
    </row>
    <row r="59" spans="1:10" s="418" customFormat="1" ht="30" customHeight="1" x14ac:dyDescent="0.35">
      <c r="A59" s="416"/>
      <c r="B59" s="147">
        <v>2.8</v>
      </c>
      <c r="C59" s="148" t="s">
        <v>481</v>
      </c>
      <c r="D59" s="697">
        <v>6000000</v>
      </c>
      <c r="E59" s="697">
        <v>6000000</v>
      </c>
      <c r="F59" s="697">
        <v>6000000</v>
      </c>
      <c r="G59" s="697">
        <v>6000000</v>
      </c>
      <c r="H59" s="697">
        <v>6000000</v>
      </c>
      <c r="I59" s="422"/>
      <c r="J59" s="421" t="s">
        <v>548</v>
      </c>
    </row>
    <row r="60" spans="1:10" s="418" customFormat="1" ht="30" customHeight="1" x14ac:dyDescent="0.35">
      <c r="A60" s="416"/>
      <c r="B60" s="147">
        <v>2.9</v>
      </c>
      <c r="C60" s="148" t="s">
        <v>482</v>
      </c>
      <c r="D60" s="697">
        <v>15000000</v>
      </c>
      <c r="E60" s="697">
        <v>15000000</v>
      </c>
      <c r="F60" s="690">
        <v>15000000</v>
      </c>
      <c r="G60" s="690">
        <v>15000000</v>
      </c>
      <c r="H60" s="690">
        <v>15000000</v>
      </c>
      <c r="I60" s="422"/>
      <c r="J60" s="421" t="s">
        <v>548</v>
      </c>
    </row>
    <row r="61" spans="1:10" s="418" customFormat="1" ht="30" customHeight="1" x14ac:dyDescent="0.35">
      <c r="A61" s="416"/>
      <c r="B61" s="618" t="s">
        <v>569</v>
      </c>
      <c r="C61" s="148" t="s">
        <v>483</v>
      </c>
      <c r="D61" s="697">
        <v>2000000</v>
      </c>
      <c r="E61" s="697">
        <v>2000000</v>
      </c>
      <c r="F61" s="697">
        <v>2000000</v>
      </c>
      <c r="G61" s="697">
        <v>2000000</v>
      </c>
      <c r="H61" s="697">
        <v>2000000</v>
      </c>
      <c r="I61" s="422" t="s">
        <v>314</v>
      </c>
      <c r="J61" s="421" t="s">
        <v>548</v>
      </c>
    </row>
    <row r="62" spans="1:10" s="418" customFormat="1" ht="30" customHeight="1" x14ac:dyDescent="0.35">
      <c r="A62" s="416"/>
      <c r="B62" s="618" t="s">
        <v>570</v>
      </c>
      <c r="C62" s="148" t="s">
        <v>484</v>
      </c>
      <c r="D62" s="697">
        <v>24000000</v>
      </c>
      <c r="E62" s="697">
        <v>24000000</v>
      </c>
      <c r="F62" s="697">
        <v>24000000</v>
      </c>
      <c r="G62" s="697">
        <v>24000000</v>
      </c>
      <c r="H62" s="697">
        <v>24000000</v>
      </c>
      <c r="I62" s="422" t="s">
        <v>315</v>
      </c>
      <c r="J62" s="421" t="s">
        <v>548</v>
      </c>
    </row>
    <row r="63" spans="1:10" s="418" customFormat="1" ht="30" customHeight="1" x14ac:dyDescent="0.35">
      <c r="A63" s="454"/>
      <c r="B63" s="618" t="s">
        <v>571</v>
      </c>
      <c r="C63" s="462" t="s">
        <v>252</v>
      </c>
      <c r="D63" s="699">
        <v>10000000</v>
      </c>
      <c r="E63" s="699">
        <v>10000000</v>
      </c>
      <c r="F63" s="697">
        <v>10000000</v>
      </c>
      <c r="G63" s="697">
        <v>10000000</v>
      </c>
      <c r="H63" s="697">
        <v>10000000</v>
      </c>
      <c r="I63" s="444"/>
      <c r="J63" s="421"/>
    </row>
    <row r="64" spans="1:10" s="321" customFormat="1" ht="30" customHeight="1" x14ac:dyDescent="0.35">
      <c r="A64" s="457" t="s">
        <v>55</v>
      </c>
      <c r="B64" s="458" t="s">
        <v>574</v>
      </c>
      <c r="C64" s="457" t="s">
        <v>573</v>
      </c>
      <c r="D64" s="694">
        <f>SUM(D65:D66)</f>
        <v>437560000</v>
      </c>
      <c r="E64" s="694">
        <f t="shared" ref="E64:H64" si="10">SUM(E65:E66)</f>
        <v>437560000</v>
      </c>
      <c r="F64" s="694">
        <f t="shared" si="10"/>
        <v>437560000</v>
      </c>
      <c r="G64" s="694">
        <f t="shared" si="10"/>
        <v>437560000</v>
      </c>
      <c r="H64" s="694">
        <f t="shared" si="10"/>
        <v>437560000</v>
      </c>
      <c r="I64" s="145"/>
      <c r="J64" s="364"/>
    </row>
    <row r="65" spans="1:10" ht="30" customHeight="1" x14ac:dyDescent="0.35">
      <c r="A65" s="331"/>
      <c r="B65" s="333">
        <v>1</v>
      </c>
      <c r="C65" s="466" t="s">
        <v>317</v>
      </c>
      <c r="D65" s="695">
        <f>22000000*12</f>
        <v>264000000</v>
      </c>
      <c r="E65" s="695">
        <v>264000000</v>
      </c>
      <c r="F65" s="695">
        <v>264000000</v>
      </c>
      <c r="G65" s="695">
        <v>264000000</v>
      </c>
      <c r="H65" s="695">
        <v>264000000</v>
      </c>
      <c r="I65" s="470"/>
    </row>
    <row r="66" spans="1:10" ht="30" customHeight="1" x14ac:dyDescent="0.35">
      <c r="A66" s="331"/>
      <c r="B66" s="333">
        <v>2</v>
      </c>
      <c r="C66" s="466" t="s">
        <v>560</v>
      </c>
      <c r="D66" s="695">
        <f>SUM(D67:D72)</f>
        <v>173560000</v>
      </c>
      <c r="E66" s="695">
        <f>SUM(E67:E72)</f>
        <v>173560000</v>
      </c>
      <c r="F66" s="695">
        <f t="shared" ref="F66:H66" si="11">SUM(F67:F72)</f>
        <v>173560000</v>
      </c>
      <c r="G66" s="695">
        <f t="shared" si="11"/>
        <v>173560000</v>
      </c>
      <c r="H66" s="695">
        <f t="shared" si="11"/>
        <v>173560000</v>
      </c>
      <c r="I66" s="470"/>
    </row>
    <row r="67" spans="1:10" s="418" customFormat="1" ht="30" customHeight="1" x14ac:dyDescent="0.35">
      <c r="A67" s="416"/>
      <c r="B67" s="155">
        <v>2.1</v>
      </c>
      <c r="C67" s="148" t="s">
        <v>320</v>
      </c>
      <c r="D67" s="697">
        <v>40000000</v>
      </c>
      <c r="E67" s="697">
        <v>40000000</v>
      </c>
      <c r="F67" s="697">
        <v>40000000</v>
      </c>
      <c r="G67" s="697">
        <v>40000000</v>
      </c>
      <c r="H67" s="697">
        <v>40000000</v>
      </c>
      <c r="I67" s="416" t="s">
        <v>321</v>
      </c>
      <c r="J67" s="421"/>
    </row>
    <row r="68" spans="1:10" s="418" customFormat="1" ht="30" customHeight="1" x14ac:dyDescent="0.35">
      <c r="A68" s="416"/>
      <c r="B68" s="155">
        <v>2.2000000000000002</v>
      </c>
      <c r="C68" s="148" t="s">
        <v>322</v>
      </c>
      <c r="D68" s="697">
        <f>6000*550*12*1.1</f>
        <v>43560000</v>
      </c>
      <c r="E68" s="697">
        <v>43560000</v>
      </c>
      <c r="F68" s="697">
        <v>43560000</v>
      </c>
      <c r="G68" s="697">
        <v>43560000</v>
      </c>
      <c r="H68" s="697">
        <v>43560000</v>
      </c>
      <c r="I68" s="416" t="s">
        <v>323</v>
      </c>
      <c r="J68" s="421"/>
    </row>
    <row r="69" spans="1:10" s="418" customFormat="1" ht="30" customHeight="1" x14ac:dyDescent="0.35">
      <c r="A69" s="416"/>
      <c r="B69" s="155">
        <v>2.2999999999999998</v>
      </c>
      <c r="C69" s="148" t="s">
        <v>324</v>
      </c>
      <c r="D69" s="697">
        <v>15000000</v>
      </c>
      <c r="E69" s="697">
        <v>15000000</v>
      </c>
      <c r="F69" s="697">
        <v>15000000</v>
      </c>
      <c r="G69" s="697">
        <v>15000000</v>
      </c>
      <c r="H69" s="697">
        <v>15000000</v>
      </c>
      <c r="I69" s="416" t="s">
        <v>897</v>
      </c>
      <c r="J69" s="421"/>
    </row>
    <row r="70" spans="1:10" s="418" customFormat="1" ht="30" customHeight="1" x14ac:dyDescent="0.35">
      <c r="A70" s="416"/>
      <c r="B70" s="155">
        <v>2.4</v>
      </c>
      <c r="C70" s="148" t="s">
        <v>485</v>
      </c>
      <c r="D70" s="697">
        <v>20000000</v>
      </c>
      <c r="E70" s="697">
        <v>20000000</v>
      </c>
      <c r="F70" s="697">
        <v>20000000</v>
      </c>
      <c r="G70" s="697">
        <v>20000000</v>
      </c>
      <c r="H70" s="697">
        <v>20000000</v>
      </c>
      <c r="I70" s="416"/>
      <c r="J70" s="421" t="s">
        <v>548</v>
      </c>
    </row>
    <row r="71" spans="1:10" s="418" customFormat="1" ht="30" customHeight="1" x14ac:dyDescent="0.35">
      <c r="A71" s="416"/>
      <c r="B71" s="155">
        <v>2.5</v>
      </c>
      <c r="C71" s="148" t="s">
        <v>486</v>
      </c>
      <c r="D71" s="697">
        <v>5000000</v>
      </c>
      <c r="E71" s="697">
        <v>5000000</v>
      </c>
      <c r="F71" s="697">
        <v>5000000</v>
      </c>
      <c r="G71" s="697">
        <v>5000000</v>
      </c>
      <c r="H71" s="697">
        <v>5000000</v>
      </c>
      <c r="I71" s="416"/>
      <c r="J71" s="421" t="s">
        <v>548</v>
      </c>
    </row>
    <row r="72" spans="1:10" s="418" customFormat="1" ht="30" customHeight="1" x14ac:dyDescent="0.35">
      <c r="A72" s="454"/>
      <c r="B72" s="365">
        <v>2.6</v>
      </c>
      <c r="C72" s="468" t="s">
        <v>248</v>
      </c>
      <c r="D72" s="691">
        <v>50000000</v>
      </c>
      <c r="E72" s="691">
        <v>50000000</v>
      </c>
      <c r="F72" s="691">
        <v>50000000</v>
      </c>
      <c r="G72" s="691">
        <v>50000000</v>
      </c>
      <c r="H72" s="691">
        <v>50000000</v>
      </c>
      <c r="I72" s="444"/>
      <c r="J72" s="421"/>
    </row>
    <row r="73" spans="1:10" s="321" customFormat="1" ht="30" customHeight="1" x14ac:dyDescent="0.35">
      <c r="A73" s="457" t="s">
        <v>49</v>
      </c>
      <c r="B73" s="458" t="s">
        <v>577</v>
      </c>
      <c r="C73" s="457" t="s">
        <v>575</v>
      </c>
      <c r="D73" s="694">
        <f>SUM(D74:D75)</f>
        <v>378900000</v>
      </c>
      <c r="E73" s="694">
        <f t="shared" ref="E73:H73" si="12">SUM(E74:E75)</f>
        <v>378900000</v>
      </c>
      <c r="F73" s="694">
        <f t="shared" si="12"/>
        <v>378900000</v>
      </c>
      <c r="G73" s="694">
        <f t="shared" si="12"/>
        <v>378900000</v>
      </c>
      <c r="H73" s="694">
        <f t="shared" si="12"/>
        <v>378900000</v>
      </c>
      <c r="I73" s="145"/>
      <c r="J73" s="364"/>
    </row>
    <row r="74" spans="1:10" s="418" customFormat="1" ht="30" customHeight="1" x14ac:dyDescent="0.35">
      <c r="A74" s="416"/>
      <c r="B74" s="489">
        <v>1</v>
      </c>
      <c r="C74" s="175" t="s">
        <v>495</v>
      </c>
      <c r="D74" s="696">
        <v>130400000</v>
      </c>
      <c r="E74" s="696">
        <v>130400000</v>
      </c>
      <c r="F74" s="696">
        <v>130400000</v>
      </c>
      <c r="G74" s="696">
        <v>130400000</v>
      </c>
      <c r="H74" s="696">
        <v>130400000</v>
      </c>
      <c r="I74" s="330" t="s">
        <v>329</v>
      </c>
      <c r="J74" s="417" t="s">
        <v>548</v>
      </c>
    </row>
    <row r="75" spans="1:10" s="418" customFormat="1" ht="30" customHeight="1" x14ac:dyDescent="0.35">
      <c r="A75" s="445"/>
      <c r="B75" s="333">
        <v>2</v>
      </c>
      <c r="C75" s="466" t="s">
        <v>560</v>
      </c>
      <c r="D75" s="695">
        <f>SUM(D76:D80)</f>
        <v>248500000</v>
      </c>
      <c r="E75" s="695">
        <f t="shared" ref="E75:H75" si="13">SUM(E76:E80)</f>
        <v>248500000</v>
      </c>
      <c r="F75" s="695">
        <f t="shared" si="13"/>
        <v>248500000</v>
      </c>
      <c r="G75" s="695">
        <f t="shared" si="13"/>
        <v>248500000</v>
      </c>
      <c r="H75" s="695">
        <f t="shared" si="13"/>
        <v>248500000</v>
      </c>
      <c r="I75" s="448"/>
      <c r="J75" s="417"/>
    </row>
    <row r="76" spans="1:10" s="418" customFormat="1" ht="30" customHeight="1" x14ac:dyDescent="0.35">
      <c r="A76" s="445"/>
      <c r="B76" s="469">
        <v>2.1</v>
      </c>
      <c r="C76" s="334" t="s">
        <v>333</v>
      </c>
      <c r="D76" s="689">
        <v>80000000</v>
      </c>
      <c r="E76" s="689">
        <v>80000000</v>
      </c>
      <c r="F76" s="689">
        <v>80000000</v>
      </c>
      <c r="G76" s="689">
        <v>80000000</v>
      </c>
      <c r="H76" s="689">
        <v>80000000</v>
      </c>
      <c r="I76" s="449" t="s">
        <v>334</v>
      </c>
      <c r="J76" s="417"/>
    </row>
    <row r="77" spans="1:10" s="418" customFormat="1" ht="30" customHeight="1" x14ac:dyDescent="0.35">
      <c r="A77" s="416"/>
      <c r="B77" s="432">
        <v>2.2000000000000002</v>
      </c>
      <c r="C77" s="153" t="s">
        <v>335</v>
      </c>
      <c r="D77" s="690">
        <v>10000000</v>
      </c>
      <c r="E77" s="690">
        <v>10000000</v>
      </c>
      <c r="F77" s="690">
        <v>10000000</v>
      </c>
      <c r="G77" s="690">
        <v>10000000</v>
      </c>
      <c r="H77" s="690">
        <v>10000000</v>
      </c>
      <c r="I77" s="330"/>
      <c r="J77" s="417"/>
    </row>
    <row r="78" spans="1:10" s="418" customFormat="1" ht="30" customHeight="1" x14ac:dyDescent="0.35">
      <c r="A78" s="416"/>
      <c r="B78" s="432">
        <v>2.2999999999999998</v>
      </c>
      <c r="C78" s="153" t="s">
        <v>496</v>
      </c>
      <c r="D78" s="690">
        <v>66000000</v>
      </c>
      <c r="E78" s="690">
        <v>66000000</v>
      </c>
      <c r="F78" s="690">
        <v>66000000</v>
      </c>
      <c r="G78" s="690">
        <v>66000000</v>
      </c>
      <c r="H78" s="690">
        <v>66000000</v>
      </c>
      <c r="I78" s="330" t="s">
        <v>331</v>
      </c>
      <c r="J78" s="417" t="s">
        <v>548</v>
      </c>
    </row>
    <row r="79" spans="1:10" s="418" customFormat="1" ht="30" customHeight="1" x14ac:dyDescent="0.35">
      <c r="A79" s="416"/>
      <c r="B79" s="432">
        <v>2.4</v>
      </c>
      <c r="C79" s="153" t="s">
        <v>497</v>
      </c>
      <c r="D79" s="690">
        <v>62500000</v>
      </c>
      <c r="E79" s="690">
        <v>62500000</v>
      </c>
      <c r="F79" s="690">
        <v>62500000</v>
      </c>
      <c r="G79" s="690">
        <v>62500000</v>
      </c>
      <c r="H79" s="690">
        <v>62500000</v>
      </c>
      <c r="I79" s="330" t="s">
        <v>331</v>
      </c>
      <c r="J79" s="417" t="s">
        <v>548</v>
      </c>
    </row>
    <row r="80" spans="1:10" s="418" customFormat="1" ht="30" customHeight="1" x14ac:dyDescent="0.35">
      <c r="A80" s="454"/>
      <c r="B80" s="365">
        <v>2.5</v>
      </c>
      <c r="C80" s="462" t="s">
        <v>253</v>
      </c>
      <c r="D80" s="699">
        <v>30000000</v>
      </c>
      <c r="E80" s="699">
        <v>30000000</v>
      </c>
      <c r="F80" s="699">
        <v>30000000</v>
      </c>
      <c r="G80" s="699">
        <v>30000000</v>
      </c>
      <c r="H80" s="699">
        <v>30000000</v>
      </c>
      <c r="I80" s="444"/>
      <c r="J80" s="421"/>
    </row>
    <row r="81" spans="1:10" s="321" customFormat="1" ht="30" customHeight="1" x14ac:dyDescent="0.35">
      <c r="A81" s="360" t="s">
        <v>37</v>
      </c>
      <c r="B81" s="461" t="s">
        <v>578</v>
      </c>
      <c r="C81" s="360" t="s">
        <v>576</v>
      </c>
      <c r="D81" s="694">
        <f>SUM(D82:D83)</f>
        <v>300000000</v>
      </c>
      <c r="E81" s="694">
        <f t="shared" ref="E81:H81" si="14">SUM(E82:E83)</f>
        <v>300000000</v>
      </c>
      <c r="F81" s="694">
        <f t="shared" si="14"/>
        <v>300000000</v>
      </c>
      <c r="G81" s="694">
        <f t="shared" si="14"/>
        <v>300000000</v>
      </c>
      <c r="H81" s="694">
        <f t="shared" si="14"/>
        <v>300000000</v>
      </c>
      <c r="I81" s="145"/>
      <c r="J81" s="364"/>
    </row>
    <row r="82" spans="1:10" s="321" customFormat="1" ht="30" customHeight="1" x14ac:dyDescent="0.35">
      <c r="A82" s="331"/>
      <c r="B82" s="465">
        <v>1</v>
      </c>
      <c r="C82" s="466" t="s">
        <v>285</v>
      </c>
      <c r="D82" s="695">
        <v>250000000</v>
      </c>
      <c r="E82" s="695">
        <v>250000000</v>
      </c>
      <c r="F82" s="695">
        <v>250000000</v>
      </c>
      <c r="G82" s="695">
        <v>250000000</v>
      </c>
      <c r="H82" s="695">
        <v>250000000</v>
      </c>
      <c r="I82" s="331" t="s">
        <v>338</v>
      </c>
      <c r="J82" s="364"/>
    </row>
    <row r="83" spans="1:10" s="321" customFormat="1" ht="30" customHeight="1" x14ac:dyDescent="0.35">
      <c r="A83" s="150"/>
      <c r="B83" s="412">
        <v>2</v>
      </c>
      <c r="C83" s="425" t="s">
        <v>560</v>
      </c>
      <c r="D83" s="696">
        <f>SUM(D84:D85)</f>
        <v>50000000</v>
      </c>
      <c r="E83" s="696">
        <f t="shared" ref="E83:H83" si="15">SUM(E84:E85)</f>
        <v>50000000</v>
      </c>
      <c r="F83" s="696">
        <f t="shared" si="15"/>
        <v>50000000</v>
      </c>
      <c r="G83" s="696">
        <f t="shared" si="15"/>
        <v>50000000</v>
      </c>
      <c r="H83" s="696">
        <f t="shared" si="15"/>
        <v>50000000</v>
      </c>
      <c r="I83" s="150"/>
      <c r="J83" s="364"/>
    </row>
    <row r="84" spans="1:10" s="321" customFormat="1" ht="30" customHeight="1" x14ac:dyDescent="0.35">
      <c r="A84" s="150"/>
      <c r="B84" s="155">
        <v>2.1</v>
      </c>
      <c r="C84" s="426" t="s">
        <v>500</v>
      </c>
      <c r="D84" s="700">
        <v>40000000</v>
      </c>
      <c r="E84" s="700">
        <v>40000000</v>
      </c>
      <c r="F84" s="700">
        <v>40000000</v>
      </c>
      <c r="G84" s="700">
        <v>40000000</v>
      </c>
      <c r="H84" s="700">
        <v>40000000</v>
      </c>
      <c r="I84" s="150"/>
      <c r="J84" s="417" t="s">
        <v>462</v>
      </c>
    </row>
    <row r="85" spans="1:10" s="321" customFormat="1" ht="30" customHeight="1" x14ac:dyDescent="0.35">
      <c r="A85" s="441"/>
      <c r="B85" s="464">
        <v>2.2000000000000002</v>
      </c>
      <c r="C85" s="462" t="s">
        <v>255</v>
      </c>
      <c r="D85" s="699">
        <v>10000000</v>
      </c>
      <c r="E85" s="699">
        <v>10000000</v>
      </c>
      <c r="F85" s="699">
        <v>10000000</v>
      </c>
      <c r="G85" s="699">
        <v>10000000</v>
      </c>
      <c r="H85" s="699">
        <v>10000000</v>
      </c>
      <c r="I85" s="366"/>
      <c r="J85" s="364"/>
    </row>
    <row r="86" spans="1:10" s="321" customFormat="1" ht="30" customHeight="1" x14ac:dyDescent="0.35">
      <c r="A86" s="457" t="s">
        <v>43</v>
      </c>
      <c r="B86" s="458" t="s">
        <v>580</v>
      </c>
      <c r="C86" s="457" t="s">
        <v>579</v>
      </c>
      <c r="D86" s="694">
        <f>SUM(D87:D88)</f>
        <v>140000000</v>
      </c>
      <c r="E86" s="694">
        <f t="shared" ref="E86:H86" si="16">SUM(E87:E88)</f>
        <v>140000000</v>
      </c>
      <c r="F86" s="694">
        <f t="shared" si="16"/>
        <v>140000000</v>
      </c>
      <c r="G86" s="694">
        <f t="shared" si="16"/>
        <v>140000000</v>
      </c>
      <c r="H86" s="694">
        <f t="shared" si="16"/>
        <v>140000000</v>
      </c>
      <c r="I86" s="145"/>
      <c r="J86" s="364"/>
    </row>
    <row r="87" spans="1:10" s="321" customFormat="1" ht="30" customHeight="1" x14ac:dyDescent="0.35">
      <c r="A87" s="331"/>
      <c r="B87" s="465">
        <v>1</v>
      </c>
      <c r="C87" s="466" t="s">
        <v>285</v>
      </c>
      <c r="D87" s="695">
        <v>65000000</v>
      </c>
      <c r="E87" s="695">
        <v>65000000</v>
      </c>
      <c r="F87" s="695">
        <v>65000000</v>
      </c>
      <c r="G87" s="695">
        <v>65000000</v>
      </c>
      <c r="H87" s="695">
        <v>65000000</v>
      </c>
      <c r="I87" s="334" t="s">
        <v>336</v>
      </c>
      <c r="J87" s="364"/>
    </row>
    <row r="88" spans="1:10" s="321" customFormat="1" ht="30" customHeight="1" x14ac:dyDescent="0.35">
      <c r="A88" s="150"/>
      <c r="B88" s="412">
        <v>2</v>
      </c>
      <c r="C88" s="425" t="s">
        <v>560</v>
      </c>
      <c r="D88" s="696">
        <f>SUM(D89:D90)</f>
        <v>75000000</v>
      </c>
      <c r="E88" s="696">
        <f t="shared" ref="E88:H88" si="17">SUM(E89:E90)</f>
        <v>75000000</v>
      </c>
      <c r="F88" s="696">
        <f t="shared" si="17"/>
        <v>75000000</v>
      </c>
      <c r="G88" s="696">
        <f t="shared" si="17"/>
        <v>75000000</v>
      </c>
      <c r="H88" s="696">
        <f t="shared" si="17"/>
        <v>75000000</v>
      </c>
      <c r="I88" s="153"/>
      <c r="J88" s="364"/>
    </row>
    <row r="89" spans="1:10" s="418" customFormat="1" ht="30" customHeight="1" x14ac:dyDescent="0.35">
      <c r="A89" s="416"/>
      <c r="B89" s="147" t="s">
        <v>498</v>
      </c>
      <c r="C89" s="371" t="s">
        <v>337</v>
      </c>
      <c r="D89" s="690">
        <v>70000000</v>
      </c>
      <c r="E89" s="690">
        <v>70000000</v>
      </c>
      <c r="F89" s="690">
        <v>70000000</v>
      </c>
      <c r="G89" s="690">
        <v>70000000</v>
      </c>
      <c r="H89" s="690">
        <v>70000000</v>
      </c>
      <c r="I89" s="330"/>
      <c r="J89" s="417" t="s">
        <v>462</v>
      </c>
    </row>
    <row r="90" spans="1:10" s="418" customFormat="1" ht="30" customHeight="1" x14ac:dyDescent="0.35">
      <c r="A90" s="416"/>
      <c r="B90" s="147" t="s">
        <v>499</v>
      </c>
      <c r="C90" s="148" t="s">
        <v>254</v>
      </c>
      <c r="D90" s="697">
        <v>5000000</v>
      </c>
      <c r="E90" s="697">
        <v>5000000</v>
      </c>
      <c r="F90" s="697">
        <v>5000000</v>
      </c>
      <c r="G90" s="697">
        <v>5000000</v>
      </c>
      <c r="H90" s="697">
        <v>5000000</v>
      </c>
      <c r="I90" s="422"/>
      <c r="J90" s="421"/>
    </row>
    <row r="91" spans="1:10" s="321" customFormat="1" ht="30" customHeight="1" x14ac:dyDescent="0.35">
      <c r="A91" s="457" t="s">
        <v>31</v>
      </c>
      <c r="B91" s="458" t="s">
        <v>591</v>
      </c>
      <c r="C91" s="457" t="s">
        <v>621</v>
      </c>
      <c r="D91" s="694">
        <f>D92+D96</f>
        <v>308900000</v>
      </c>
      <c r="E91" s="694">
        <f t="shared" ref="E91:H91" si="18">E92+E96</f>
        <v>308900000</v>
      </c>
      <c r="F91" s="694">
        <f t="shared" si="18"/>
        <v>308900000</v>
      </c>
      <c r="G91" s="694">
        <f t="shared" si="18"/>
        <v>308900000</v>
      </c>
      <c r="H91" s="694">
        <f t="shared" si="18"/>
        <v>308900000</v>
      </c>
      <c r="I91" s="145"/>
      <c r="J91" s="364"/>
    </row>
    <row r="92" spans="1:10" s="418" customFormat="1" ht="30" customHeight="1" x14ac:dyDescent="0.35">
      <c r="A92" s="416"/>
      <c r="B92" s="147">
        <v>1</v>
      </c>
      <c r="C92" s="490" t="s">
        <v>285</v>
      </c>
      <c r="D92" s="701">
        <f>SUM(D93:D95)</f>
        <v>258900000</v>
      </c>
      <c r="E92" s="701">
        <v>258900000</v>
      </c>
      <c r="F92" s="701">
        <v>258900000</v>
      </c>
      <c r="G92" s="701">
        <v>258900000</v>
      </c>
      <c r="H92" s="701">
        <v>258900000</v>
      </c>
      <c r="I92" s="494" t="s">
        <v>620</v>
      </c>
      <c r="J92" s="421" t="s">
        <v>548</v>
      </c>
    </row>
    <row r="93" spans="1:10" s="418" customFormat="1" ht="30" customHeight="1" x14ac:dyDescent="0.35">
      <c r="A93" s="416"/>
      <c r="B93" s="147">
        <v>1.1000000000000001</v>
      </c>
      <c r="C93" s="148" t="s">
        <v>339</v>
      </c>
      <c r="D93" s="697">
        <v>130400000</v>
      </c>
      <c r="E93" s="697">
        <v>130400000</v>
      </c>
      <c r="F93" s="697">
        <v>130400000</v>
      </c>
      <c r="G93" s="697">
        <v>130400000</v>
      </c>
      <c r="H93" s="697">
        <v>130400000</v>
      </c>
      <c r="I93" s="422" t="s">
        <v>329</v>
      </c>
      <c r="J93" s="421" t="s">
        <v>548</v>
      </c>
    </row>
    <row r="94" spans="1:10" s="418" customFormat="1" ht="30" customHeight="1" x14ac:dyDescent="0.35">
      <c r="A94" s="416"/>
      <c r="B94" s="147">
        <v>1.2</v>
      </c>
      <c r="C94" s="148" t="s">
        <v>330</v>
      </c>
      <c r="D94" s="697">
        <v>66000000</v>
      </c>
      <c r="E94" s="697">
        <v>66000000</v>
      </c>
      <c r="F94" s="697">
        <v>66000000</v>
      </c>
      <c r="G94" s="697">
        <v>66000000</v>
      </c>
      <c r="H94" s="697">
        <v>66000000</v>
      </c>
      <c r="I94" s="422" t="s">
        <v>331</v>
      </c>
      <c r="J94" s="421" t="s">
        <v>548</v>
      </c>
    </row>
    <row r="95" spans="1:10" s="418" customFormat="1" ht="30" customHeight="1" x14ac:dyDescent="0.35">
      <c r="A95" s="416"/>
      <c r="B95" s="147">
        <v>1.3</v>
      </c>
      <c r="C95" s="148" t="s">
        <v>340</v>
      </c>
      <c r="D95" s="697">
        <v>62500000</v>
      </c>
      <c r="E95" s="697">
        <v>62500000</v>
      </c>
      <c r="F95" s="697">
        <v>62500000</v>
      </c>
      <c r="G95" s="697">
        <v>62500000</v>
      </c>
      <c r="H95" s="697">
        <v>62500000</v>
      </c>
      <c r="I95" s="422" t="s">
        <v>331</v>
      </c>
      <c r="J95" s="421" t="s">
        <v>548</v>
      </c>
    </row>
    <row r="96" spans="1:10" s="418" customFormat="1" ht="30" customHeight="1" x14ac:dyDescent="0.35">
      <c r="A96" s="454"/>
      <c r="B96" s="365">
        <v>2</v>
      </c>
      <c r="C96" s="491" t="s">
        <v>332</v>
      </c>
      <c r="D96" s="702">
        <v>50000000</v>
      </c>
      <c r="E96" s="702">
        <v>50000000</v>
      </c>
      <c r="F96" s="702">
        <v>50000000</v>
      </c>
      <c r="G96" s="702">
        <v>50000000</v>
      </c>
      <c r="H96" s="702">
        <v>50000000</v>
      </c>
      <c r="I96" s="444"/>
      <c r="J96" s="421"/>
    </row>
    <row r="97" spans="1:10" s="321" customFormat="1" ht="30" customHeight="1" x14ac:dyDescent="0.35">
      <c r="A97" s="457" t="s">
        <v>16</v>
      </c>
      <c r="B97" s="458" t="s">
        <v>591</v>
      </c>
      <c r="C97" s="457" t="s">
        <v>592</v>
      </c>
      <c r="D97" s="694">
        <f>SUM(D98:D111)</f>
        <v>22000000</v>
      </c>
      <c r="E97" s="694">
        <f>SUM(E98:E111)</f>
        <v>82000000</v>
      </c>
      <c r="F97" s="694">
        <f>SUM(F98:F111)</f>
        <v>202000000</v>
      </c>
      <c r="G97" s="694">
        <f>SUM(G98:G111)</f>
        <v>372000000</v>
      </c>
      <c r="H97" s="694">
        <f>SUM(H98:H111)</f>
        <v>22000000</v>
      </c>
      <c r="I97" s="145"/>
      <c r="J97" s="364"/>
    </row>
    <row r="98" spans="1:10" s="321" customFormat="1" ht="30" customHeight="1" x14ac:dyDescent="0.35">
      <c r="A98" s="331"/>
      <c r="B98" s="333">
        <v>1</v>
      </c>
      <c r="C98" s="456" t="s">
        <v>271</v>
      </c>
      <c r="D98" s="689">
        <v>10000000</v>
      </c>
      <c r="E98" s="689">
        <v>10000000</v>
      </c>
      <c r="F98" s="689">
        <v>10000000</v>
      </c>
      <c r="G98" s="689">
        <v>10000000</v>
      </c>
      <c r="H98" s="689">
        <v>10000000</v>
      </c>
      <c r="I98" s="334"/>
      <c r="J98" s="364"/>
    </row>
    <row r="99" spans="1:10" s="321" customFormat="1" ht="30" customHeight="1" x14ac:dyDescent="0.35">
      <c r="A99" s="150"/>
      <c r="B99" s="155">
        <v>2</v>
      </c>
      <c r="C99" s="371" t="s">
        <v>272</v>
      </c>
      <c r="D99" s="690">
        <v>12000000</v>
      </c>
      <c r="E99" s="690">
        <v>12000000</v>
      </c>
      <c r="F99" s="690">
        <v>12000000</v>
      </c>
      <c r="G99" s="690">
        <v>12000000</v>
      </c>
      <c r="H99" s="690">
        <v>12000000</v>
      </c>
      <c r="I99" s="422" t="s">
        <v>262</v>
      </c>
      <c r="J99" s="364"/>
    </row>
    <row r="100" spans="1:10" s="321" customFormat="1" ht="30" customHeight="1" x14ac:dyDescent="0.35">
      <c r="A100" s="150"/>
      <c r="B100" s="155">
        <f>B99+1</f>
        <v>3</v>
      </c>
      <c r="C100" s="371" t="s">
        <v>1079</v>
      </c>
      <c r="D100" s="690"/>
      <c r="E100" s="690">
        <v>20000000</v>
      </c>
      <c r="F100" s="690"/>
      <c r="G100" s="690"/>
      <c r="H100" s="690"/>
      <c r="I100" s="422"/>
      <c r="J100" s="364"/>
    </row>
    <row r="101" spans="1:10" s="321" customFormat="1" ht="30" customHeight="1" x14ac:dyDescent="0.35">
      <c r="A101" s="150"/>
      <c r="B101" s="155">
        <f t="shared" ref="B101:B111" si="19">B100+1</f>
        <v>4</v>
      </c>
      <c r="C101" s="371" t="s">
        <v>1080</v>
      </c>
      <c r="D101" s="690"/>
      <c r="E101" s="690">
        <v>20000000</v>
      </c>
      <c r="F101" s="690"/>
      <c r="G101" s="690"/>
      <c r="H101" s="690"/>
      <c r="I101" s="422"/>
      <c r="J101" s="364"/>
    </row>
    <row r="102" spans="1:10" s="321" customFormat="1" ht="30" customHeight="1" x14ac:dyDescent="0.35">
      <c r="A102" s="150"/>
      <c r="B102" s="155">
        <f t="shared" si="19"/>
        <v>5</v>
      </c>
      <c r="C102" s="371" t="s">
        <v>1081</v>
      </c>
      <c r="D102" s="690"/>
      <c r="E102" s="690">
        <v>20000000</v>
      </c>
      <c r="F102" s="690"/>
      <c r="G102" s="690"/>
      <c r="H102" s="690"/>
      <c r="I102" s="422"/>
      <c r="J102" s="364"/>
    </row>
    <row r="103" spans="1:10" s="321" customFormat="1" ht="30" customHeight="1" x14ac:dyDescent="0.35">
      <c r="A103" s="150"/>
      <c r="B103" s="155">
        <f t="shared" si="19"/>
        <v>6</v>
      </c>
      <c r="C103" s="371" t="s">
        <v>1082</v>
      </c>
      <c r="D103" s="690"/>
      <c r="E103" s="690"/>
      <c r="F103" s="690">
        <v>50000000</v>
      </c>
      <c r="G103" s="690"/>
      <c r="H103" s="690"/>
      <c r="I103" s="422"/>
      <c r="J103" s="364"/>
    </row>
    <row r="104" spans="1:10" s="321" customFormat="1" ht="30" customHeight="1" x14ac:dyDescent="0.35">
      <c r="A104" s="150"/>
      <c r="B104" s="155">
        <f t="shared" si="19"/>
        <v>7</v>
      </c>
      <c r="C104" s="371" t="s">
        <v>1083</v>
      </c>
      <c r="D104" s="690"/>
      <c r="E104" s="690"/>
      <c r="F104" s="690">
        <v>50000000</v>
      </c>
      <c r="G104" s="690"/>
      <c r="H104" s="690"/>
      <c r="I104" s="422"/>
      <c r="J104" s="364"/>
    </row>
    <row r="105" spans="1:10" s="321" customFormat="1" ht="30" customHeight="1" x14ac:dyDescent="0.35">
      <c r="A105" s="150"/>
      <c r="B105" s="155">
        <f t="shared" si="19"/>
        <v>8</v>
      </c>
      <c r="C105" s="371" t="s">
        <v>1084</v>
      </c>
      <c r="D105" s="690"/>
      <c r="E105" s="690"/>
      <c r="F105" s="690">
        <v>50000000</v>
      </c>
      <c r="G105" s="690"/>
      <c r="H105" s="690"/>
      <c r="I105" s="422"/>
      <c r="J105" s="364"/>
    </row>
    <row r="106" spans="1:10" s="321" customFormat="1" ht="30" customHeight="1" x14ac:dyDescent="0.35">
      <c r="A106" s="150"/>
      <c r="B106" s="155">
        <f t="shared" si="19"/>
        <v>9</v>
      </c>
      <c r="C106" s="371" t="s">
        <v>1085</v>
      </c>
      <c r="D106" s="690"/>
      <c r="E106" s="690"/>
      <c r="F106" s="690">
        <v>30000000</v>
      </c>
      <c r="G106" s="690"/>
      <c r="H106" s="690"/>
      <c r="I106" s="422"/>
      <c r="J106" s="364"/>
    </row>
    <row r="107" spans="1:10" s="321" customFormat="1" ht="30" customHeight="1" x14ac:dyDescent="0.35">
      <c r="A107" s="150"/>
      <c r="B107" s="155">
        <f t="shared" si="19"/>
        <v>10</v>
      </c>
      <c r="C107" s="371" t="s">
        <v>1086</v>
      </c>
      <c r="D107" s="690"/>
      <c r="E107" s="690"/>
      <c r="F107" s="690"/>
      <c r="G107" s="690">
        <v>50000000</v>
      </c>
      <c r="H107" s="690"/>
      <c r="I107" s="422"/>
      <c r="J107" s="364"/>
    </row>
    <row r="108" spans="1:10" s="321" customFormat="1" ht="30" customHeight="1" x14ac:dyDescent="0.35">
      <c r="A108" s="150"/>
      <c r="B108" s="155">
        <f t="shared" si="19"/>
        <v>11</v>
      </c>
      <c r="C108" s="371" t="s">
        <v>1087</v>
      </c>
      <c r="D108" s="690"/>
      <c r="E108" s="690"/>
      <c r="F108" s="690"/>
      <c r="G108" s="690">
        <v>50000000</v>
      </c>
      <c r="H108" s="690"/>
      <c r="I108" s="422"/>
      <c r="J108" s="364"/>
    </row>
    <row r="109" spans="1:10" s="321" customFormat="1" ht="30" customHeight="1" x14ac:dyDescent="0.35">
      <c r="A109" s="150"/>
      <c r="B109" s="155">
        <f t="shared" si="19"/>
        <v>12</v>
      </c>
      <c r="C109" s="371" t="s">
        <v>1088</v>
      </c>
      <c r="D109" s="690"/>
      <c r="E109" s="690"/>
      <c r="F109" s="690"/>
      <c r="G109" s="690">
        <v>50000000</v>
      </c>
      <c r="H109" s="690"/>
      <c r="I109" s="422"/>
      <c r="J109" s="364"/>
    </row>
    <row r="110" spans="1:10" s="321" customFormat="1" ht="30" customHeight="1" x14ac:dyDescent="0.35">
      <c r="A110" s="150"/>
      <c r="B110" s="155">
        <f t="shared" si="19"/>
        <v>13</v>
      </c>
      <c r="C110" s="371" t="s">
        <v>1089</v>
      </c>
      <c r="D110" s="690"/>
      <c r="E110" s="690"/>
      <c r="F110" s="690"/>
      <c r="G110" s="690">
        <v>100000000</v>
      </c>
      <c r="H110" s="690"/>
      <c r="I110" s="422"/>
      <c r="J110" s="364"/>
    </row>
    <row r="111" spans="1:10" s="321" customFormat="1" ht="30" customHeight="1" x14ac:dyDescent="0.35">
      <c r="A111" s="150"/>
      <c r="B111" s="155">
        <f t="shared" si="19"/>
        <v>14</v>
      </c>
      <c r="C111" s="371" t="s">
        <v>1090</v>
      </c>
      <c r="D111" s="690"/>
      <c r="E111" s="690"/>
      <c r="F111" s="690"/>
      <c r="G111" s="690">
        <v>100000000</v>
      </c>
      <c r="H111" s="690"/>
      <c r="I111" s="422"/>
      <c r="J111" s="364"/>
    </row>
    <row r="112" spans="1:10" s="321" customFormat="1" ht="30" customHeight="1" x14ac:dyDescent="0.35">
      <c r="A112" s="360" t="s">
        <v>26</v>
      </c>
      <c r="B112" s="461" t="s">
        <v>582</v>
      </c>
      <c r="C112" s="360" t="s">
        <v>581</v>
      </c>
      <c r="D112" s="694">
        <f>SUM(D113:D116)</f>
        <v>189000000</v>
      </c>
      <c r="E112" s="694">
        <f t="shared" ref="E112:H112" si="20">SUM(E113:E116)</f>
        <v>39000000</v>
      </c>
      <c r="F112" s="694">
        <f t="shared" si="20"/>
        <v>39000000</v>
      </c>
      <c r="G112" s="694">
        <f t="shared" si="20"/>
        <v>39000000</v>
      </c>
      <c r="H112" s="694">
        <f t="shared" si="20"/>
        <v>189000000</v>
      </c>
      <c r="I112" s="145"/>
      <c r="J112" s="364"/>
    </row>
    <row r="113" spans="1:10" s="321" customFormat="1" ht="40.5" customHeight="1" x14ac:dyDescent="0.35">
      <c r="A113" s="445"/>
      <c r="B113" s="446">
        <v>1</v>
      </c>
      <c r="C113" s="447" t="s">
        <v>501</v>
      </c>
      <c r="D113" s="689">
        <f>3*4*5*100000</f>
        <v>6000000</v>
      </c>
      <c r="E113" s="689">
        <v>6000000</v>
      </c>
      <c r="F113" s="689">
        <v>6000000</v>
      </c>
      <c r="G113" s="689">
        <v>6000000</v>
      </c>
      <c r="H113" s="689">
        <v>6000000</v>
      </c>
      <c r="I113" s="448" t="s">
        <v>341</v>
      </c>
      <c r="J113" s="364" t="s">
        <v>548</v>
      </c>
    </row>
    <row r="114" spans="1:10" s="321" customFormat="1" ht="30" customHeight="1" x14ac:dyDescent="0.35">
      <c r="A114" s="416"/>
      <c r="B114" s="147" t="s">
        <v>251</v>
      </c>
      <c r="C114" s="368" t="s">
        <v>502</v>
      </c>
      <c r="D114" s="690">
        <f>2*5*28*100000</f>
        <v>28000000</v>
      </c>
      <c r="E114" s="690">
        <v>28000000</v>
      </c>
      <c r="F114" s="690">
        <v>28000000</v>
      </c>
      <c r="G114" s="690">
        <v>28000000</v>
      </c>
      <c r="H114" s="690">
        <v>28000000</v>
      </c>
      <c r="I114" s="330" t="s">
        <v>504</v>
      </c>
      <c r="J114" s="364" t="s">
        <v>548</v>
      </c>
    </row>
    <row r="115" spans="1:10" s="321" customFormat="1" ht="30" customHeight="1" x14ac:dyDescent="0.35">
      <c r="A115" s="416"/>
      <c r="B115" s="147">
        <v>3</v>
      </c>
      <c r="C115" s="433" t="s">
        <v>503</v>
      </c>
      <c r="D115" s="703">
        <f>300*500000</f>
        <v>150000000</v>
      </c>
      <c r="E115" s="703"/>
      <c r="F115" s="703"/>
      <c r="G115" s="703"/>
      <c r="H115" s="703">
        <v>150000000</v>
      </c>
      <c r="I115" s="330" t="s">
        <v>342</v>
      </c>
      <c r="J115" s="364" t="s">
        <v>548</v>
      </c>
    </row>
    <row r="116" spans="1:10" s="418" customFormat="1" ht="30" customHeight="1" x14ac:dyDescent="0.35">
      <c r="A116" s="454"/>
      <c r="B116" s="365" t="s">
        <v>439</v>
      </c>
      <c r="C116" s="443" t="s">
        <v>256</v>
      </c>
      <c r="D116" s="691">
        <v>5000000</v>
      </c>
      <c r="E116" s="691">
        <v>5000000</v>
      </c>
      <c r="F116" s="703">
        <v>5000000</v>
      </c>
      <c r="G116" s="703">
        <v>5000000</v>
      </c>
      <c r="H116" s="703">
        <v>5000000</v>
      </c>
      <c r="I116" s="444"/>
      <c r="J116" s="421"/>
    </row>
    <row r="117" spans="1:10" s="321" customFormat="1" ht="30" customHeight="1" x14ac:dyDescent="0.35">
      <c r="A117" s="360" t="s">
        <v>24</v>
      </c>
      <c r="B117" s="461" t="s">
        <v>584</v>
      </c>
      <c r="C117" s="360" t="s">
        <v>583</v>
      </c>
      <c r="D117" s="694">
        <f>SUM(D118:D119)</f>
        <v>12000000</v>
      </c>
      <c r="E117" s="694">
        <f t="shared" ref="E117:H117" si="21">SUM(E118:E119)</f>
        <v>12000000</v>
      </c>
      <c r="F117" s="694">
        <f t="shared" si="21"/>
        <v>12000000</v>
      </c>
      <c r="G117" s="694">
        <f t="shared" si="21"/>
        <v>12000000</v>
      </c>
      <c r="H117" s="694">
        <f t="shared" si="21"/>
        <v>12000000</v>
      </c>
      <c r="I117" s="145"/>
      <c r="J117" s="364"/>
    </row>
    <row r="118" spans="1:10" s="321" customFormat="1" ht="30" customHeight="1" x14ac:dyDescent="0.35">
      <c r="A118" s="331"/>
      <c r="B118" s="333">
        <v>1</v>
      </c>
      <c r="C118" s="456" t="s">
        <v>505</v>
      </c>
      <c r="D118" s="689">
        <v>10000000</v>
      </c>
      <c r="E118" s="689">
        <v>10000000</v>
      </c>
      <c r="F118" s="689">
        <v>10000000</v>
      </c>
      <c r="G118" s="689">
        <v>10000000</v>
      </c>
      <c r="H118" s="689">
        <v>10000000</v>
      </c>
      <c r="I118" s="334" t="s">
        <v>258</v>
      </c>
      <c r="J118" s="417" t="s">
        <v>462</v>
      </c>
    </row>
    <row r="119" spans="1:10" s="321" customFormat="1" ht="30" customHeight="1" x14ac:dyDescent="0.35">
      <c r="A119" s="441"/>
      <c r="B119" s="442">
        <v>2</v>
      </c>
      <c r="C119" s="443" t="s">
        <v>257</v>
      </c>
      <c r="D119" s="691">
        <v>2000000</v>
      </c>
      <c r="E119" s="691">
        <v>2000000</v>
      </c>
      <c r="F119" s="691">
        <v>2000000</v>
      </c>
      <c r="G119" s="691">
        <v>2000000</v>
      </c>
      <c r="H119" s="691">
        <v>2000000</v>
      </c>
      <c r="I119" s="366" t="s">
        <v>258</v>
      </c>
      <c r="J119" s="364"/>
    </row>
    <row r="120" spans="1:10" s="321" customFormat="1" ht="30" customHeight="1" x14ac:dyDescent="0.35">
      <c r="A120" s="360" t="s">
        <v>22</v>
      </c>
      <c r="B120" s="461" t="s">
        <v>586</v>
      </c>
      <c r="C120" s="360" t="s">
        <v>585</v>
      </c>
      <c r="D120" s="694">
        <f>SUM(D121:D123)</f>
        <v>40000000</v>
      </c>
      <c r="E120" s="694">
        <f t="shared" ref="E120:H120" si="22">SUM(E121:E123)</f>
        <v>40000000</v>
      </c>
      <c r="F120" s="694">
        <f t="shared" si="22"/>
        <v>40000000</v>
      </c>
      <c r="G120" s="694">
        <f t="shared" si="22"/>
        <v>40000000</v>
      </c>
      <c r="H120" s="694">
        <f t="shared" si="22"/>
        <v>40000000</v>
      </c>
      <c r="I120" s="145" t="s">
        <v>258</v>
      </c>
      <c r="J120" s="417"/>
    </row>
    <row r="121" spans="1:10" s="321" customFormat="1" ht="30" customHeight="1" x14ac:dyDescent="0.35">
      <c r="A121" s="331"/>
      <c r="B121" s="333">
        <v>1</v>
      </c>
      <c r="C121" s="456" t="s">
        <v>506</v>
      </c>
      <c r="D121" s="689">
        <v>20000000</v>
      </c>
      <c r="E121" s="689">
        <v>20000000</v>
      </c>
      <c r="F121" s="689">
        <v>20000000</v>
      </c>
      <c r="G121" s="689">
        <v>20000000</v>
      </c>
      <c r="H121" s="689">
        <v>20000000</v>
      </c>
      <c r="I121" s="334" t="s">
        <v>259</v>
      </c>
      <c r="J121" s="417"/>
    </row>
    <row r="122" spans="1:10" s="321" customFormat="1" ht="30" customHeight="1" x14ac:dyDescent="0.35">
      <c r="A122" s="150"/>
      <c r="B122" s="155">
        <v>2</v>
      </c>
      <c r="C122" s="371" t="s">
        <v>507</v>
      </c>
      <c r="D122" s="690">
        <v>15000000</v>
      </c>
      <c r="E122" s="690">
        <v>15000000</v>
      </c>
      <c r="F122" s="690">
        <v>15000000</v>
      </c>
      <c r="G122" s="690">
        <v>15000000</v>
      </c>
      <c r="H122" s="690">
        <v>15000000</v>
      </c>
      <c r="I122" s="153" t="s">
        <v>343</v>
      </c>
      <c r="J122" s="417"/>
    </row>
    <row r="123" spans="1:10" s="321" customFormat="1" ht="30" customHeight="1" x14ac:dyDescent="0.35">
      <c r="A123" s="441"/>
      <c r="B123" s="442">
        <v>3</v>
      </c>
      <c r="C123" s="443" t="s">
        <v>508</v>
      </c>
      <c r="D123" s="691">
        <v>5000000</v>
      </c>
      <c r="E123" s="691">
        <v>5000000</v>
      </c>
      <c r="F123" s="691">
        <v>5000000</v>
      </c>
      <c r="G123" s="691">
        <v>5000000</v>
      </c>
      <c r="H123" s="691">
        <v>5000000</v>
      </c>
      <c r="I123" s="366"/>
      <c r="J123" s="417"/>
    </row>
    <row r="124" spans="1:10" s="321" customFormat="1" ht="30" customHeight="1" x14ac:dyDescent="0.35">
      <c r="A124" s="360" t="s">
        <v>20</v>
      </c>
      <c r="B124" s="461" t="s">
        <v>588</v>
      </c>
      <c r="C124" s="360" t="s">
        <v>587</v>
      </c>
      <c r="D124" s="694">
        <f>SUM(D125:D136)</f>
        <v>1358800000</v>
      </c>
      <c r="E124" s="694">
        <f>SUM(E125:E136)</f>
        <v>808800000</v>
      </c>
      <c r="F124" s="694">
        <f>SUM(F125:F136)</f>
        <v>808800000</v>
      </c>
      <c r="G124" s="694">
        <f>SUM(G125:G136)</f>
        <v>808800000</v>
      </c>
      <c r="H124" s="694">
        <f>SUM(H125:H136)</f>
        <v>808800000</v>
      </c>
      <c r="I124" s="145" t="s">
        <v>259</v>
      </c>
      <c r="J124" s="364"/>
    </row>
    <row r="125" spans="1:10" s="418" customFormat="1" ht="30" customHeight="1" x14ac:dyDescent="0.35">
      <c r="A125" s="445"/>
      <c r="B125" s="446">
        <v>1</v>
      </c>
      <c r="C125" s="456" t="s">
        <v>260</v>
      </c>
      <c r="D125" s="689">
        <v>30000000</v>
      </c>
      <c r="E125" s="689">
        <v>30000000</v>
      </c>
      <c r="F125" s="689">
        <v>30000000</v>
      </c>
      <c r="G125" s="689">
        <v>30000000</v>
      </c>
      <c r="H125" s="689">
        <v>30000000</v>
      </c>
      <c r="I125" s="449"/>
      <c r="J125" s="421"/>
    </row>
    <row r="126" spans="1:10" s="418" customFormat="1" ht="30" customHeight="1" x14ac:dyDescent="0.35">
      <c r="A126" s="416"/>
      <c r="B126" s="147">
        <f>B125+1</f>
        <v>2</v>
      </c>
      <c r="C126" s="371" t="s">
        <v>261</v>
      </c>
      <c r="D126" s="690">
        <f>12*1000000</f>
        <v>12000000</v>
      </c>
      <c r="E126" s="690">
        <v>12000000</v>
      </c>
      <c r="F126" s="690">
        <v>12000000</v>
      </c>
      <c r="G126" s="690">
        <v>12000000</v>
      </c>
      <c r="H126" s="690">
        <v>12000000</v>
      </c>
      <c r="I126" s="422" t="s">
        <v>262</v>
      </c>
      <c r="J126" s="421"/>
    </row>
    <row r="127" spans="1:10" s="418" customFormat="1" ht="30" customHeight="1" x14ac:dyDescent="0.35">
      <c r="A127" s="416"/>
      <c r="B127" s="147">
        <f t="shared" ref="B127:B135" si="23">B126+1</f>
        <v>3</v>
      </c>
      <c r="C127" s="371" t="s">
        <v>345</v>
      </c>
      <c r="D127" s="690">
        <f>5*1000000</f>
        <v>5000000</v>
      </c>
      <c r="E127" s="690">
        <v>5000000</v>
      </c>
      <c r="F127" s="690">
        <v>5000000</v>
      </c>
      <c r="G127" s="690">
        <v>5000000</v>
      </c>
      <c r="H127" s="690">
        <v>5000000</v>
      </c>
      <c r="I127" s="422"/>
      <c r="J127" s="421" t="s">
        <v>548</v>
      </c>
    </row>
    <row r="128" spans="1:10" s="418" customFormat="1" ht="30" customHeight="1" x14ac:dyDescent="0.35">
      <c r="A128" s="416"/>
      <c r="B128" s="147">
        <f t="shared" si="23"/>
        <v>4</v>
      </c>
      <c r="C128" s="371" t="s">
        <v>509</v>
      </c>
      <c r="D128" s="690">
        <v>20000000</v>
      </c>
      <c r="E128" s="690">
        <v>20000000</v>
      </c>
      <c r="F128" s="690">
        <v>20000000</v>
      </c>
      <c r="G128" s="690">
        <v>20000000</v>
      </c>
      <c r="H128" s="690">
        <v>20000000</v>
      </c>
      <c r="I128" s="422"/>
      <c r="J128" s="421" t="s">
        <v>548</v>
      </c>
    </row>
    <row r="129" spans="1:10" s="418" customFormat="1" ht="30" customHeight="1" x14ac:dyDescent="0.35">
      <c r="A129" s="416"/>
      <c r="B129" s="147">
        <f t="shared" si="23"/>
        <v>5</v>
      </c>
      <c r="C129" s="371" t="s">
        <v>510</v>
      </c>
      <c r="D129" s="690">
        <f>500*150000</f>
        <v>75000000</v>
      </c>
      <c r="E129" s="690">
        <v>75000000</v>
      </c>
      <c r="F129" s="690">
        <v>75000000</v>
      </c>
      <c r="G129" s="690">
        <v>75000000</v>
      </c>
      <c r="H129" s="690">
        <v>75000000</v>
      </c>
      <c r="I129" s="422" t="s">
        <v>346</v>
      </c>
      <c r="J129" s="421" t="s">
        <v>548</v>
      </c>
    </row>
    <row r="130" spans="1:10" s="418" customFormat="1" ht="30" customHeight="1" x14ac:dyDescent="0.35">
      <c r="A130" s="416"/>
      <c r="B130" s="147">
        <f t="shared" si="23"/>
        <v>6</v>
      </c>
      <c r="C130" s="372" t="s">
        <v>347</v>
      </c>
      <c r="D130" s="704">
        <v>18000000</v>
      </c>
      <c r="E130" s="704">
        <v>18000000</v>
      </c>
      <c r="F130" s="704">
        <v>18000000</v>
      </c>
      <c r="G130" s="704">
        <v>18000000</v>
      </c>
      <c r="H130" s="704">
        <v>18000000</v>
      </c>
      <c r="I130" s="427"/>
      <c r="J130" s="421" t="s">
        <v>548</v>
      </c>
    </row>
    <row r="131" spans="1:10" s="418" customFormat="1" ht="30" customHeight="1" x14ac:dyDescent="0.35">
      <c r="A131" s="150"/>
      <c r="B131" s="147">
        <f t="shared" si="23"/>
        <v>7</v>
      </c>
      <c r="C131" s="372" t="s">
        <v>349</v>
      </c>
      <c r="D131" s="704">
        <v>25000000</v>
      </c>
      <c r="E131" s="704">
        <v>25000000</v>
      </c>
      <c r="F131" s="704">
        <v>25000000</v>
      </c>
      <c r="G131" s="704">
        <v>25000000</v>
      </c>
      <c r="H131" s="704">
        <v>25000000</v>
      </c>
      <c r="I131" s="153"/>
      <c r="J131" s="421" t="s">
        <v>548</v>
      </c>
    </row>
    <row r="132" spans="1:10" s="418" customFormat="1" ht="30" customHeight="1" x14ac:dyDescent="0.35">
      <c r="A132" s="150"/>
      <c r="B132" s="147">
        <f t="shared" si="23"/>
        <v>8</v>
      </c>
      <c r="C132" s="372" t="s">
        <v>350</v>
      </c>
      <c r="D132" s="704">
        <f>240*120000</f>
        <v>28800000</v>
      </c>
      <c r="E132" s="704">
        <v>28800000</v>
      </c>
      <c r="F132" s="704">
        <v>28800000</v>
      </c>
      <c r="G132" s="704">
        <v>28800000</v>
      </c>
      <c r="H132" s="704">
        <v>28800000</v>
      </c>
      <c r="I132" s="153" t="s">
        <v>351</v>
      </c>
      <c r="J132" s="421" t="s">
        <v>548</v>
      </c>
    </row>
    <row r="133" spans="1:10" s="418" customFormat="1" ht="30" customHeight="1" x14ac:dyDescent="0.35">
      <c r="A133" s="150"/>
      <c r="B133" s="147">
        <f t="shared" si="23"/>
        <v>9</v>
      </c>
      <c r="C133" s="372" t="s">
        <v>355</v>
      </c>
      <c r="D133" s="704">
        <v>260000000</v>
      </c>
      <c r="E133" s="704">
        <v>260000000</v>
      </c>
      <c r="F133" s="704">
        <v>260000000</v>
      </c>
      <c r="G133" s="704">
        <v>260000000</v>
      </c>
      <c r="H133" s="704">
        <v>260000000</v>
      </c>
      <c r="I133" s="153" t="s">
        <v>547</v>
      </c>
      <c r="J133" s="421" t="s">
        <v>548</v>
      </c>
    </row>
    <row r="134" spans="1:10" s="418" customFormat="1" ht="30" customHeight="1" x14ac:dyDescent="0.35">
      <c r="A134" s="150"/>
      <c r="B134" s="147">
        <f t="shared" si="23"/>
        <v>10</v>
      </c>
      <c r="C134" s="371" t="s">
        <v>357</v>
      </c>
      <c r="D134" s="690">
        <v>300000000</v>
      </c>
      <c r="E134" s="690">
        <v>300000000</v>
      </c>
      <c r="F134" s="690">
        <v>300000000</v>
      </c>
      <c r="G134" s="690">
        <v>300000000</v>
      </c>
      <c r="H134" s="690">
        <v>300000000</v>
      </c>
      <c r="I134" s="428"/>
      <c r="J134" s="421" t="s">
        <v>548</v>
      </c>
    </row>
    <row r="135" spans="1:10" s="418" customFormat="1" ht="30" customHeight="1" x14ac:dyDescent="0.35">
      <c r="A135" s="441"/>
      <c r="B135" s="365">
        <f t="shared" si="23"/>
        <v>11</v>
      </c>
      <c r="C135" s="443" t="s">
        <v>512</v>
      </c>
      <c r="D135" s="691">
        <f>10*700000*5</f>
        <v>35000000</v>
      </c>
      <c r="E135" s="691">
        <v>35000000</v>
      </c>
      <c r="F135" s="691">
        <v>35000000</v>
      </c>
      <c r="G135" s="691">
        <v>35000000</v>
      </c>
      <c r="H135" s="691">
        <v>35000000</v>
      </c>
      <c r="I135" s="460"/>
      <c r="J135" s="421" t="s">
        <v>548</v>
      </c>
    </row>
    <row r="136" spans="1:10" s="418" customFormat="1" ht="30" customHeight="1" x14ac:dyDescent="0.35">
      <c r="A136" s="1352"/>
      <c r="B136" s="1353">
        <v>12</v>
      </c>
      <c r="C136" s="1354" t="s">
        <v>354</v>
      </c>
      <c r="D136" s="693">
        <v>550000000</v>
      </c>
      <c r="E136" s="693"/>
      <c r="F136" s="693"/>
      <c r="G136" s="693"/>
      <c r="H136" s="693"/>
      <c r="I136" s="1355"/>
      <c r="J136" s="421"/>
    </row>
    <row r="137" spans="1:10" s="321" customFormat="1" ht="30" customHeight="1" x14ac:dyDescent="0.35">
      <c r="A137" s="360" t="s">
        <v>18</v>
      </c>
      <c r="B137" s="461" t="s">
        <v>589</v>
      </c>
      <c r="C137" s="360" t="s">
        <v>590</v>
      </c>
      <c r="D137" s="694">
        <f>SUM(D138:D143)</f>
        <v>188400000</v>
      </c>
      <c r="E137" s="694">
        <f t="shared" ref="E137:H137" si="24">SUM(E138:E143)</f>
        <v>106400000</v>
      </c>
      <c r="F137" s="694">
        <f t="shared" si="24"/>
        <v>188400000</v>
      </c>
      <c r="G137" s="694">
        <f t="shared" si="24"/>
        <v>106400000</v>
      </c>
      <c r="H137" s="694">
        <f t="shared" si="24"/>
        <v>188400000</v>
      </c>
      <c r="I137" s="145"/>
      <c r="J137" s="364"/>
    </row>
    <row r="138" spans="1:10" s="321" customFormat="1" ht="30" customHeight="1" x14ac:dyDescent="0.35">
      <c r="A138" s="331"/>
      <c r="B138" s="333">
        <v>1</v>
      </c>
      <c r="C138" s="456" t="s">
        <v>263</v>
      </c>
      <c r="D138" s="689">
        <v>25400000</v>
      </c>
      <c r="E138" s="689">
        <v>25400000</v>
      </c>
      <c r="F138" s="689">
        <v>25400000</v>
      </c>
      <c r="G138" s="689">
        <v>25400000</v>
      </c>
      <c r="H138" s="689">
        <v>25400000</v>
      </c>
      <c r="I138" s="334"/>
      <c r="J138" s="364"/>
    </row>
    <row r="139" spans="1:10" s="321" customFormat="1" ht="30" customHeight="1" x14ac:dyDescent="0.35">
      <c r="A139" s="150"/>
      <c r="B139" s="155">
        <v>2</v>
      </c>
      <c r="C139" s="371" t="s">
        <v>264</v>
      </c>
      <c r="D139" s="690">
        <v>82000000</v>
      </c>
      <c r="E139" s="690"/>
      <c r="F139" s="690">
        <v>82000000</v>
      </c>
      <c r="G139" s="690"/>
      <c r="H139" s="690">
        <v>82000000</v>
      </c>
      <c r="I139" s="153" t="s">
        <v>265</v>
      </c>
      <c r="J139" s="364"/>
    </row>
    <row r="140" spans="1:10" s="321" customFormat="1" ht="30" customHeight="1" x14ac:dyDescent="0.35">
      <c r="A140" s="150"/>
      <c r="B140" s="155">
        <v>3</v>
      </c>
      <c r="C140" s="371" t="s">
        <v>266</v>
      </c>
      <c r="D140" s="690">
        <v>20000000</v>
      </c>
      <c r="E140" s="690">
        <v>20000000</v>
      </c>
      <c r="F140" s="690">
        <v>20000000</v>
      </c>
      <c r="G140" s="690">
        <v>20000000</v>
      </c>
      <c r="H140" s="690">
        <v>20000000</v>
      </c>
      <c r="I140" s="153"/>
      <c r="J140" s="364"/>
    </row>
    <row r="141" spans="1:10" s="321" customFormat="1" ht="30" customHeight="1" x14ac:dyDescent="0.35">
      <c r="A141" s="150"/>
      <c r="B141" s="155">
        <v>4</v>
      </c>
      <c r="C141" s="371" t="s">
        <v>267</v>
      </c>
      <c r="D141" s="690">
        <v>36000000</v>
      </c>
      <c r="E141" s="690">
        <v>36000000</v>
      </c>
      <c r="F141" s="690">
        <v>36000000</v>
      </c>
      <c r="G141" s="690">
        <v>36000000</v>
      </c>
      <c r="H141" s="690">
        <v>36000000</v>
      </c>
      <c r="I141" s="153"/>
      <c r="J141" s="364"/>
    </row>
    <row r="142" spans="1:10" s="321" customFormat="1" ht="30" customHeight="1" x14ac:dyDescent="0.35">
      <c r="A142" s="150"/>
      <c r="B142" s="155">
        <v>5</v>
      </c>
      <c r="C142" s="371" t="s">
        <v>268</v>
      </c>
      <c r="D142" s="690">
        <v>20000000</v>
      </c>
      <c r="E142" s="690">
        <v>20000000</v>
      </c>
      <c r="F142" s="690">
        <v>20000000</v>
      </c>
      <c r="G142" s="690">
        <v>20000000</v>
      </c>
      <c r="H142" s="690">
        <v>20000000</v>
      </c>
      <c r="I142" s="153" t="s">
        <v>245</v>
      </c>
      <c r="J142" s="364"/>
    </row>
    <row r="143" spans="1:10" s="418" customFormat="1" ht="30" customHeight="1" x14ac:dyDescent="0.35">
      <c r="A143" s="454"/>
      <c r="B143" s="442">
        <v>6</v>
      </c>
      <c r="C143" s="443" t="s">
        <v>269</v>
      </c>
      <c r="D143" s="690">
        <v>5000000</v>
      </c>
      <c r="E143" s="690">
        <v>5000000</v>
      </c>
      <c r="F143" s="690">
        <v>5000000</v>
      </c>
      <c r="G143" s="690">
        <v>5000000</v>
      </c>
      <c r="H143" s="690">
        <v>5000000</v>
      </c>
      <c r="I143" s="444" t="s">
        <v>270</v>
      </c>
      <c r="J143" s="421"/>
    </row>
    <row r="144" spans="1:10" s="321" customFormat="1" ht="30" customHeight="1" x14ac:dyDescent="0.35">
      <c r="A144" s="451" t="s">
        <v>4</v>
      </c>
      <c r="B144" s="452" t="s">
        <v>595</v>
      </c>
      <c r="C144" s="453" t="s">
        <v>594</v>
      </c>
      <c r="D144" s="705">
        <f>SUM(D145)</f>
        <v>60640800.000000007</v>
      </c>
      <c r="E144" s="705">
        <f t="shared" ref="E144:H144" si="25">SUM(E145)</f>
        <v>60640800.000000007</v>
      </c>
      <c r="F144" s="705">
        <f t="shared" si="25"/>
        <v>60640800.000000007</v>
      </c>
      <c r="G144" s="705">
        <f t="shared" si="25"/>
        <v>60640800.000000007</v>
      </c>
      <c r="H144" s="705">
        <f t="shared" si="25"/>
        <v>60640800.000000007</v>
      </c>
      <c r="I144" s="450"/>
      <c r="J144" s="364"/>
    </row>
    <row r="145" spans="1:10" s="418" customFormat="1" ht="30" customHeight="1" x14ac:dyDescent="0.35">
      <c r="A145" s="445"/>
      <c r="B145" s="446">
        <v>1</v>
      </c>
      <c r="C145" s="447" t="s">
        <v>457</v>
      </c>
      <c r="D145" s="689">
        <f>4000*13782*1.1</f>
        <v>60640800.000000007</v>
      </c>
      <c r="E145" s="689">
        <v>60640800.000000007</v>
      </c>
      <c r="F145" s="689">
        <v>60640800.000000007</v>
      </c>
      <c r="G145" s="689">
        <v>60640800.000000007</v>
      </c>
      <c r="H145" s="689">
        <v>60640800.000000007</v>
      </c>
      <c r="I145" s="449" t="s">
        <v>894</v>
      </c>
      <c r="J145" s="421" t="s">
        <v>541</v>
      </c>
    </row>
    <row r="146" spans="1:10" s="321" customFormat="1" ht="30.75" customHeight="1" x14ac:dyDescent="0.35">
      <c r="B146" s="158"/>
      <c r="C146" s="159" t="s">
        <v>273</v>
      </c>
      <c r="D146" s="706"/>
      <c r="E146" s="706"/>
      <c r="F146" s="706"/>
      <c r="G146" s="706"/>
      <c r="H146" s="706"/>
      <c r="I146" s="160"/>
      <c r="J146" s="364"/>
    </row>
    <row r="147" spans="1:10" s="321" customFormat="1" ht="14" x14ac:dyDescent="0.35">
      <c r="B147" s="158"/>
      <c r="C147" s="159"/>
      <c r="D147" s="706"/>
      <c r="E147" s="706"/>
      <c r="F147" s="706"/>
      <c r="G147" s="706"/>
      <c r="H147" s="706"/>
      <c r="I147" s="161"/>
      <c r="J147" s="364"/>
    </row>
    <row r="148" spans="1:10" s="321" customFormat="1" ht="14" x14ac:dyDescent="0.35">
      <c r="B148" s="158"/>
      <c r="C148" s="159"/>
      <c r="D148" s="706"/>
      <c r="E148" s="706"/>
      <c r="F148" s="706"/>
      <c r="G148" s="706"/>
      <c r="H148" s="706"/>
      <c r="I148" s="161"/>
      <c r="J148" s="364"/>
    </row>
    <row r="149" spans="1:10" s="321" customFormat="1" ht="14" x14ac:dyDescent="0.35">
      <c r="B149" s="158"/>
      <c r="C149" s="159"/>
      <c r="D149" s="706"/>
      <c r="E149" s="706"/>
      <c r="F149" s="706"/>
      <c r="G149" s="706"/>
      <c r="H149" s="706"/>
      <c r="I149" s="161"/>
      <c r="J149" s="364"/>
    </row>
    <row r="150" spans="1:10" s="321" customFormat="1" ht="14" x14ac:dyDescent="0.35">
      <c r="B150" s="158"/>
      <c r="C150" s="159"/>
      <c r="D150" s="706"/>
      <c r="E150" s="706"/>
      <c r="F150" s="706"/>
      <c r="G150" s="706"/>
      <c r="H150" s="706"/>
      <c r="I150" s="161"/>
      <c r="J150" s="364"/>
    </row>
    <row r="151" spans="1:10" s="321" customFormat="1" ht="14" x14ac:dyDescent="0.35">
      <c r="B151" s="158"/>
      <c r="C151" s="159" t="s">
        <v>274</v>
      </c>
      <c r="D151" s="706"/>
      <c r="E151" s="706"/>
      <c r="F151" s="706"/>
      <c r="G151" s="706"/>
      <c r="H151" s="706"/>
      <c r="I151" s="161"/>
      <c r="J151" s="364"/>
    </row>
    <row r="152" spans="1:10" s="321" customFormat="1" ht="14" x14ac:dyDescent="0.35">
      <c r="B152" s="158"/>
      <c r="C152" s="159"/>
      <c r="D152" s="706"/>
      <c r="E152" s="706"/>
      <c r="F152" s="706"/>
      <c r="G152" s="706"/>
      <c r="H152" s="706"/>
      <c r="I152" s="161"/>
      <c r="J152" s="364"/>
    </row>
    <row r="153" spans="1:10" s="321" customFormat="1" ht="14" x14ac:dyDescent="0.35">
      <c r="B153" s="158"/>
      <c r="C153" s="159"/>
      <c r="D153" s="706"/>
      <c r="E153" s="706"/>
      <c r="F153" s="706"/>
      <c r="G153" s="706"/>
      <c r="H153" s="706"/>
      <c r="I153" s="160"/>
      <c r="J153" s="364"/>
    </row>
    <row r="154" spans="1:10" s="321" customFormat="1" ht="14" x14ac:dyDescent="0.35">
      <c r="B154" s="158"/>
      <c r="C154" s="159"/>
      <c r="D154" s="706"/>
      <c r="E154" s="706"/>
      <c r="F154" s="706"/>
      <c r="G154" s="706"/>
      <c r="H154" s="706"/>
      <c r="I154" s="161"/>
      <c r="J154" s="364"/>
    </row>
    <row r="155" spans="1:10" s="321" customFormat="1" ht="14" x14ac:dyDescent="0.35">
      <c r="B155" s="158"/>
      <c r="C155" s="159"/>
      <c r="D155" s="706"/>
      <c r="E155" s="706"/>
      <c r="F155" s="706"/>
      <c r="G155" s="706"/>
      <c r="H155" s="706"/>
      <c r="I155" s="161"/>
      <c r="J155" s="364"/>
    </row>
    <row r="156" spans="1:10" s="321" customFormat="1" ht="14" x14ac:dyDescent="0.35">
      <c r="B156" s="158"/>
      <c r="C156" s="159"/>
      <c r="D156" s="706"/>
      <c r="E156" s="706"/>
      <c r="F156" s="706"/>
      <c r="G156" s="706"/>
      <c r="H156" s="706"/>
      <c r="I156" s="161"/>
      <c r="J156" s="364"/>
    </row>
    <row r="157" spans="1:10" s="321" customFormat="1" ht="14" x14ac:dyDescent="0.35">
      <c r="B157" s="158"/>
      <c r="C157" s="159"/>
      <c r="D157" s="706"/>
      <c r="E157" s="706"/>
      <c r="F157" s="706"/>
      <c r="G157" s="706"/>
      <c r="H157" s="706"/>
      <c r="I157" s="161"/>
      <c r="J157" s="364"/>
    </row>
    <row r="158" spans="1:10" s="321" customFormat="1" ht="14" x14ac:dyDescent="0.35">
      <c r="B158" s="158"/>
      <c r="C158" s="159"/>
      <c r="D158" s="706"/>
      <c r="E158" s="706"/>
      <c r="F158" s="706"/>
      <c r="G158" s="706"/>
      <c r="H158" s="706"/>
      <c r="I158" s="160"/>
      <c r="J158" s="364"/>
    </row>
    <row r="159" spans="1:10" s="321" customFormat="1" ht="14" x14ac:dyDescent="0.35">
      <c r="B159" s="158"/>
      <c r="C159" s="159"/>
      <c r="D159" s="706"/>
      <c r="E159" s="706"/>
      <c r="F159" s="706"/>
      <c r="G159" s="706"/>
      <c r="H159" s="706"/>
      <c r="I159" s="161"/>
      <c r="J159" s="364"/>
    </row>
    <row r="160" spans="1:10" s="321" customFormat="1" ht="14" x14ac:dyDescent="0.35">
      <c r="B160" s="158"/>
      <c r="C160" s="159"/>
      <c r="D160" s="706"/>
      <c r="E160" s="706"/>
      <c r="F160" s="706"/>
      <c r="G160" s="706"/>
      <c r="H160" s="706"/>
      <c r="I160" s="161"/>
      <c r="J160" s="364"/>
    </row>
    <row r="161" spans="2:10" s="321" customFormat="1" ht="14" x14ac:dyDescent="0.35">
      <c r="B161" s="158"/>
      <c r="C161" s="159"/>
      <c r="D161" s="706"/>
      <c r="E161" s="706"/>
      <c r="F161" s="706"/>
      <c r="G161" s="706"/>
      <c r="H161" s="706"/>
      <c r="I161" s="161"/>
      <c r="J161" s="364"/>
    </row>
    <row r="162" spans="2:10" s="321" customFormat="1" ht="14" x14ac:dyDescent="0.35">
      <c r="B162" s="158"/>
      <c r="C162" s="159"/>
      <c r="D162" s="706"/>
      <c r="E162" s="706"/>
      <c r="F162" s="706"/>
      <c r="G162" s="706"/>
      <c r="H162" s="706"/>
      <c r="I162" s="161"/>
      <c r="J162" s="364"/>
    </row>
    <row r="163" spans="2:10" s="321" customFormat="1" ht="14" x14ac:dyDescent="0.35">
      <c r="B163" s="158"/>
      <c r="C163" s="159"/>
      <c r="D163" s="706"/>
      <c r="E163" s="706"/>
      <c r="F163" s="706"/>
      <c r="G163" s="706"/>
      <c r="H163" s="706"/>
      <c r="I163" s="160"/>
      <c r="J163" s="364"/>
    </row>
    <row r="164" spans="2:10" s="321" customFormat="1" ht="14" x14ac:dyDescent="0.35">
      <c r="B164" s="158"/>
      <c r="C164" s="159"/>
      <c r="D164" s="706"/>
      <c r="E164" s="706"/>
      <c r="F164" s="706"/>
      <c r="G164" s="706"/>
      <c r="H164" s="706"/>
      <c r="I164" s="161"/>
      <c r="J164" s="364"/>
    </row>
    <row r="165" spans="2:10" s="321" customFormat="1" ht="14" x14ac:dyDescent="0.35">
      <c r="B165" s="158"/>
      <c r="C165" s="159"/>
      <c r="D165" s="706"/>
      <c r="E165" s="706"/>
      <c r="F165" s="706"/>
      <c r="G165" s="706"/>
      <c r="H165" s="706"/>
      <c r="I165" s="161"/>
      <c r="J165" s="364"/>
    </row>
    <row r="166" spans="2:10" s="321" customFormat="1" ht="14" x14ac:dyDescent="0.35">
      <c r="B166" s="158"/>
      <c r="C166" s="159"/>
      <c r="D166" s="706"/>
      <c r="E166" s="706"/>
      <c r="F166" s="706"/>
      <c r="G166" s="706"/>
      <c r="H166" s="706"/>
      <c r="I166" s="161"/>
      <c r="J166" s="364"/>
    </row>
    <row r="167" spans="2:10" s="321" customFormat="1" ht="14" x14ac:dyDescent="0.35">
      <c r="B167" s="158"/>
      <c r="C167" s="159"/>
      <c r="D167" s="706"/>
      <c r="E167" s="706"/>
      <c r="F167" s="706"/>
      <c r="G167" s="706"/>
      <c r="H167" s="706"/>
      <c r="I167" s="161"/>
      <c r="J167" s="364"/>
    </row>
    <row r="168" spans="2:10" s="321" customFormat="1" ht="14" x14ac:dyDescent="0.35">
      <c r="B168" s="158"/>
      <c r="C168" s="159"/>
      <c r="D168" s="706"/>
      <c r="E168" s="706"/>
      <c r="F168" s="706"/>
      <c r="G168" s="706"/>
      <c r="H168" s="706"/>
      <c r="I168" s="160"/>
      <c r="J168" s="364"/>
    </row>
    <row r="169" spans="2:10" s="321" customFormat="1" ht="14" x14ac:dyDescent="0.35">
      <c r="B169" s="158"/>
      <c r="C169" s="159"/>
      <c r="D169" s="706"/>
      <c r="E169" s="706"/>
      <c r="F169" s="706"/>
      <c r="G169" s="706"/>
      <c r="H169" s="706"/>
      <c r="I169" s="161"/>
      <c r="J169" s="364"/>
    </row>
    <row r="170" spans="2:10" s="321" customFormat="1" ht="14" x14ac:dyDescent="0.35">
      <c r="B170" s="158"/>
      <c r="C170" s="159"/>
      <c r="D170" s="706"/>
      <c r="E170" s="706"/>
      <c r="F170" s="706"/>
      <c r="G170" s="706"/>
      <c r="H170" s="706"/>
      <c r="I170" s="161"/>
      <c r="J170" s="364"/>
    </row>
    <row r="171" spans="2:10" s="321" customFormat="1" ht="14" x14ac:dyDescent="0.35">
      <c r="B171" s="158"/>
      <c r="C171" s="159"/>
      <c r="D171" s="706"/>
      <c r="E171" s="706"/>
      <c r="F171" s="706"/>
      <c r="G171" s="706"/>
      <c r="H171" s="706"/>
      <c r="I171" s="161"/>
      <c r="J171" s="364"/>
    </row>
    <row r="172" spans="2:10" s="321" customFormat="1" ht="14" x14ac:dyDescent="0.35">
      <c r="B172" s="158"/>
      <c r="C172" s="159"/>
      <c r="D172" s="706"/>
      <c r="E172" s="706"/>
      <c r="F172" s="706"/>
      <c r="G172" s="706"/>
      <c r="H172" s="706"/>
      <c r="I172" s="161"/>
      <c r="J172" s="364"/>
    </row>
    <row r="173" spans="2:10" s="321" customFormat="1" ht="14" x14ac:dyDescent="0.35">
      <c r="B173" s="158"/>
      <c r="C173" s="159"/>
      <c r="D173" s="706"/>
      <c r="E173" s="706"/>
      <c r="F173" s="706"/>
      <c r="G173" s="706"/>
      <c r="H173" s="706"/>
      <c r="I173" s="160"/>
      <c r="J173" s="364"/>
    </row>
    <row r="174" spans="2:10" s="321" customFormat="1" ht="14" x14ac:dyDescent="0.35">
      <c r="B174" s="158"/>
      <c r="C174" s="159"/>
      <c r="D174" s="706"/>
      <c r="E174" s="706"/>
      <c r="F174" s="706"/>
      <c r="G174" s="706"/>
      <c r="H174" s="706"/>
      <c r="I174" s="161"/>
      <c r="J174" s="364"/>
    </row>
    <row r="175" spans="2:10" s="321" customFormat="1" ht="14" x14ac:dyDescent="0.35">
      <c r="B175" s="158"/>
      <c r="D175" s="707"/>
      <c r="E175" s="707"/>
      <c r="F175" s="707"/>
      <c r="G175" s="707"/>
      <c r="H175" s="707"/>
      <c r="I175" s="162"/>
      <c r="J175" s="364"/>
    </row>
    <row r="176" spans="2:10" s="321" customFormat="1" ht="14" x14ac:dyDescent="0.35">
      <c r="B176" s="158"/>
      <c r="D176" s="707"/>
      <c r="E176" s="707"/>
      <c r="F176" s="707"/>
      <c r="G176" s="707"/>
      <c r="H176" s="707"/>
      <c r="I176" s="161"/>
      <c r="J176" s="364"/>
    </row>
    <row r="177" spans="2:10" s="321" customFormat="1" ht="19.5" customHeight="1" x14ac:dyDescent="0.35">
      <c r="B177" s="158"/>
      <c r="D177" s="707"/>
      <c r="E177" s="707"/>
      <c r="F177" s="707"/>
      <c r="G177" s="707"/>
      <c r="H177" s="707"/>
      <c r="I177" s="162"/>
      <c r="J177" s="364"/>
    </row>
    <row r="178" spans="2:10" s="321" customFormat="1" ht="21.75" customHeight="1" x14ac:dyDescent="0.35">
      <c r="B178" s="158"/>
      <c r="D178" s="707"/>
      <c r="E178" s="707"/>
      <c r="F178" s="707"/>
      <c r="G178" s="707"/>
      <c r="H178" s="707"/>
      <c r="I178" s="163"/>
      <c r="J178" s="364"/>
    </row>
    <row r="179" spans="2:10" s="321" customFormat="1" ht="21" customHeight="1" x14ac:dyDescent="0.35">
      <c r="B179" s="158"/>
      <c r="D179" s="707"/>
      <c r="E179" s="707"/>
      <c r="F179" s="707"/>
      <c r="G179" s="707"/>
      <c r="H179" s="707"/>
      <c r="I179" s="162"/>
      <c r="J179" s="364"/>
    </row>
    <row r="180" spans="2:10" ht="21.75" customHeight="1" x14ac:dyDescent="0.35">
      <c r="I180" s="164"/>
    </row>
    <row r="181" spans="2:10" ht="15" customHeight="1" x14ac:dyDescent="0.35">
      <c r="I181" s="164"/>
    </row>
    <row r="182" spans="2:10" ht="15" customHeight="1" x14ac:dyDescent="0.35">
      <c r="I182" s="164"/>
    </row>
    <row r="183" spans="2:10" ht="15" customHeight="1" x14ac:dyDescent="0.35">
      <c r="I183" s="164"/>
    </row>
    <row r="184" spans="2:10" ht="15" customHeight="1" x14ac:dyDescent="0.35">
      <c r="I184" s="164"/>
    </row>
    <row r="185" spans="2:10" ht="15" customHeight="1" x14ac:dyDescent="0.35"/>
    <row r="186" spans="2:10" ht="15" customHeight="1" x14ac:dyDescent="0.35"/>
    <row r="187" spans="2:10" ht="15" customHeight="1" x14ac:dyDescent="0.35"/>
  </sheetData>
  <printOptions horizontalCentered="1"/>
  <pageMargins left="0.3" right="0.3" top="0.5" bottom="0.3" header="0.5" footer="0.3"/>
  <pageSetup paperSize="8" scale="93" firstPageNumber="11" fitToHeight="2" orientation="landscape" useFirstPageNumber="1" r:id="rId1"/>
  <headerFooter alignWithMargins="0">
    <oddFooter>&amp;RPage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X178"/>
  <sheetViews>
    <sheetView topLeftCell="A16" zoomScaleNormal="100" workbookViewId="0">
      <selection activeCell="A18" sqref="A18"/>
    </sheetView>
  </sheetViews>
  <sheetFormatPr defaultColWidth="9.1796875" defaultRowHeight="13" x14ac:dyDescent="0.35"/>
  <cols>
    <col min="1" max="1" width="5.54296875" style="359" customWidth="1"/>
    <col min="2" max="2" width="13.7265625" style="17" hidden="1" customWidth="1"/>
    <col min="3" max="3" width="49.7265625" style="639" customWidth="1"/>
    <col min="4" max="4" width="19" style="197" hidden="1" customWidth="1"/>
    <col min="5" max="5" width="14.81640625" style="639" hidden="1" customWidth="1"/>
    <col min="6" max="6" width="17" style="197" customWidth="1"/>
    <col min="7" max="7" width="17" style="105" customWidth="1"/>
    <col min="8" max="8" width="7.81640625" style="651" customWidth="1"/>
    <col min="9" max="17" width="17" style="105" customWidth="1"/>
    <col min="18" max="19" width="17" style="3" customWidth="1"/>
    <col min="20" max="20" width="17" style="21" customWidth="1"/>
    <col min="21" max="21" width="31.54296875" style="1321" customWidth="1"/>
    <col min="22" max="22" width="14.26953125" style="21" hidden="1" customWidth="1"/>
    <col min="23" max="23" width="15" style="21" bestFit="1" customWidth="1"/>
    <col min="24" max="24" width="11.26953125" style="21" bestFit="1" customWidth="1"/>
    <col min="25" max="16384" width="9.1796875" style="21"/>
  </cols>
  <sheetData>
    <row r="1" spans="1:22" ht="14.25" customHeight="1" x14ac:dyDescent="0.35">
      <c r="A1" s="631"/>
      <c r="B1" s="632"/>
      <c r="C1" s="633"/>
      <c r="D1" s="634"/>
      <c r="E1" s="633"/>
      <c r="F1" s="634"/>
      <c r="G1" s="647"/>
      <c r="H1" s="635"/>
      <c r="I1" s="647"/>
      <c r="J1" s="647"/>
      <c r="K1" s="647"/>
      <c r="L1" s="647"/>
      <c r="M1" s="647"/>
      <c r="N1" s="647"/>
      <c r="O1" s="647"/>
      <c r="P1" s="647"/>
      <c r="Q1" s="647"/>
      <c r="R1" s="636"/>
      <c r="S1" s="636"/>
    </row>
    <row r="2" spans="1:22" ht="25.5" customHeight="1" x14ac:dyDescent="0.35">
      <c r="A2" s="960" t="s">
        <v>1058</v>
      </c>
      <c r="B2" s="961"/>
      <c r="C2" s="633"/>
      <c r="D2" s="634"/>
      <c r="E2" s="633"/>
      <c r="F2" s="634"/>
      <c r="G2" s="647"/>
      <c r="H2" s="635"/>
      <c r="I2" s="647"/>
      <c r="J2" s="647"/>
      <c r="K2" s="647"/>
      <c r="L2" s="647"/>
      <c r="M2" s="647"/>
      <c r="N2" s="647"/>
      <c r="O2" s="647"/>
      <c r="P2" s="647"/>
      <c r="Q2" s="647"/>
      <c r="R2" s="636"/>
      <c r="S2" s="636"/>
      <c r="T2" s="709"/>
      <c r="U2" s="1322"/>
    </row>
    <row r="3" spans="1:22" ht="14.25" customHeight="1" x14ac:dyDescent="0.35">
      <c r="A3" s="631"/>
      <c r="B3" s="632"/>
      <c r="C3" s="633"/>
      <c r="D3" s="634"/>
      <c r="E3" s="633"/>
      <c r="F3" s="634"/>
      <c r="G3" s="647"/>
      <c r="H3" s="635"/>
      <c r="I3" s="647"/>
      <c r="J3" s="647"/>
      <c r="K3" s="647"/>
      <c r="L3" s="647"/>
      <c r="M3" s="647"/>
      <c r="N3" s="647"/>
      <c r="O3" s="647"/>
      <c r="P3" s="647"/>
      <c r="Q3" s="647"/>
      <c r="R3" s="636"/>
      <c r="S3" s="636"/>
    </row>
    <row r="4" spans="1:22" s="646" customFormat="1" ht="4.5" customHeight="1" x14ac:dyDescent="0.35">
      <c r="A4" s="710"/>
      <c r="B4" s="720"/>
      <c r="C4" s="641"/>
      <c r="D4" s="642"/>
      <c r="E4" s="641"/>
      <c r="F4" s="642"/>
      <c r="G4" s="643"/>
      <c r="H4" s="644"/>
      <c r="I4" s="652"/>
      <c r="J4" s="652"/>
      <c r="K4" s="652"/>
      <c r="L4" s="652"/>
      <c r="M4" s="652"/>
      <c r="N4" s="652"/>
      <c r="O4" s="652"/>
      <c r="P4" s="652"/>
      <c r="Q4" s="652"/>
      <c r="R4" s="645"/>
      <c r="S4" s="645"/>
      <c r="T4" s="712"/>
      <c r="U4" s="1321"/>
    </row>
    <row r="5" spans="1:22" s="646" customFormat="1" ht="20.149999999999999" customHeight="1" x14ac:dyDescent="0.35">
      <c r="A5" s="710"/>
      <c r="B5" s="711"/>
      <c r="C5" s="641"/>
      <c r="D5" s="642"/>
      <c r="E5" s="641"/>
      <c r="F5" s="642"/>
      <c r="G5" s="643"/>
      <c r="H5" s="644"/>
      <c r="I5" s="652"/>
      <c r="J5" s="652"/>
      <c r="K5" s="652"/>
      <c r="L5" s="652"/>
      <c r="M5" s="652"/>
      <c r="N5" s="652"/>
      <c r="O5" s="652"/>
      <c r="P5" s="652"/>
      <c r="Q5" s="652"/>
      <c r="R5" s="645"/>
      <c r="S5" s="645"/>
      <c r="T5" s="712"/>
      <c r="U5" s="1321"/>
    </row>
    <row r="6" spans="1:22" s="109" customFormat="1" ht="31.5" customHeight="1" x14ac:dyDescent="0.35">
      <c r="A6" s="1360" t="s">
        <v>214</v>
      </c>
      <c r="B6" s="979"/>
      <c r="C6" s="1360" t="s">
        <v>213</v>
      </c>
      <c r="D6" s="1362">
        <v>2017</v>
      </c>
      <c r="E6" s="1363"/>
      <c r="F6" s="1364"/>
      <c r="G6" s="1365" t="s">
        <v>900</v>
      </c>
      <c r="H6" s="1366"/>
      <c r="I6" s="965"/>
      <c r="J6" s="966"/>
      <c r="K6" s="966"/>
      <c r="L6" s="966"/>
      <c r="M6" s="966"/>
      <c r="N6" s="966"/>
      <c r="O6" s="967"/>
      <c r="P6" s="966"/>
      <c r="Q6" s="966"/>
      <c r="R6" s="966"/>
      <c r="S6" s="966"/>
      <c r="T6" s="968"/>
      <c r="U6" s="1323"/>
    </row>
    <row r="7" spans="1:22" s="109" customFormat="1" ht="48" customHeight="1" x14ac:dyDescent="0.35">
      <c r="A7" s="1361"/>
      <c r="B7" s="980"/>
      <c r="C7" s="1361"/>
      <c r="D7" s="340" t="s">
        <v>527</v>
      </c>
      <c r="E7" s="338" t="s">
        <v>856</v>
      </c>
      <c r="F7" s="339" t="s">
        <v>1057</v>
      </c>
      <c r="G7" s="208" t="s">
        <v>619</v>
      </c>
      <c r="H7" s="208" t="s">
        <v>359</v>
      </c>
      <c r="I7" s="981" t="s">
        <v>211</v>
      </c>
      <c r="J7" s="981" t="s">
        <v>210</v>
      </c>
      <c r="K7" s="981" t="s">
        <v>209</v>
      </c>
      <c r="L7" s="981" t="s">
        <v>208</v>
      </c>
      <c r="M7" s="981" t="s">
        <v>207</v>
      </c>
      <c r="N7" s="981" t="s">
        <v>206</v>
      </c>
      <c r="O7" s="981" t="s">
        <v>205</v>
      </c>
      <c r="P7" s="981" t="s">
        <v>204</v>
      </c>
      <c r="Q7" s="981" t="s">
        <v>203</v>
      </c>
      <c r="R7" s="981" t="s">
        <v>202</v>
      </c>
      <c r="S7" s="981" t="s">
        <v>201</v>
      </c>
      <c r="T7" s="981" t="s">
        <v>200</v>
      </c>
      <c r="U7" s="1324" t="s">
        <v>1076</v>
      </c>
      <c r="V7" s="5"/>
    </row>
    <row r="8" spans="1:22" s="39" customFormat="1" ht="25" customHeight="1" x14ac:dyDescent="0.35">
      <c r="A8" s="992" t="s">
        <v>199</v>
      </c>
      <c r="B8" s="993"/>
      <c r="C8" s="994" t="s">
        <v>1059</v>
      </c>
      <c r="D8" s="336"/>
      <c r="E8" s="46"/>
      <c r="F8" s="348"/>
      <c r="G8" s="349"/>
      <c r="H8" s="349"/>
      <c r="I8" s="108"/>
      <c r="J8" s="108"/>
      <c r="K8" s="108"/>
      <c r="L8" s="108"/>
      <c r="M8" s="108"/>
      <c r="N8" s="108"/>
      <c r="O8" s="108"/>
      <c r="P8" s="108"/>
      <c r="Q8" s="108"/>
      <c r="R8" s="101"/>
      <c r="S8" s="101"/>
      <c r="T8" s="101"/>
      <c r="U8" s="1325"/>
      <c r="V8" s="638"/>
    </row>
    <row r="9" spans="1:22" s="77" customFormat="1" ht="25" customHeight="1" x14ac:dyDescent="0.25">
      <c r="A9" s="352" t="s">
        <v>198</v>
      </c>
      <c r="B9" s="82">
        <v>5111</v>
      </c>
      <c r="C9" s="107" t="s">
        <v>197</v>
      </c>
      <c r="D9" s="341">
        <v>22256532300</v>
      </c>
      <c r="E9" s="188">
        <v>18307690000.303032</v>
      </c>
      <c r="F9" s="347">
        <v>25587397354</v>
      </c>
      <c r="G9" s="209">
        <f>SUM(I9:T9)</f>
        <v>24166150799.999985</v>
      </c>
      <c r="H9" s="210">
        <f t="shared" ref="H9:H24" si="0">IF(F9=0,0,(G9-F9)/F9)</f>
        <v>-5.5544787706899627E-2</v>
      </c>
      <c r="I9" s="83">
        <f>'Detail Revenue'!$G$10*1.1</f>
        <v>2013845899.9999981</v>
      </c>
      <c r="J9" s="83">
        <f>'Detail Revenue'!$G$10*1.1</f>
        <v>2013845899.9999981</v>
      </c>
      <c r="K9" s="83">
        <f>'Detail Revenue'!$G$10*1.1</f>
        <v>2013845899.9999981</v>
      </c>
      <c r="L9" s="83">
        <f>'Detail Revenue'!$G$10*1.1</f>
        <v>2013845899.9999981</v>
      </c>
      <c r="M9" s="83">
        <f>'Detail Revenue'!$G$10*1.1</f>
        <v>2013845899.9999981</v>
      </c>
      <c r="N9" s="83">
        <f>'Detail Revenue'!$G$10*1.1</f>
        <v>2013845899.9999981</v>
      </c>
      <c r="O9" s="83">
        <f>'Detail Revenue'!$G$10*1.1</f>
        <v>2013845899.9999981</v>
      </c>
      <c r="P9" s="83">
        <f>'Detail Revenue'!$G$10*1.1</f>
        <v>2013845899.9999981</v>
      </c>
      <c r="Q9" s="83">
        <f>'Detail Revenue'!$G$10*1.1</f>
        <v>2013845899.9999981</v>
      </c>
      <c r="R9" s="83">
        <f>'Detail Revenue'!$G$10*1.1</f>
        <v>2013845899.9999981</v>
      </c>
      <c r="S9" s="73">
        <f>'Detail Revenue'!$G$10*1.1</f>
        <v>2013845899.9999981</v>
      </c>
      <c r="T9" s="73">
        <f>'Detail Revenue'!$G$10*1.1</f>
        <v>2013845899.9999981</v>
      </c>
      <c r="U9" s="1326"/>
      <c r="V9" s="105"/>
    </row>
    <row r="10" spans="1:22" s="77" customFormat="1" ht="25" customHeight="1" x14ac:dyDescent="0.35">
      <c r="A10" s="352" t="s">
        <v>196</v>
      </c>
      <c r="B10" s="82">
        <v>5111</v>
      </c>
      <c r="C10" s="107" t="s">
        <v>195</v>
      </c>
      <c r="D10" s="341">
        <v>232314373</v>
      </c>
      <c r="E10" s="188">
        <v>177360000</v>
      </c>
      <c r="F10" s="347">
        <v>0</v>
      </c>
      <c r="G10" s="209">
        <f>SUM(I10:T10)</f>
        <v>435600000</v>
      </c>
      <c r="H10" s="210">
        <f t="shared" si="0"/>
        <v>0</v>
      </c>
      <c r="I10" s="83"/>
      <c r="J10" s="83">
        <f>16500000*12*1.1</f>
        <v>217800000.00000003</v>
      </c>
      <c r="K10" s="83">
        <f>16500000*1.1*3</f>
        <v>54450000</v>
      </c>
      <c r="L10" s="83"/>
      <c r="M10" s="83"/>
      <c r="N10" s="83">
        <f>16500000*1.1*3</f>
        <v>54450000</v>
      </c>
      <c r="O10" s="83"/>
      <c r="P10" s="83"/>
      <c r="Q10" s="83">
        <f>16500000*1.1*3</f>
        <v>54450000</v>
      </c>
      <c r="R10" s="83"/>
      <c r="S10" s="83"/>
      <c r="T10" s="83">
        <f>16500000*1.1*3</f>
        <v>54450000</v>
      </c>
      <c r="U10" s="1327"/>
      <c r="V10" s="105"/>
    </row>
    <row r="11" spans="1:22" s="77" customFormat="1" ht="25" customHeight="1" x14ac:dyDescent="0.35">
      <c r="A11" s="352" t="s">
        <v>194</v>
      </c>
      <c r="B11" s="82">
        <v>5111</v>
      </c>
      <c r="C11" s="107" t="s">
        <v>193</v>
      </c>
      <c r="D11" s="341">
        <v>758868365</v>
      </c>
      <c r="E11" s="188">
        <v>340380000</v>
      </c>
      <c r="F11" s="347">
        <v>0</v>
      </c>
      <c r="G11" s="209">
        <f>SUM(I11:T11)</f>
        <v>1391280000</v>
      </c>
      <c r="H11" s="210">
        <f t="shared" si="0"/>
        <v>0</v>
      </c>
      <c r="I11" s="83"/>
      <c r="J11" s="83">
        <f>52700000*12*1.1</f>
        <v>695640000</v>
      </c>
      <c r="K11" s="83">
        <f>52700000*1.1*3</f>
        <v>173910000.00000003</v>
      </c>
      <c r="L11" s="83"/>
      <c r="M11" s="83"/>
      <c r="N11" s="83">
        <f>52700000*1.1*3</f>
        <v>173910000.00000003</v>
      </c>
      <c r="O11" s="83"/>
      <c r="P11" s="83"/>
      <c r="Q11" s="83">
        <f>52700000*1.1*3</f>
        <v>173910000.00000003</v>
      </c>
      <c r="R11" s="83"/>
      <c r="S11" s="83"/>
      <c r="T11" s="83">
        <f>52700000*1.1*3</f>
        <v>173910000.00000003</v>
      </c>
      <c r="U11" s="1327"/>
      <c r="V11" s="105"/>
    </row>
    <row r="12" spans="1:22" s="77" customFormat="1" ht="25" customHeight="1" x14ac:dyDescent="0.35">
      <c r="A12" s="352" t="s">
        <v>192</v>
      </c>
      <c r="B12" s="82">
        <v>5113</v>
      </c>
      <c r="C12" s="107" t="s">
        <v>191</v>
      </c>
      <c r="D12" s="341">
        <v>198000000</v>
      </c>
      <c r="E12" s="188">
        <v>134545456</v>
      </c>
      <c r="F12" s="347">
        <v>192000000</v>
      </c>
      <c r="G12" s="209">
        <f t="shared" ref="G12:G23" si="1">SUM(I12:T12)</f>
        <v>198000000.00000003</v>
      </c>
      <c r="H12" s="210">
        <f t="shared" si="0"/>
        <v>3.1250000000000153E-2</v>
      </c>
      <c r="I12" s="83">
        <f>15000000*1.1</f>
        <v>16500000.000000002</v>
      </c>
      <c r="J12" s="83">
        <f t="shared" ref="J12:T12" si="2">15000000*1.1</f>
        <v>16500000.000000002</v>
      </c>
      <c r="K12" s="83">
        <f t="shared" si="2"/>
        <v>16500000.000000002</v>
      </c>
      <c r="L12" s="83">
        <f t="shared" si="2"/>
        <v>16500000.000000002</v>
      </c>
      <c r="M12" s="83">
        <f t="shared" si="2"/>
        <v>16500000.000000002</v>
      </c>
      <c r="N12" s="83">
        <f t="shared" si="2"/>
        <v>16500000.000000002</v>
      </c>
      <c r="O12" s="83">
        <f t="shared" si="2"/>
        <v>16500000.000000002</v>
      </c>
      <c r="P12" s="83">
        <f t="shared" si="2"/>
        <v>16500000.000000002</v>
      </c>
      <c r="Q12" s="83">
        <f t="shared" si="2"/>
        <v>16500000.000000002</v>
      </c>
      <c r="R12" s="83">
        <f t="shared" si="2"/>
        <v>16500000.000000002</v>
      </c>
      <c r="S12" s="83">
        <f t="shared" si="2"/>
        <v>16500000.000000002</v>
      </c>
      <c r="T12" s="83">
        <f t="shared" si="2"/>
        <v>16500000.000000002</v>
      </c>
      <c r="U12" s="1327" t="s">
        <v>524</v>
      </c>
      <c r="V12" s="105"/>
    </row>
    <row r="13" spans="1:22" s="77" customFormat="1" ht="25" customHeight="1" x14ac:dyDescent="0.35">
      <c r="A13" s="352" t="s">
        <v>190</v>
      </c>
      <c r="B13" s="82">
        <v>5117</v>
      </c>
      <c r="C13" s="107" t="s">
        <v>189</v>
      </c>
      <c r="D13" s="341">
        <v>36000000</v>
      </c>
      <c r="E13" s="187">
        <v>0</v>
      </c>
      <c r="F13" s="198">
        <v>0</v>
      </c>
      <c r="G13" s="209">
        <f>SUM(I13:T13)</f>
        <v>0</v>
      </c>
      <c r="H13" s="210">
        <f t="shared" si="0"/>
        <v>0</v>
      </c>
      <c r="I13" s="83"/>
      <c r="J13" s="83"/>
      <c r="K13" s="83"/>
      <c r="L13" s="83"/>
      <c r="M13" s="83"/>
      <c r="N13" s="106"/>
      <c r="O13" s="106"/>
      <c r="P13" s="83"/>
      <c r="Q13" s="106"/>
      <c r="R13" s="83"/>
      <c r="S13" s="83"/>
      <c r="T13" s="83"/>
      <c r="U13" s="1327"/>
      <c r="V13" s="105"/>
    </row>
    <row r="14" spans="1:22" s="77" customFormat="1" ht="25" customHeight="1" x14ac:dyDescent="0.35">
      <c r="A14" s="352" t="s">
        <v>188</v>
      </c>
      <c r="B14" s="82" t="s">
        <v>187</v>
      </c>
      <c r="C14" s="107" t="s">
        <v>186</v>
      </c>
      <c r="D14" s="341">
        <v>180000000</v>
      </c>
      <c r="E14" s="188">
        <v>122840877.72727272</v>
      </c>
      <c r="F14" s="347">
        <v>184930120</v>
      </c>
      <c r="G14" s="209">
        <f>SUM(I14:T14)</f>
        <v>176000000</v>
      </c>
      <c r="H14" s="210">
        <f t="shared" si="0"/>
        <v>-4.8289159169961064E-2</v>
      </c>
      <c r="I14" s="106">
        <f>'General-Budget 2018 - MF'!J14*1.1</f>
        <v>11000000</v>
      </c>
      <c r="J14" s="106">
        <f>'General-Budget 2018 - MF'!K14*1.1</f>
        <v>22000000</v>
      </c>
      <c r="K14" s="106">
        <f>'General-Budget 2018 - MF'!L14*1.1</f>
        <v>9900000</v>
      </c>
      <c r="L14" s="106">
        <f>'General-Budget 2018 - MF'!M14*1.1</f>
        <v>13200000.000000002</v>
      </c>
      <c r="M14" s="106">
        <f>'General-Budget 2018 - MF'!N14*1.1</f>
        <v>22000000</v>
      </c>
      <c r="N14" s="106">
        <f>'General-Budget 2018 - MF'!O14*1.1</f>
        <v>11000000</v>
      </c>
      <c r="O14" s="106">
        <f>'General-Budget 2018 - MF'!P14*1.1</f>
        <v>9900000</v>
      </c>
      <c r="P14" s="83">
        <f>'General-Budget 2018 - MF'!Q14*1.1</f>
        <v>11000000</v>
      </c>
      <c r="Q14" s="106">
        <f>'General-Budget 2018 - MF'!R14*1.1</f>
        <v>11000000</v>
      </c>
      <c r="R14" s="73">
        <f>'General-Budget 2018 - MF'!S14*1.1</f>
        <v>11000000</v>
      </c>
      <c r="S14" s="73">
        <f>'General-Budget 2018 - MF'!T14*1.1</f>
        <v>22000000</v>
      </c>
      <c r="T14" s="73">
        <f>'General-Budget 2018 - MF'!U14*1.1</f>
        <v>22000000</v>
      </c>
      <c r="U14" s="1327"/>
      <c r="V14" s="105"/>
    </row>
    <row r="15" spans="1:22" s="77" customFormat="1" ht="25" customHeight="1" x14ac:dyDescent="0.35">
      <c r="A15" s="352" t="s">
        <v>185</v>
      </c>
      <c r="B15" s="82">
        <v>5151</v>
      </c>
      <c r="C15" s="107" t="s">
        <v>184</v>
      </c>
      <c r="D15" s="341">
        <v>18000000</v>
      </c>
      <c r="E15" s="188">
        <v>9287913</v>
      </c>
      <c r="F15" s="347">
        <v>9773207</v>
      </c>
      <c r="G15" s="209">
        <f>SUM(I15:T15)</f>
        <v>11000000</v>
      </c>
      <c r="H15" s="210">
        <f t="shared" si="0"/>
        <v>0.125526145102626</v>
      </c>
      <c r="I15" s="106">
        <f>'General-Budget 2018 - MF'!J15</f>
        <v>916666.66666666663</v>
      </c>
      <c r="J15" s="106">
        <f>$I$15</f>
        <v>916666.66666666663</v>
      </c>
      <c r="K15" s="106">
        <f t="shared" ref="K15:T15" si="3">$I$15</f>
        <v>916666.66666666663</v>
      </c>
      <c r="L15" s="106">
        <f t="shared" si="3"/>
        <v>916666.66666666663</v>
      </c>
      <c r="M15" s="106">
        <f t="shared" si="3"/>
        <v>916666.66666666663</v>
      </c>
      <c r="N15" s="106">
        <f t="shared" si="3"/>
        <v>916666.66666666663</v>
      </c>
      <c r="O15" s="106">
        <f t="shared" si="3"/>
        <v>916666.66666666663</v>
      </c>
      <c r="P15" s="83">
        <f t="shared" si="3"/>
        <v>916666.66666666663</v>
      </c>
      <c r="Q15" s="106">
        <f t="shared" si="3"/>
        <v>916666.66666666663</v>
      </c>
      <c r="R15" s="73">
        <f t="shared" si="3"/>
        <v>916666.66666666663</v>
      </c>
      <c r="S15" s="73">
        <f t="shared" si="3"/>
        <v>916666.66666666663</v>
      </c>
      <c r="T15" s="73">
        <f t="shared" si="3"/>
        <v>916666.66666666663</v>
      </c>
      <c r="U15" s="1327"/>
      <c r="V15" s="105"/>
    </row>
    <row r="16" spans="1:22" s="77" customFormat="1" ht="25" customHeight="1" x14ac:dyDescent="0.35">
      <c r="A16" s="352" t="s">
        <v>183</v>
      </c>
      <c r="B16" s="82">
        <v>5115</v>
      </c>
      <c r="C16" s="107" t="s">
        <v>182</v>
      </c>
      <c r="D16" s="341">
        <v>130909092</v>
      </c>
      <c r="E16" s="188">
        <v>95363603.090909079</v>
      </c>
      <c r="F16" s="347">
        <v>127799999.99999999</v>
      </c>
      <c r="G16" s="209">
        <f t="shared" si="1"/>
        <v>113333288.96969694</v>
      </c>
      <c r="H16" s="210">
        <f t="shared" si="0"/>
        <v>-0.11319805188030554</v>
      </c>
      <c r="I16" s="106">
        <f>'General-Budget 2018 - MF'!J16</f>
        <v>9444440.7474747449</v>
      </c>
      <c r="J16" s="106">
        <f>'General-Budget 2018 - MF'!K16</f>
        <v>9444440.7474747449</v>
      </c>
      <c r="K16" s="106">
        <f>'General-Budget 2018 - MF'!L16</f>
        <v>9444440.7474747449</v>
      </c>
      <c r="L16" s="106">
        <f>'General-Budget 2018 - MF'!M16</f>
        <v>9444440.7474747449</v>
      </c>
      <c r="M16" s="106">
        <f>'General-Budget 2018 - MF'!N16</f>
        <v>9444440.7474747449</v>
      </c>
      <c r="N16" s="106">
        <f>'General-Budget 2018 - MF'!O16</f>
        <v>9444440.7474747449</v>
      </c>
      <c r="O16" s="106">
        <f>'General-Budget 2018 - MF'!P16</f>
        <v>9444440.7474747449</v>
      </c>
      <c r="P16" s="83">
        <f>'General-Budget 2018 - MF'!Q16</f>
        <v>9444440.7474747449</v>
      </c>
      <c r="Q16" s="106">
        <f>'General-Budget 2018 - MF'!R16</f>
        <v>9444440.7474747449</v>
      </c>
      <c r="R16" s="73">
        <f>'General-Budget 2018 - MF'!S16</f>
        <v>9444440.7474747449</v>
      </c>
      <c r="S16" s="73">
        <f>'General-Budget 2018 - MF'!T16</f>
        <v>9444440.7474747449</v>
      </c>
      <c r="T16" s="73">
        <f>'General-Budget 2018 - MF'!U16</f>
        <v>9444440.7474747449</v>
      </c>
      <c r="U16" s="1327" t="s">
        <v>525</v>
      </c>
      <c r="V16" s="105"/>
    </row>
    <row r="17" spans="1:22" s="77" customFormat="1" ht="25" customHeight="1" x14ac:dyDescent="0.35">
      <c r="A17" s="352" t="s">
        <v>181</v>
      </c>
      <c r="B17" s="82">
        <v>5116</v>
      </c>
      <c r="C17" s="107" t="s">
        <v>180</v>
      </c>
      <c r="D17" s="341">
        <v>182160000</v>
      </c>
      <c r="E17" s="188">
        <v>8980707</v>
      </c>
      <c r="F17" s="347">
        <v>9878778</v>
      </c>
      <c r="G17" s="209">
        <f>SUM(I17:T17)</f>
        <v>350319146</v>
      </c>
      <c r="H17" s="210">
        <f t="shared" si="0"/>
        <v>34.461789504734291</v>
      </c>
      <c r="I17" s="106"/>
      <c r="J17" s="106"/>
      <c r="K17" s="106">
        <f>(152112252+72290947*2)</f>
        <v>296694146</v>
      </c>
      <c r="L17" s="106">
        <f>'General-Budget 2018 - MF'!M17*3*1.1</f>
        <v>17875000</v>
      </c>
      <c r="M17" s="106"/>
      <c r="N17" s="106"/>
      <c r="O17" s="106">
        <f>'General-Budget 2018 - MF'!P17*3*1.1</f>
        <v>17875000</v>
      </c>
      <c r="P17" s="83"/>
      <c r="Q17" s="106"/>
      <c r="R17" s="73">
        <f>'General-Budget 2018 - MF'!S17*3*1.1</f>
        <v>17875000</v>
      </c>
      <c r="S17" s="73"/>
      <c r="T17" s="73"/>
      <c r="U17" s="1327"/>
      <c r="V17" s="105"/>
    </row>
    <row r="18" spans="1:22" s="77" customFormat="1" ht="25" customHeight="1" x14ac:dyDescent="0.35">
      <c r="A18" s="352" t="s">
        <v>179</v>
      </c>
      <c r="B18" s="82">
        <v>5118</v>
      </c>
      <c r="C18" s="107" t="s">
        <v>178</v>
      </c>
      <c r="D18" s="341">
        <v>1245000000</v>
      </c>
      <c r="E18" s="188">
        <v>0</v>
      </c>
      <c r="F18" s="347">
        <v>0</v>
      </c>
      <c r="G18" s="209">
        <f>SUM(I18:T18)</f>
        <v>0</v>
      </c>
      <c r="H18" s="210">
        <f t="shared" si="0"/>
        <v>0</v>
      </c>
      <c r="I18" s="106"/>
      <c r="J18" s="106">
        <f>I18</f>
        <v>0</v>
      </c>
      <c r="K18" s="106">
        <f t="shared" ref="K18:S18" si="4">J18</f>
        <v>0</v>
      </c>
      <c r="L18" s="106">
        <f t="shared" si="4"/>
        <v>0</v>
      </c>
      <c r="M18" s="106">
        <f t="shared" si="4"/>
        <v>0</v>
      </c>
      <c r="N18" s="106">
        <f t="shared" si="4"/>
        <v>0</v>
      </c>
      <c r="O18" s="106">
        <f t="shared" si="4"/>
        <v>0</v>
      </c>
      <c r="P18" s="83">
        <f t="shared" si="4"/>
        <v>0</v>
      </c>
      <c r="Q18" s="106">
        <f t="shared" si="4"/>
        <v>0</v>
      </c>
      <c r="R18" s="73">
        <f t="shared" si="4"/>
        <v>0</v>
      </c>
      <c r="S18" s="73">
        <f t="shared" si="4"/>
        <v>0</v>
      </c>
      <c r="T18" s="73">
        <f>S18</f>
        <v>0</v>
      </c>
      <c r="U18" s="1327"/>
      <c r="V18" s="105"/>
    </row>
    <row r="19" spans="1:22" s="77" customFormat="1" ht="25" customHeight="1" x14ac:dyDescent="0.35">
      <c r="A19" s="352" t="s">
        <v>177</v>
      </c>
      <c r="B19" s="82" t="s">
        <v>215</v>
      </c>
      <c r="C19" s="107" t="s">
        <v>176</v>
      </c>
      <c r="D19" s="341">
        <v>42000000</v>
      </c>
      <c r="E19" s="188">
        <v>68951152.272727281</v>
      </c>
      <c r="F19" s="347">
        <v>63471337.18181818</v>
      </c>
      <c r="G19" s="209">
        <f t="shared" si="1"/>
        <v>72000000</v>
      </c>
      <c r="H19" s="210">
        <f t="shared" si="0"/>
        <v>0.13437030314566803</v>
      </c>
      <c r="I19" s="106">
        <f>'General-Budget 2018 - MF'!J19</f>
        <v>6000000</v>
      </c>
      <c r="J19" s="106">
        <f>'General-Budget 2018 - MF'!K19</f>
        <v>6000000</v>
      </c>
      <c r="K19" s="106">
        <f>'General-Budget 2018 - MF'!L19</f>
        <v>6000000</v>
      </c>
      <c r="L19" s="106">
        <f>'General-Budget 2018 - MF'!M19</f>
        <v>6000000</v>
      </c>
      <c r="M19" s="106">
        <f>'General-Budget 2018 - MF'!N19</f>
        <v>6000000</v>
      </c>
      <c r="N19" s="106">
        <f>'General-Budget 2018 - MF'!O19</f>
        <v>6000000</v>
      </c>
      <c r="O19" s="106">
        <f>'General-Budget 2018 - MF'!P19</f>
        <v>6000000</v>
      </c>
      <c r="P19" s="83">
        <f>'General-Budget 2018 - MF'!Q19</f>
        <v>6000000</v>
      </c>
      <c r="Q19" s="106">
        <f>'General-Budget 2018 - MF'!R19</f>
        <v>6000000</v>
      </c>
      <c r="R19" s="73">
        <f>'General-Budget 2018 - MF'!S19</f>
        <v>6000000</v>
      </c>
      <c r="S19" s="73">
        <f>'General-Budget 2018 - MF'!T19</f>
        <v>6000000</v>
      </c>
      <c r="T19" s="73">
        <f>'General-Budget 2018 - MF'!U19</f>
        <v>6000000</v>
      </c>
      <c r="U19" s="1327"/>
      <c r="V19" s="105"/>
    </row>
    <row r="20" spans="1:22" s="77" customFormat="1" ht="25" customHeight="1" x14ac:dyDescent="0.35">
      <c r="A20" s="352" t="s">
        <v>175</v>
      </c>
      <c r="B20" s="82">
        <v>5118</v>
      </c>
      <c r="C20" s="107" t="s">
        <v>174</v>
      </c>
      <c r="D20" s="341">
        <v>75600000</v>
      </c>
      <c r="E20" s="188">
        <v>0</v>
      </c>
      <c r="F20" s="347">
        <v>0</v>
      </c>
      <c r="G20" s="209">
        <f t="shared" si="1"/>
        <v>58093911</v>
      </c>
      <c r="H20" s="210">
        <f t="shared" si="0"/>
        <v>0</v>
      </c>
      <c r="I20" s="106"/>
      <c r="J20" s="106">
        <v>8593911</v>
      </c>
      <c r="K20" s="106"/>
      <c r="L20" s="106">
        <f>5000000*1.1*3</f>
        <v>16500000</v>
      </c>
      <c r="M20" s="106"/>
      <c r="N20" s="106"/>
      <c r="O20" s="106">
        <f>5000000*1.1*3</f>
        <v>16500000</v>
      </c>
      <c r="P20" s="106"/>
      <c r="Q20" s="106"/>
      <c r="R20" s="106">
        <f>5000000*1.1*3</f>
        <v>16500000</v>
      </c>
      <c r="S20" s="73"/>
      <c r="T20" s="73"/>
      <c r="U20" s="1327"/>
      <c r="V20" s="105"/>
    </row>
    <row r="21" spans="1:22" s="77" customFormat="1" ht="25" customHeight="1" x14ac:dyDescent="0.35">
      <c r="A21" s="352" t="s">
        <v>173</v>
      </c>
      <c r="B21" s="82">
        <v>5118</v>
      </c>
      <c r="C21" s="107" t="s">
        <v>172</v>
      </c>
      <c r="D21" s="341">
        <v>24000000</v>
      </c>
      <c r="E21" s="188">
        <v>0</v>
      </c>
      <c r="F21" s="347">
        <v>0</v>
      </c>
      <c r="G21" s="209">
        <f>SUM(I21:T21)</f>
        <v>26400000</v>
      </c>
      <c r="H21" s="210">
        <f t="shared" si="0"/>
        <v>0</v>
      </c>
      <c r="I21" s="106"/>
      <c r="J21" s="106">
        <f>2000000*1.1*3</f>
        <v>6600000</v>
      </c>
      <c r="K21" s="106">
        <v>0</v>
      </c>
      <c r="L21" s="106">
        <f>2000000*1.1*3</f>
        <v>6600000</v>
      </c>
      <c r="M21" s="106">
        <v>0</v>
      </c>
      <c r="N21" s="106">
        <v>0</v>
      </c>
      <c r="O21" s="106">
        <f>2000000*1.1*3</f>
        <v>6600000</v>
      </c>
      <c r="P21" s="83">
        <v>0</v>
      </c>
      <c r="Q21" s="106">
        <v>0</v>
      </c>
      <c r="R21" s="73">
        <f>2000000*1.1*3</f>
        <v>6600000</v>
      </c>
      <c r="S21" s="73">
        <v>0</v>
      </c>
      <c r="T21" s="73">
        <v>0</v>
      </c>
      <c r="U21" s="1327"/>
      <c r="V21" s="105"/>
    </row>
    <row r="22" spans="1:22" s="77" customFormat="1" ht="25" customHeight="1" x14ac:dyDescent="0.35">
      <c r="A22" s="352" t="s">
        <v>171</v>
      </c>
      <c r="B22" s="82">
        <v>5118</v>
      </c>
      <c r="C22" s="107" t="s">
        <v>170</v>
      </c>
      <c r="D22" s="341">
        <v>105000000</v>
      </c>
      <c r="E22" s="188">
        <v>12573470</v>
      </c>
      <c r="F22" s="347">
        <v>24895053</v>
      </c>
      <c r="G22" s="209">
        <f>SUM(I22:T22)</f>
        <v>46647498.700000003</v>
      </c>
      <c r="H22" s="210">
        <f t="shared" si="0"/>
        <v>0.87376579194268045</v>
      </c>
      <c r="I22" s="106"/>
      <c r="J22" s="106">
        <v>21105498.700000003</v>
      </c>
      <c r="K22" s="106"/>
      <c r="L22" s="106">
        <f>2580000*3*1.1</f>
        <v>8514000</v>
      </c>
      <c r="M22" s="106"/>
      <c r="N22" s="106"/>
      <c r="O22" s="106">
        <f>2580000*3*1.1</f>
        <v>8514000</v>
      </c>
      <c r="P22" s="83"/>
      <c r="Q22" s="106"/>
      <c r="R22" s="106">
        <f>2580000*3*1.1</f>
        <v>8514000</v>
      </c>
      <c r="S22" s="73"/>
      <c r="T22" s="73"/>
      <c r="U22" s="1327"/>
      <c r="V22" s="105"/>
    </row>
    <row r="23" spans="1:22" s="77" customFormat="1" ht="25" customHeight="1" x14ac:dyDescent="0.35">
      <c r="A23" s="352" t="s">
        <v>169</v>
      </c>
      <c r="B23" s="82">
        <v>5118</v>
      </c>
      <c r="C23" s="107" t="s">
        <v>168</v>
      </c>
      <c r="D23" s="341">
        <v>309166667</v>
      </c>
      <c r="E23" s="188">
        <v>10576539.363636363</v>
      </c>
      <c r="F23" s="347">
        <v>10134194</v>
      </c>
      <c r="G23" s="209">
        <f t="shared" si="1"/>
        <v>0</v>
      </c>
      <c r="H23" s="210">
        <f t="shared" si="0"/>
        <v>-1</v>
      </c>
      <c r="I23" s="106"/>
      <c r="J23" s="106"/>
      <c r="K23" s="106">
        <v>0</v>
      </c>
      <c r="L23" s="106"/>
      <c r="M23" s="106"/>
      <c r="N23" s="106">
        <v>0</v>
      </c>
      <c r="O23" s="106"/>
      <c r="P23" s="106"/>
      <c r="Q23" s="106">
        <v>0</v>
      </c>
      <c r="R23" s="106"/>
      <c r="S23" s="106"/>
      <c r="T23" s="73">
        <v>0</v>
      </c>
      <c r="U23" s="1327"/>
      <c r="V23" s="105"/>
    </row>
    <row r="24" spans="1:22" s="77" customFormat="1" ht="25" customHeight="1" x14ac:dyDescent="0.35">
      <c r="A24" s="352" t="s">
        <v>167</v>
      </c>
      <c r="B24" s="82">
        <v>5112</v>
      </c>
      <c r="C24" s="107" t="s">
        <v>166</v>
      </c>
      <c r="D24" s="341">
        <v>2711515410</v>
      </c>
      <c r="E24" s="188">
        <v>2363572196</v>
      </c>
      <c r="F24" s="347">
        <v>2988008937.0000014</v>
      </c>
      <c r="G24" s="209">
        <f>SUM(I24:T24)</f>
        <v>3122044575.466661</v>
      </c>
      <c r="H24" s="210">
        <f t="shared" si="0"/>
        <v>4.4857843899634722E-2</v>
      </c>
      <c r="I24" s="106">
        <f>'General-Budget 2018 - MF'!J24*1.1</f>
        <v>260170381.28888842</v>
      </c>
      <c r="J24" s="106">
        <f>'General-Budget 2018 - MF'!K24*1.1</f>
        <v>260170381.28888842</v>
      </c>
      <c r="K24" s="106">
        <f>'General-Budget 2018 - MF'!L24*1.1</f>
        <v>260170381.28888842</v>
      </c>
      <c r="L24" s="106">
        <f>'General-Budget 2018 - MF'!M24*1.1</f>
        <v>260170381.28888842</v>
      </c>
      <c r="M24" s="106">
        <f>'General-Budget 2018 - MF'!N24*1.1</f>
        <v>260170381.28888842</v>
      </c>
      <c r="N24" s="106">
        <f>'General-Budget 2018 - MF'!O24*1.1</f>
        <v>260170381.28888842</v>
      </c>
      <c r="O24" s="106">
        <f>'General-Budget 2018 - MF'!P24*1.1</f>
        <v>260170381.28888842</v>
      </c>
      <c r="P24" s="83">
        <f>'General-Budget 2018 - MF'!Q24*1.1</f>
        <v>260170381.28888842</v>
      </c>
      <c r="Q24" s="106">
        <f>'General-Budget 2018 - MF'!R24*1.1</f>
        <v>260170381.28888842</v>
      </c>
      <c r="R24" s="73">
        <f>'General-Budget 2018 - MF'!S24*1.1</f>
        <v>260170381.28888842</v>
      </c>
      <c r="S24" s="73">
        <f>'General-Budget 2018 - MF'!T24*1.1</f>
        <v>260170381.28888842</v>
      </c>
      <c r="T24" s="73">
        <f>'General-Budget 2018 - MF'!U24*1.1</f>
        <v>260170381.28888842</v>
      </c>
      <c r="U24" s="1327" t="s">
        <v>526</v>
      </c>
      <c r="V24" s="105"/>
    </row>
    <row r="25" spans="1:22" s="99" customFormat="1" ht="5.15" customHeight="1" x14ac:dyDescent="0.35">
      <c r="A25" s="353"/>
      <c r="B25" s="104"/>
      <c r="C25" s="103"/>
      <c r="D25" s="988"/>
      <c r="E25" s="989"/>
      <c r="F25" s="990"/>
      <c r="G25" s="102"/>
      <c r="H25" s="991"/>
      <c r="I25" s="102"/>
      <c r="J25" s="102"/>
      <c r="K25" s="102"/>
      <c r="L25" s="102"/>
      <c r="M25" s="102"/>
      <c r="N25" s="102"/>
      <c r="O25" s="102"/>
      <c r="P25" s="102"/>
      <c r="Q25" s="102"/>
      <c r="R25" s="101"/>
      <c r="S25" s="101"/>
      <c r="T25" s="101"/>
      <c r="U25" s="1325"/>
      <c r="V25" s="100"/>
    </row>
    <row r="26" spans="1:22" ht="25" customHeight="1" x14ac:dyDescent="0.35">
      <c r="A26" s="982"/>
      <c r="B26" s="983"/>
      <c r="C26" s="984" t="s">
        <v>1060</v>
      </c>
      <c r="D26" s="940">
        <v>28505066207</v>
      </c>
      <c r="E26" s="52">
        <v>21652121914.757576</v>
      </c>
      <c r="F26" s="985">
        <v>29198288980.18182</v>
      </c>
      <c r="G26" s="52">
        <f>SUM(G9:G24)</f>
        <v>30166869220.136341</v>
      </c>
      <c r="H26" s="986">
        <f>IF(F26=0,0,(G26-F26)/F26)</f>
        <v>3.317249995751257E-2</v>
      </c>
      <c r="I26" s="52">
        <f>SUM(I9:I24)</f>
        <v>2317877388.7030277</v>
      </c>
      <c r="J26" s="52">
        <f t="shared" ref="J26:T26" si="5">SUM(J9:J24)</f>
        <v>3278616798.4030275</v>
      </c>
      <c r="K26" s="52">
        <f t="shared" si="5"/>
        <v>2841831534.7030277</v>
      </c>
      <c r="L26" s="52">
        <f t="shared" si="5"/>
        <v>2369566388.7030277</v>
      </c>
      <c r="M26" s="52">
        <f t="shared" si="5"/>
        <v>2328877388.7030277</v>
      </c>
      <c r="N26" s="52">
        <f t="shared" si="5"/>
        <v>2546237388.7030277</v>
      </c>
      <c r="O26" s="52">
        <f t="shared" si="5"/>
        <v>2366266388.7030277</v>
      </c>
      <c r="P26" s="987">
        <f t="shared" si="5"/>
        <v>2317877388.7030277</v>
      </c>
      <c r="Q26" s="52">
        <f t="shared" si="5"/>
        <v>2546237388.7030277</v>
      </c>
      <c r="R26" s="52">
        <f t="shared" si="5"/>
        <v>2367366388.7030277</v>
      </c>
      <c r="S26" s="52">
        <f t="shared" si="5"/>
        <v>2328877388.7030277</v>
      </c>
      <c r="T26" s="52">
        <f t="shared" si="5"/>
        <v>2557237388.7030277</v>
      </c>
      <c r="U26" s="1328"/>
      <c r="V26" s="98"/>
    </row>
    <row r="27" spans="1:22" s="39" customFormat="1" ht="5.15" customHeight="1" x14ac:dyDescent="0.35">
      <c r="A27" s="355"/>
      <c r="B27" s="97"/>
      <c r="C27" s="96"/>
      <c r="D27" s="190"/>
      <c r="E27" s="96"/>
      <c r="F27" s="190"/>
      <c r="G27" s="95"/>
      <c r="H27" s="204"/>
      <c r="I27" s="95"/>
      <c r="J27" s="95"/>
      <c r="K27" s="95"/>
      <c r="L27" s="95"/>
      <c r="M27" s="95"/>
      <c r="N27" s="95"/>
      <c r="O27" s="95"/>
      <c r="P27" s="95"/>
      <c r="Q27" s="95"/>
      <c r="R27" s="648"/>
      <c r="S27" s="648"/>
      <c r="T27" s="648"/>
      <c r="U27" s="1329"/>
      <c r="V27" s="638"/>
    </row>
    <row r="28" spans="1:22" s="39" customFormat="1" ht="25" customHeight="1" x14ac:dyDescent="0.35">
      <c r="A28" s="995" t="s">
        <v>164</v>
      </c>
      <c r="B28" s="996"/>
      <c r="C28" s="997" t="s">
        <v>1061</v>
      </c>
      <c r="D28" s="191"/>
      <c r="E28" s="92"/>
      <c r="F28" s="191"/>
      <c r="G28" s="91"/>
      <c r="H28" s="205"/>
      <c r="I28" s="90"/>
      <c r="J28" s="90"/>
      <c r="K28" s="90"/>
      <c r="L28" s="90"/>
      <c r="M28" s="90"/>
      <c r="N28" s="90"/>
      <c r="O28" s="90"/>
      <c r="P28" s="90"/>
      <c r="Q28" s="90"/>
      <c r="R28" s="649"/>
      <c r="S28" s="649"/>
      <c r="T28" s="649"/>
      <c r="U28" s="1330"/>
      <c r="V28" s="638"/>
    </row>
    <row r="29" spans="1:22" s="58" customFormat="1" ht="25" customHeight="1" x14ac:dyDescent="0.35">
      <c r="A29" s="982" t="s">
        <v>163</v>
      </c>
      <c r="B29" s="998"/>
      <c r="C29" s="984" t="s">
        <v>1005</v>
      </c>
      <c r="D29" s="343"/>
      <c r="E29" s="186"/>
      <c r="F29" s="199"/>
      <c r="G29" s="213"/>
      <c r="H29" s="214"/>
      <c r="I29" s="32"/>
      <c r="J29" s="32"/>
      <c r="K29" s="32"/>
      <c r="L29" s="32"/>
      <c r="M29" s="32"/>
      <c r="N29" s="32"/>
      <c r="O29" s="32"/>
      <c r="P29" s="32"/>
      <c r="Q29" s="32"/>
      <c r="R29" s="31"/>
      <c r="S29" s="31"/>
      <c r="T29" s="31"/>
      <c r="U29" s="1331"/>
      <c r="V29" s="87"/>
    </row>
    <row r="30" spans="1:22" s="84" customFormat="1" ht="25" customHeight="1" x14ac:dyDescent="0.25">
      <c r="A30" s="352" t="s">
        <v>162</v>
      </c>
      <c r="B30" s="86" t="s">
        <v>161</v>
      </c>
      <c r="C30" s="85" t="s">
        <v>160</v>
      </c>
      <c r="D30" s="344">
        <f>SUM(D31:D35)</f>
        <v>8496395742</v>
      </c>
      <c r="E30" s="188">
        <v>6719951523.7679996</v>
      </c>
      <c r="F30" s="1273">
        <v>8389738609.5</v>
      </c>
      <c r="G30" s="215">
        <f>SUM(G31:G35)</f>
        <v>8303000000</v>
      </c>
      <c r="H30" s="216">
        <f t="shared" ref="H30:H53" si="6">IF(F30=0,0,(G30-F30)/F30)</f>
        <v>-1.0338654579986888E-2</v>
      </c>
      <c r="I30" s="79">
        <f>SUM(I31:I35)</f>
        <v>693000000</v>
      </c>
      <c r="J30" s="79">
        <f>SUM(J31:J35)</f>
        <v>708000000</v>
      </c>
      <c r="K30" s="79">
        <f t="shared" ref="K30:O30" si="7">SUM(K31:K35)</f>
        <v>687000000</v>
      </c>
      <c r="L30" s="79">
        <f t="shared" si="7"/>
        <v>687000000</v>
      </c>
      <c r="M30" s="79">
        <f t="shared" si="7"/>
        <v>708000000</v>
      </c>
      <c r="N30" s="79">
        <f t="shared" si="7"/>
        <v>687000000</v>
      </c>
      <c r="O30" s="79">
        <f t="shared" si="7"/>
        <v>687000000</v>
      </c>
      <c r="P30" s="79">
        <f>SUM(P31:P35)</f>
        <v>687000000</v>
      </c>
      <c r="Q30" s="79">
        <f>SUM(Q31:Q35)</f>
        <v>698000000</v>
      </c>
      <c r="R30" s="79">
        <f>SUM(R31:R35)</f>
        <v>687000000</v>
      </c>
      <c r="S30" s="79">
        <f>SUM(S31:S35)</f>
        <v>687000000</v>
      </c>
      <c r="T30" s="79">
        <f>SUM(T31:T35)</f>
        <v>687000000</v>
      </c>
      <c r="U30" s="1332"/>
      <c r="V30" s="78"/>
    </row>
    <row r="31" spans="1:22" s="84" customFormat="1" ht="25" customHeight="1" x14ac:dyDescent="0.35">
      <c r="A31" s="352" t="s">
        <v>1006</v>
      </c>
      <c r="B31" s="82"/>
      <c r="C31" s="81" t="s">
        <v>159</v>
      </c>
      <c r="D31" s="341">
        <f>1525193132/1.1</f>
        <v>1386539210.9090908</v>
      </c>
      <c r="E31" s="188">
        <v>1129395510.24</v>
      </c>
      <c r="F31" s="200"/>
      <c r="G31" s="217">
        <f t="shared" ref="G31:G46" si="8">SUM(I31:T31)</f>
        <v>1380000000</v>
      </c>
      <c r="H31" s="218">
        <f t="shared" si="6"/>
        <v>0</v>
      </c>
      <c r="I31" s="80">
        <f>I33*0.08+75000000</f>
        <v>115000000</v>
      </c>
      <c r="J31" s="80">
        <f>$I$31</f>
        <v>115000000</v>
      </c>
      <c r="K31" s="80">
        <f>$I$31</f>
        <v>115000000</v>
      </c>
      <c r="L31" s="80">
        <f t="shared" ref="L31:S31" si="9">$I$31</f>
        <v>115000000</v>
      </c>
      <c r="M31" s="80">
        <f t="shared" si="9"/>
        <v>115000000</v>
      </c>
      <c r="N31" s="80">
        <f t="shared" si="9"/>
        <v>115000000</v>
      </c>
      <c r="O31" s="80">
        <f t="shared" si="9"/>
        <v>115000000</v>
      </c>
      <c r="P31" s="80">
        <f t="shared" si="9"/>
        <v>115000000</v>
      </c>
      <c r="Q31" s="80">
        <f t="shared" si="9"/>
        <v>115000000</v>
      </c>
      <c r="R31" s="80">
        <f t="shared" si="9"/>
        <v>115000000</v>
      </c>
      <c r="S31" s="80">
        <f t="shared" si="9"/>
        <v>115000000</v>
      </c>
      <c r="T31" s="80">
        <f>$I$31</f>
        <v>115000000</v>
      </c>
      <c r="U31" s="1327"/>
      <c r="V31" s="78"/>
    </row>
    <row r="32" spans="1:22" s="77" customFormat="1" ht="25" customHeight="1" x14ac:dyDescent="0.35">
      <c r="A32" s="352" t="s">
        <v>1007</v>
      </c>
      <c r="B32" s="82"/>
      <c r="C32" s="81" t="s">
        <v>158</v>
      </c>
      <c r="D32" s="341">
        <v>0</v>
      </c>
      <c r="E32" s="188">
        <v>0</v>
      </c>
      <c r="F32" s="200">
        <v>0</v>
      </c>
      <c r="G32" s="217">
        <f t="shared" si="8"/>
        <v>0</v>
      </c>
      <c r="H32" s="218">
        <f t="shared" si="6"/>
        <v>0</v>
      </c>
      <c r="I32" s="80">
        <v>0</v>
      </c>
      <c r="J32" s="80">
        <v>0</v>
      </c>
      <c r="K32" s="80">
        <v>0</v>
      </c>
      <c r="L32" s="80">
        <v>0</v>
      </c>
      <c r="M32" s="80">
        <v>0</v>
      </c>
      <c r="N32" s="80">
        <v>0</v>
      </c>
      <c r="O32" s="80">
        <v>0</v>
      </c>
      <c r="P32" s="80">
        <v>0</v>
      </c>
      <c r="Q32" s="80">
        <v>0</v>
      </c>
      <c r="R32" s="80">
        <v>0</v>
      </c>
      <c r="S32" s="80">
        <v>0</v>
      </c>
      <c r="T32" s="80">
        <v>0</v>
      </c>
      <c r="U32" s="1327"/>
      <c r="V32" s="78"/>
    </row>
    <row r="33" spans="1:22" s="77" customFormat="1" ht="25" customHeight="1" x14ac:dyDescent="0.35">
      <c r="A33" s="352" t="s">
        <v>1008</v>
      </c>
      <c r="B33" s="82"/>
      <c r="C33" s="81" t="s">
        <v>157</v>
      </c>
      <c r="D33" s="341">
        <f>6971202610/1.1-D35</f>
        <v>6162949226.181818</v>
      </c>
      <c r="E33" s="188">
        <v>4742443889.6399994</v>
      </c>
      <c r="F33" s="625">
        <v>0</v>
      </c>
      <c r="G33" s="211">
        <f t="shared" si="8"/>
        <v>6000000000</v>
      </c>
      <c r="H33" s="218">
        <f t="shared" si="6"/>
        <v>0</v>
      </c>
      <c r="I33" s="80">
        <v>500000000</v>
      </c>
      <c r="J33" s="80">
        <f>$I$33</f>
        <v>500000000</v>
      </c>
      <c r="K33" s="80">
        <f t="shared" ref="K33:T33" si="10">$I$33</f>
        <v>500000000</v>
      </c>
      <c r="L33" s="80">
        <f t="shared" si="10"/>
        <v>500000000</v>
      </c>
      <c r="M33" s="80">
        <f t="shared" si="10"/>
        <v>500000000</v>
      </c>
      <c r="N33" s="80">
        <f t="shared" si="10"/>
        <v>500000000</v>
      </c>
      <c r="O33" s="80">
        <f t="shared" si="10"/>
        <v>500000000</v>
      </c>
      <c r="P33" s="80">
        <f t="shared" si="10"/>
        <v>500000000</v>
      </c>
      <c r="Q33" s="80">
        <f t="shared" si="10"/>
        <v>500000000</v>
      </c>
      <c r="R33" s="80">
        <f t="shared" si="10"/>
        <v>500000000</v>
      </c>
      <c r="S33" s="80">
        <f t="shared" si="10"/>
        <v>500000000</v>
      </c>
      <c r="T33" s="80">
        <f t="shared" si="10"/>
        <v>500000000</v>
      </c>
      <c r="U33" s="1327"/>
      <c r="V33" s="78"/>
    </row>
    <row r="34" spans="1:22" s="77" customFormat="1" ht="25" customHeight="1" x14ac:dyDescent="0.35">
      <c r="A34" s="352" t="s">
        <v>1009</v>
      </c>
      <c r="B34" s="82"/>
      <c r="C34" s="81" t="s">
        <v>156</v>
      </c>
      <c r="D34" s="341">
        <f>(D31+D33+D35)*0.1</f>
        <v>772399612.909091</v>
      </c>
      <c r="E34" s="188">
        <v>610904683.88800001</v>
      </c>
      <c r="F34" s="200">
        <v>0</v>
      </c>
      <c r="G34" s="211">
        <f t="shared" si="8"/>
        <v>756000000</v>
      </c>
      <c r="H34" s="218">
        <f t="shared" si="6"/>
        <v>0</v>
      </c>
      <c r="I34" s="80">
        <f>(I33+I31+I35)*0.1</f>
        <v>63000000</v>
      </c>
      <c r="J34" s="80">
        <f>$I$34</f>
        <v>63000000</v>
      </c>
      <c r="K34" s="80">
        <f t="shared" ref="K34:T34" si="11">$I$34</f>
        <v>63000000</v>
      </c>
      <c r="L34" s="80">
        <f t="shared" si="11"/>
        <v>63000000</v>
      </c>
      <c r="M34" s="80">
        <f t="shared" si="11"/>
        <v>63000000</v>
      </c>
      <c r="N34" s="80">
        <f t="shared" si="11"/>
        <v>63000000</v>
      </c>
      <c r="O34" s="80">
        <f t="shared" si="11"/>
        <v>63000000</v>
      </c>
      <c r="P34" s="80">
        <f t="shared" si="11"/>
        <v>63000000</v>
      </c>
      <c r="Q34" s="80">
        <f t="shared" si="11"/>
        <v>63000000</v>
      </c>
      <c r="R34" s="80">
        <f t="shared" si="11"/>
        <v>63000000</v>
      </c>
      <c r="S34" s="80">
        <f t="shared" si="11"/>
        <v>63000000</v>
      </c>
      <c r="T34" s="80">
        <f t="shared" si="11"/>
        <v>63000000</v>
      </c>
      <c r="U34" s="1327"/>
      <c r="V34" s="78"/>
    </row>
    <row r="35" spans="1:22" s="77" customFormat="1" ht="25" customHeight="1" x14ac:dyDescent="0.35">
      <c r="A35" s="352" t="s">
        <v>1010</v>
      </c>
      <c r="B35" s="82"/>
      <c r="C35" s="81" t="s">
        <v>155</v>
      </c>
      <c r="D35" s="341">
        <v>174507692</v>
      </c>
      <c r="E35" s="188">
        <v>237207440</v>
      </c>
      <c r="F35" s="200">
        <v>0</v>
      </c>
      <c r="G35" s="219">
        <f t="shared" si="8"/>
        <v>167000000</v>
      </c>
      <c r="H35" s="218">
        <f t="shared" si="6"/>
        <v>0</v>
      </c>
      <c r="I35" s="80">
        <v>15000000</v>
      </c>
      <c r="J35" s="80">
        <v>30000000</v>
      </c>
      <c r="K35" s="80">
        <v>9000000</v>
      </c>
      <c r="L35" s="80">
        <v>9000000</v>
      </c>
      <c r="M35" s="80">
        <v>30000000</v>
      </c>
      <c r="N35" s="80">
        <v>9000000</v>
      </c>
      <c r="O35" s="80">
        <v>9000000</v>
      </c>
      <c r="P35" s="80">
        <v>9000000</v>
      </c>
      <c r="Q35" s="80">
        <v>20000000</v>
      </c>
      <c r="R35" s="80">
        <v>9000000</v>
      </c>
      <c r="S35" s="80">
        <v>9000000</v>
      </c>
      <c r="T35" s="80">
        <v>9000000</v>
      </c>
      <c r="U35" s="1327"/>
      <c r="V35" s="78"/>
    </row>
    <row r="36" spans="1:22" ht="25" customHeight="1" x14ac:dyDescent="0.35">
      <c r="A36" s="25" t="s">
        <v>151</v>
      </c>
      <c r="B36" s="72">
        <v>642811</v>
      </c>
      <c r="C36" s="64" t="s">
        <v>150</v>
      </c>
      <c r="D36" s="345">
        <v>9000000</v>
      </c>
      <c r="E36" s="188">
        <v>7268083</v>
      </c>
      <c r="F36" s="202">
        <v>10009785</v>
      </c>
      <c r="G36" s="219">
        <f t="shared" si="8"/>
        <v>8528196</v>
      </c>
      <c r="H36" s="218">
        <f t="shared" si="6"/>
        <v>-0.1480140682342328</v>
      </c>
      <c r="I36" s="27">
        <v>710683</v>
      </c>
      <c r="J36" s="27">
        <v>710683</v>
      </c>
      <c r="K36" s="27">
        <v>710683</v>
      </c>
      <c r="L36" s="27">
        <v>710683</v>
      </c>
      <c r="M36" s="27">
        <v>710683</v>
      </c>
      <c r="N36" s="27">
        <v>710683</v>
      </c>
      <c r="O36" s="27">
        <v>710683</v>
      </c>
      <c r="P36" s="27">
        <v>710683</v>
      </c>
      <c r="Q36" s="27">
        <v>710683</v>
      </c>
      <c r="R36" s="27">
        <v>710683</v>
      </c>
      <c r="S36" s="27">
        <v>710683</v>
      </c>
      <c r="T36" s="27">
        <v>710683</v>
      </c>
      <c r="U36" s="1333"/>
      <c r="V36" s="3" t="s">
        <v>530</v>
      </c>
    </row>
    <row r="37" spans="1:22" ht="25" customHeight="1" x14ac:dyDescent="0.25">
      <c r="A37" s="25" t="s">
        <v>149</v>
      </c>
      <c r="B37" s="72">
        <v>642107</v>
      </c>
      <c r="C37" s="64" t="s">
        <v>148</v>
      </c>
      <c r="D37" s="345">
        <v>38700000</v>
      </c>
      <c r="E37" s="188">
        <v>9200000</v>
      </c>
      <c r="F37" s="202">
        <v>9200000</v>
      </c>
      <c r="G37" s="219">
        <f t="shared" si="8"/>
        <v>24150000</v>
      </c>
      <c r="H37" s="218">
        <f t="shared" si="6"/>
        <v>1.625</v>
      </c>
      <c r="I37" s="27">
        <f>'Training Staffs'!$E$7/12</f>
        <v>2012500</v>
      </c>
      <c r="J37" s="27">
        <f>I37</f>
        <v>2012500</v>
      </c>
      <c r="K37" s="27">
        <f>J37</f>
        <v>2012500</v>
      </c>
      <c r="L37" s="27">
        <f t="shared" ref="L37:T37" si="12">K37</f>
        <v>2012500</v>
      </c>
      <c r="M37" s="27">
        <f t="shared" si="12"/>
        <v>2012500</v>
      </c>
      <c r="N37" s="27">
        <f t="shared" si="12"/>
        <v>2012500</v>
      </c>
      <c r="O37" s="27">
        <f t="shared" si="12"/>
        <v>2012500</v>
      </c>
      <c r="P37" s="27">
        <f t="shared" si="12"/>
        <v>2012500</v>
      </c>
      <c r="Q37" s="27">
        <f t="shared" si="12"/>
        <v>2012500</v>
      </c>
      <c r="R37" s="27">
        <f t="shared" si="12"/>
        <v>2012500</v>
      </c>
      <c r="S37" s="27">
        <f t="shared" si="12"/>
        <v>2012500</v>
      </c>
      <c r="T37" s="27">
        <f t="shared" si="12"/>
        <v>2012500</v>
      </c>
      <c r="U37" s="1332" t="s">
        <v>520</v>
      </c>
      <c r="V37" s="3" t="s">
        <v>533</v>
      </c>
    </row>
    <row r="38" spans="1:22" ht="25" customHeight="1" x14ac:dyDescent="0.35">
      <c r="A38" s="25" t="s">
        <v>153</v>
      </c>
      <c r="B38" s="72"/>
      <c r="C38" s="64" t="s">
        <v>152</v>
      </c>
      <c r="D38" s="345">
        <v>90000000</v>
      </c>
      <c r="E38" s="188">
        <v>0</v>
      </c>
      <c r="F38" s="202">
        <v>88000000</v>
      </c>
      <c r="G38" s="221">
        <f t="shared" si="8"/>
        <v>99000000.000000015</v>
      </c>
      <c r="H38" s="222">
        <f t="shared" si="6"/>
        <v>0.12500000000000017</v>
      </c>
      <c r="I38" s="27">
        <f>90000000*1.1/2</f>
        <v>49500000.000000007</v>
      </c>
      <c r="J38" s="27">
        <v>0</v>
      </c>
      <c r="K38" s="27">
        <f>I38</f>
        <v>49500000.000000007</v>
      </c>
      <c r="L38" s="27">
        <v>0</v>
      </c>
      <c r="M38" s="27">
        <v>0</v>
      </c>
      <c r="N38" s="27">
        <v>0</v>
      </c>
      <c r="O38" s="27">
        <v>0</v>
      </c>
      <c r="P38" s="27">
        <v>0</v>
      </c>
      <c r="Q38" s="27">
        <v>0</v>
      </c>
      <c r="R38" s="27">
        <v>0</v>
      </c>
      <c r="S38" s="27">
        <v>0</v>
      </c>
      <c r="T38" s="27">
        <v>0</v>
      </c>
      <c r="U38" s="1333"/>
      <c r="V38" s="3" t="s">
        <v>530</v>
      </c>
    </row>
    <row r="39" spans="1:22" ht="25" customHeight="1" x14ac:dyDescent="0.35">
      <c r="A39" s="25" t="s">
        <v>139</v>
      </c>
      <c r="B39" s="72">
        <v>642803</v>
      </c>
      <c r="C39" s="64" t="s">
        <v>138</v>
      </c>
      <c r="D39" s="345">
        <v>39600000</v>
      </c>
      <c r="E39" s="188">
        <v>24319114.09090909</v>
      </c>
      <c r="F39" s="202">
        <v>35789297.590909094</v>
      </c>
      <c r="G39" s="225">
        <f t="shared" si="8"/>
        <v>34624371.466666602</v>
      </c>
      <c r="H39" s="222">
        <f t="shared" si="6"/>
        <v>-3.2549566564793297E-2</v>
      </c>
      <c r="I39" s="27">
        <f>2623058.44444444*1.1</f>
        <v>2885364.2888888842</v>
      </c>
      <c r="J39" s="27">
        <f>I39</f>
        <v>2885364.2888888842</v>
      </c>
      <c r="K39" s="27">
        <f t="shared" ref="K39:T39" si="13">J39</f>
        <v>2885364.2888888842</v>
      </c>
      <c r="L39" s="27">
        <f t="shared" si="13"/>
        <v>2885364.2888888842</v>
      </c>
      <c r="M39" s="27">
        <f t="shared" si="13"/>
        <v>2885364.2888888842</v>
      </c>
      <c r="N39" s="27">
        <f t="shared" si="13"/>
        <v>2885364.2888888842</v>
      </c>
      <c r="O39" s="27">
        <f t="shared" si="13"/>
        <v>2885364.2888888842</v>
      </c>
      <c r="P39" s="27">
        <f t="shared" si="13"/>
        <v>2885364.2888888842</v>
      </c>
      <c r="Q39" s="27">
        <f t="shared" si="13"/>
        <v>2885364.2888888842</v>
      </c>
      <c r="R39" s="27">
        <f t="shared" si="13"/>
        <v>2885364.2888888842</v>
      </c>
      <c r="S39" s="27">
        <f t="shared" si="13"/>
        <v>2885364.2888888842</v>
      </c>
      <c r="T39" s="27">
        <f t="shared" si="13"/>
        <v>2885364.2888888842</v>
      </c>
      <c r="U39" s="1333"/>
      <c r="V39" s="3" t="s">
        <v>530</v>
      </c>
    </row>
    <row r="40" spans="1:22" ht="25" customHeight="1" x14ac:dyDescent="0.35">
      <c r="A40" s="25" t="s">
        <v>133</v>
      </c>
      <c r="B40" s="72">
        <v>64221</v>
      </c>
      <c r="C40" s="64" t="s">
        <v>132</v>
      </c>
      <c r="D40" s="345">
        <v>30798000</v>
      </c>
      <c r="E40" s="188">
        <v>24547200</v>
      </c>
      <c r="F40" s="202">
        <v>30868420</v>
      </c>
      <c r="G40" s="225">
        <f t="shared" si="8"/>
        <v>39600000.000000007</v>
      </c>
      <c r="H40" s="222">
        <f t="shared" si="6"/>
        <v>0.28286449387432228</v>
      </c>
      <c r="I40" s="27">
        <f>3000000*1.1</f>
        <v>3300000.0000000005</v>
      </c>
      <c r="J40" s="27">
        <f>I40</f>
        <v>3300000.0000000005</v>
      </c>
      <c r="K40" s="27">
        <f t="shared" ref="K40:T41" si="14">J40</f>
        <v>3300000.0000000005</v>
      </c>
      <c r="L40" s="27">
        <f t="shared" si="14"/>
        <v>3300000.0000000005</v>
      </c>
      <c r="M40" s="27">
        <f t="shared" si="14"/>
        <v>3300000.0000000005</v>
      </c>
      <c r="N40" s="27">
        <f t="shared" si="14"/>
        <v>3300000.0000000005</v>
      </c>
      <c r="O40" s="27">
        <f t="shared" si="14"/>
        <v>3300000.0000000005</v>
      </c>
      <c r="P40" s="27">
        <f t="shared" si="14"/>
        <v>3300000.0000000005</v>
      </c>
      <c r="Q40" s="27">
        <f t="shared" si="14"/>
        <v>3300000.0000000005</v>
      </c>
      <c r="R40" s="27">
        <f t="shared" si="14"/>
        <v>3300000.0000000005</v>
      </c>
      <c r="S40" s="27">
        <f t="shared" si="14"/>
        <v>3300000.0000000005</v>
      </c>
      <c r="T40" s="27">
        <f t="shared" si="14"/>
        <v>3300000.0000000005</v>
      </c>
      <c r="U40" s="1333"/>
      <c r="V40" s="3" t="s">
        <v>531</v>
      </c>
    </row>
    <row r="41" spans="1:22" ht="25" customHeight="1" x14ac:dyDescent="0.35">
      <c r="A41" s="25" t="s">
        <v>127</v>
      </c>
      <c r="B41" s="72">
        <v>642807</v>
      </c>
      <c r="C41" s="64" t="s">
        <v>126</v>
      </c>
      <c r="D41" s="345">
        <v>38640000</v>
      </c>
      <c r="E41" s="188">
        <v>44094856.36363636</v>
      </c>
      <c r="F41" s="202">
        <v>62397450</v>
      </c>
      <c r="G41" s="225">
        <f t="shared" si="8"/>
        <v>56095387.333333403</v>
      </c>
      <c r="H41" s="222">
        <f t="shared" si="6"/>
        <v>-0.1009987213686873</v>
      </c>
      <c r="I41" s="27">
        <f>4249650.55555556*1.1</f>
        <v>4674615.6111111157</v>
      </c>
      <c r="J41" s="27">
        <f>I41</f>
        <v>4674615.6111111157</v>
      </c>
      <c r="K41" s="27">
        <f t="shared" si="14"/>
        <v>4674615.6111111157</v>
      </c>
      <c r="L41" s="27">
        <f t="shared" si="14"/>
        <v>4674615.6111111157</v>
      </c>
      <c r="M41" s="27">
        <f t="shared" si="14"/>
        <v>4674615.6111111157</v>
      </c>
      <c r="N41" s="27">
        <f t="shared" si="14"/>
        <v>4674615.6111111157</v>
      </c>
      <c r="O41" s="27">
        <f t="shared" si="14"/>
        <v>4674615.6111111157</v>
      </c>
      <c r="P41" s="27">
        <f t="shared" si="14"/>
        <v>4674615.6111111157</v>
      </c>
      <c r="Q41" s="27">
        <f t="shared" si="14"/>
        <v>4674615.6111111157</v>
      </c>
      <c r="R41" s="27">
        <f t="shared" si="14"/>
        <v>4674615.6111111157</v>
      </c>
      <c r="S41" s="27">
        <f t="shared" si="14"/>
        <v>4674615.6111111157</v>
      </c>
      <c r="T41" s="27">
        <f t="shared" si="14"/>
        <v>4674615.6111111157</v>
      </c>
      <c r="U41" s="1333"/>
      <c r="V41" s="3" t="s">
        <v>530</v>
      </c>
    </row>
    <row r="42" spans="1:22" ht="25" customHeight="1" x14ac:dyDescent="0.25">
      <c r="A42" s="25" t="s">
        <v>125</v>
      </c>
      <c r="B42" s="72"/>
      <c r="C42" s="64" t="s">
        <v>124</v>
      </c>
      <c r="D42" s="345">
        <v>0</v>
      </c>
      <c r="E42" s="188">
        <v>0</v>
      </c>
      <c r="F42" s="202">
        <v>-2000000</v>
      </c>
      <c r="G42" s="225">
        <f t="shared" si="8"/>
        <v>8000000</v>
      </c>
      <c r="H42" s="222">
        <f t="shared" si="6"/>
        <v>-5</v>
      </c>
      <c r="I42" s="27">
        <v>0</v>
      </c>
      <c r="J42" s="27">
        <v>8000000</v>
      </c>
      <c r="K42" s="27">
        <v>0</v>
      </c>
      <c r="L42" s="27">
        <f>K42</f>
        <v>0</v>
      </c>
      <c r="M42" s="27">
        <f t="shared" ref="M42:S42" si="15">L42</f>
        <v>0</v>
      </c>
      <c r="N42" s="27">
        <f t="shared" si="15"/>
        <v>0</v>
      </c>
      <c r="O42" s="27">
        <f t="shared" si="15"/>
        <v>0</v>
      </c>
      <c r="P42" s="27">
        <f t="shared" si="15"/>
        <v>0</v>
      </c>
      <c r="Q42" s="27">
        <f t="shared" si="15"/>
        <v>0</v>
      </c>
      <c r="R42" s="27">
        <f t="shared" si="15"/>
        <v>0</v>
      </c>
      <c r="S42" s="27">
        <f t="shared" si="15"/>
        <v>0</v>
      </c>
      <c r="T42" s="27">
        <v>0</v>
      </c>
      <c r="U42" s="1332"/>
      <c r="V42" s="3"/>
    </row>
    <row r="43" spans="1:22" ht="25" customHeight="1" x14ac:dyDescent="0.35">
      <c r="A43" s="25" t="s">
        <v>137</v>
      </c>
      <c r="B43" s="72">
        <v>642804</v>
      </c>
      <c r="C43" s="64" t="s">
        <v>136</v>
      </c>
      <c r="D43" s="345">
        <v>8400000</v>
      </c>
      <c r="E43" s="188">
        <v>3685000</v>
      </c>
      <c r="F43" s="202">
        <v>11301500</v>
      </c>
      <c r="G43" s="225">
        <f t="shared" si="8"/>
        <v>6600000.0000000009</v>
      </c>
      <c r="H43" s="222">
        <f t="shared" si="6"/>
        <v>-0.416006724771048</v>
      </c>
      <c r="I43" s="27">
        <v>0</v>
      </c>
      <c r="J43" s="27">
        <v>0</v>
      </c>
      <c r="K43" s="27">
        <f>1500000*1.1</f>
        <v>1650000.0000000002</v>
      </c>
      <c r="L43" s="27">
        <v>0</v>
      </c>
      <c r="M43" s="27">
        <v>0</v>
      </c>
      <c r="N43" s="27">
        <f>1500000*1.1</f>
        <v>1650000.0000000002</v>
      </c>
      <c r="O43" s="27">
        <v>0</v>
      </c>
      <c r="P43" s="27">
        <v>0</v>
      </c>
      <c r="Q43" s="27">
        <f>1500000*1.1</f>
        <v>1650000.0000000002</v>
      </c>
      <c r="R43" s="27">
        <v>0</v>
      </c>
      <c r="S43" s="27">
        <v>0</v>
      </c>
      <c r="T43" s="27">
        <f>1500000*1.1</f>
        <v>1650000.0000000002</v>
      </c>
      <c r="U43" s="1333"/>
      <c r="V43" s="3" t="s">
        <v>530</v>
      </c>
    </row>
    <row r="44" spans="1:22" ht="25" customHeight="1" x14ac:dyDescent="0.35">
      <c r="A44" s="25" t="s">
        <v>121</v>
      </c>
      <c r="B44" s="72">
        <v>642810</v>
      </c>
      <c r="C44" s="64" t="s">
        <v>120</v>
      </c>
      <c r="D44" s="345">
        <v>14400000</v>
      </c>
      <c r="E44" s="188">
        <v>8932590</v>
      </c>
      <c r="F44" s="202">
        <v>20592599</v>
      </c>
      <c r="G44" s="225">
        <f t="shared" si="8"/>
        <v>13101132</v>
      </c>
      <c r="H44" s="222">
        <f t="shared" si="6"/>
        <v>-0.36379414759642531</v>
      </c>
      <c r="I44" s="27">
        <f>992510*1.1</f>
        <v>1091761</v>
      </c>
      <c r="J44" s="27">
        <f t="shared" ref="J44:T44" si="16">992510*1.1</f>
        <v>1091761</v>
      </c>
      <c r="K44" s="27">
        <f t="shared" si="16"/>
        <v>1091761</v>
      </c>
      <c r="L44" s="27">
        <f t="shared" si="16"/>
        <v>1091761</v>
      </c>
      <c r="M44" s="27">
        <f t="shared" si="16"/>
        <v>1091761</v>
      </c>
      <c r="N44" s="27">
        <f t="shared" si="16"/>
        <v>1091761</v>
      </c>
      <c r="O44" s="27">
        <f t="shared" si="16"/>
        <v>1091761</v>
      </c>
      <c r="P44" s="27">
        <f t="shared" si="16"/>
        <v>1091761</v>
      </c>
      <c r="Q44" s="27">
        <f t="shared" si="16"/>
        <v>1091761</v>
      </c>
      <c r="R44" s="27">
        <f t="shared" si="16"/>
        <v>1091761</v>
      </c>
      <c r="S44" s="27">
        <f t="shared" si="16"/>
        <v>1091761</v>
      </c>
      <c r="T44" s="27">
        <f t="shared" si="16"/>
        <v>1091761</v>
      </c>
      <c r="U44" s="1333" t="s">
        <v>519</v>
      </c>
      <c r="V44" s="3" t="s">
        <v>533</v>
      </c>
    </row>
    <row r="45" spans="1:22" ht="25" customHeight="1" x14ac:dyDescent="0.35">
      <c r="A45" s="25" t="s">
        <v>147</v>
      </c>
      <c r="B45" s="72">
        <v>642105</v>
      </c>
      <c r="C45" s="64" t="s">
        <v>146</v>
      </c>
      <c r="D45" s="345">
        <v>6000000</v>
      </c>
      <c r="E45" s="188">
        <v>3824149</v>
      </c>
      <c r="F45" s="202">
        <v>4050470</v>
      </c>
      <c r="G45" s="219">
        <f t="shared" si="8"/>
        <v>0</v>
      </c>
      <c r="H45" s="218">
        <f t="shared" si="6"/>
        <v>-1</v>
      </c>
      <c r="I45" s="27">
        <v>0</v>
      </c>
      <c r="J45" s="27">
        <f>I45</f>
        <v>0</v>
      </c>
      <c r="K45" s="27">
        <f t="shared" ref="K45:T45" si="17">J45</f>
        <v>0</v>
      </c>
      <c r="L45" s="27">
        <f t="shared" si="17"/>
        <v>0</v>
      </c>
      <c r="M45" s="27">
        <f t="shared" si="17"/>
        <v>0</v>
      </c>
      <c r="N45" s="27">
        <f t="shared" si="17"/>
        <v>0</v>
      </c>
      <c r="O45" s="27">
        <f t="shared" si="17"/>
        <v>0</v>
      </c>
      <c r="P45" s="27">
        <f t="shared" si="17"/>
        <v>0</v>
      </c>
      <c r="Q45" s="27">
        <f t="shared" si="17"/>
        <v>0</v>
      </c>
      <c r="R45" s="27">
        <f t="shared" si="17"/>
        <v>0</v>
      </c>
      <c r="S45" s="27">
        <f t="shared" si="17"/>
        <v>0</v>
      </c>
      <c r="T45" s="27">
        <f t="shared" si="17"/>
        <v>0</v>
      </c>
      <c r="U45" s="1333"/>
      <c r="V45" s="3" t="s">
        <v>533</v>
      </c>
    </row>
    <row r="46" spans="1:22" ht="25" customHeight="1" x14ac:dyDescent="0.35">
      <c r="A46" s="25" t="s">
        <v>145</v>
      </c>
      <c r="B46" s="72">
        <v>642108</v>
      </c>
      <c r="C46" s="64" t="s">
        <v>144</v>
      </c>
      <c r="D46" s="345">
        <v>50630000</v>
      </c>
      <c r="E46" s="188">
        <v>43750908</v>
      </c>
      <c r="F46" s="202">
        <v>47358000</v>
      </c>
      <c r="G46" s="219">
        <f t="shared" si="8"/>
        <v>0</v>
      </c>
      <c r="H46" s="218">
        <f t="shared" si="6"/>
        <v>-1</v>
      </c>
      <c r="I46" s="27">
        <v>0</v>
      </c>
      <c r="J46" s="27">
        <v>0</v>
      </c>
      <c r="K46" s="27">
        <v>0</v>
      </c>
      <c r="L46" s="27">
        <v>0</v>
      </c>
      <c r="M46" s="27">
        <v>0</v>
      </c>
      <c r="N46" s="27">
        <v>0</v>
      </c>
      <c r="O46" s="27">
        <v>0</v>
      </c>
      <c r="P46" s="27">
        <v>0</v>
      </c>
      <c r="Q46" s="27">
        <v>0</v>
      </c>
      <c r="R46" s="27">
        <v>0</v>
      </c>
      <c r="S46" s="27">
        <v>0</v>
      </c>
      <c r="T46" s="27">
        <v>0</v>
      </c>
      <c r="U46" s="1333"/>
      <c r="V46" s="3" t="s">
        <v>533</v>
      </c>
    </row>
    <row r="47" spans="1:22" ht="25" customHeight="1" x14ac:dyDescent="0.35">
      <c r="A47" s="26" t="s">
        <v>141</v>
      </c>
      <c r="B47" s="72">
        <v>6423</v>
      </c>
      <c r="C47" s="64" t="s">
        <v>140</v>
      </c>
      <c r="D47" s="345">
        <v>13400000</v>
      </c>
      <c r="E47" s="188">
        <v>8726365</v>
      </c>
      <c r="F47" s="202">
        <v>8664001</v>
      </c>
      <c r="G47" s="225">
        <f t="shared" ref="G47:G52" si="18">SUM(I47:T47)</f>
        <v>12798668.666666666</v>
      </c>
      <c r="H47" s="222">
        <f t="shared" si="6"/>
        <v>0.47722382149617321</v>
      </c>
      <c r="I47" s="27">
        <f>969596.111111111*1.1</f>
        <v>1066555.7222222222</v>
      </c>
      <c r="J47" s="27">
        <f>I47</f>
        <v>1066555.7222222222</v>
      </c>
      <c r="K47" s="27">
        <f t="shared" ref="K47:T47" si="19">J47</f>
        <v>1066555.7222222222</v>
      </c>
      <c r="L47" s="27">
        <f t="shared" si="19"/>
        <v>1066555.7222222222</v>
      </c>
      <c r="M47" s="27">
        <f t="shared" si="19"/>
        <v>1066555.7222222222</v>
      </c>
      <c r="N47" s="27">
        <f t="shared" si="19"/>
        <v>1066555.7222222222</v>
      </c>
      <c r="O47" s="27">
        <f t="shared" si="19"/>
        <v>1066555.7222222222</v>
      </c>
      <c r="P47" s="27">
        <f t="shared" si="19"/>
        <v>1066555.7222222222</v>
      </c>
      <c r="Q47" s="27">
        <f t="shared" si="19"/>
        <v>1066555.7222222222</v>
      </c>
      <c r="R47" s="27">
        <f t="shared" si="19"/>
        <v>1066555.7222222222</v>
      </c>
      <c r="S47" s="27">
        <f t="shared" si="19"/>
        <v>1066555.7222222222</v>
      </c>
      <c r="T47" s="27">
        <f t="shared" si="19"/>
        <v>1066555.7222222222</v>
      </c>
      <c r="U47" s="1333"/>
      <c r="V47" s="3" t="s">
        <v>530</v>
      </c>
    </row>
    <row r="48" spans="1:22" ht="25" customHeight="1" x14ac:dyDescent="0.35">
      <c r="A48" s="25" t="s">
        <v>135</v>
      </c>
      <c r="B48" s="72">
        <v>64222</v>
      </c>
      <c r="C48" s="64" t="s">
        <v>134</v>
      </c>
      <c r="D48" s="345">
        <v>7200000</v>
      </c>
      <c r="E48" s="188">
        <v>5020000</v>
      </c>
      <c r="F48" s="202">
        <v>7073000</v>
      </c>
      <c r="G48" s="225">
        <f t="shared" si="18"/>
        <v>7362666.6666666707</v>
      </c>
      <c r="H48" s="222">
        <f t="shared" si="6"/>
        <v>4.095386210471804E-2</v>
      </c>
      <c r="I48" s="27">
        <f>557777.777777778*1.1</f>
        <v>613555.55555555585</v>
      </c>
      <c r="J48" s="27">
        <f>I48</f>
        <v>613555.55555555585</v>
      </c>
      <c r="K48" s="27">
        <f t="shared" ref="K48:S48" si="20">J48</f>
        <v>613555.55555555585</v>
      </c>
      <c r="L48" s="27">
        <f t="shared" si="20"/>
        <v>613555.55555555585</v>
      </c>
      <c r="M48" s="27">
        <f t="shared" si="20"/>
        <v>613555.55555555585</v>
      </c>
      <c r="N48" s="27">
        <f t="shared" si="20"/>
        <v>613555.55555555585</v>
      </c>
      <c r="O48" s="27">
        <f t="shared" si="20"/>
        <v>613555.55555555585</v>
      </c>
      <c r="P48" s="27">
        <f t="shared" si="20"/>
        <v>613555.55555555585</v>
      </c>
      <c r="Q48" s="27">
        <f t="shared" si="20"/>
        <v>613555.55555555585</v>
      </c>
      <c r="R48" s="27">
        <f t="shared" si="20"/>
        <v>613555.55555555585</v>
      </c>
      <c r="S48" s="27">
        <f t="shared" si="20"/>
        <v>613555.55555555585</v>
      </c>
      <c r="T48" s="27">
        <f>S48</f>
        <v>613555.55555555585</v>
      </c>
      <c r="U48" s="1333"/>
      <c r="V48" s="3" t="s">
        <v>531</v>
      </c>
    </row>
    <row r="49" spans="1:24" ht="25" customHeight="1" x14ac:dyDescent="0.35">
      <c r="A49" s="25" t="s">
        <v>131</v>
      </c>
      <c r="B49" s="72">
        <v>642805</v>
      </c>
      <c r="C49" s="64" t="s">
        <v>130</v>
      </c>
      <c r="D49" s="345">
        <v>4200000</v>
      </c>
      <c r="E49" s="188">
        <v>2797009</v>
      </c>
      <c r="F49" s="202">
        <v>3096949</v>
      </c>
      <c r="G49" s="225">
        <f t="shared" si="18"/>
        <v>4102279.866666669</v>
      </c>
      <c r="H49" s="222">
        <f t="shared" si="6"/>
        <v>0.32461976825148525</v>
      </c>
      <c r="I49" s="27">
        <f>310778.777777778*1.1</f>
        <v>341856.65555555583</v>
      </c>
      <c r="J49" s="27">
        <f t="shared" ref="J49:T49" si="21">310778.777777778*1.1</f>
        <v>341856.65555555583</v>
      </c>
      <c r="K49" s="27">
        <f t="shared" si="21"/>
        <v>341856.65555555583</v>
      </c>
      <c r="L49" s="27">
        <f t="shared" si="21"/>
        <v>341856.65555555583</v>
      </c>
      <c r="M49" s="27">
        <f t="shared" si="21"/>
        <v>341856.65555555583</v>
      </c>
      <c r="N49" s="27">
        <f t="shared" si="21"/>
        <v>341856.65555555583</v>
      </c>
      <c r="O49" s="27">
        <f t="shared" si="21"/>
        <v>341856.65555555583</v>
      </c>
      <c r="P49" s="27">
        <f t="shared" si="21"/>
        <v>341856.65555555583</v>
      </c>
      <c r="Q49" s="27">
        <f t="shared" si="21"/>
        <v>341856.65555555583</v>
      </c>
      <c r="R49" s="27">
        <f t="shared" si="21"/>
        <v>341856.65555555583</v>
      </c>
      <c r="S49" s="27">
        <f t="shared" si="21"/>
        <v>341856.65555555583</v>
      </c>
      <c r="T49" s="27">
        <f t="shared" si="21"/>
        <v>341856.65555555583</v>
      </c>
      <c r="U49" s="1333"/>
      <c r="V49" s="3" t="s">
        <v>530</v>
      </c>
    </row>
    <row r="50" spans="1:24" ht="25" customHeight="1" x14ac:dyDescent="0.35">
      <c r="A50" s="25" t="s">
        <v>129</v>
      </c>
      <c r="B50" s="72">
        <v>642806</v>
      </c>
      <c r="C50" s="64" t="s">
        <v>128</v>
      </c>
      <c r="D50" s="345">
        <v>18000000</v>
      </c>
      <c r="E50" s="188">
        <v>15953100</v>
      </c>
      <c r="F50" s="202">
        <v>20263870</v>
      </c>
      <c r="G50" s="225">
        <f t="shared" si="18"/>
        <v>21723679.999999966</v>
      </c>
      <c r="H50" s="222">
        <f t="shared" si="6"/>
        <v>7.2040039735744771E-2</v>
      </c>
      <c r="I50" s="27">
        <f>1645733.33333333*1.1</f>
        <v>1810306.6666666633</v>
      </c>
      <c r="J50" s="27">
        <f t="shared" ref="J50:T50" si="22">1645733.33333333*1.1</f>
        <v>1810306.6666666633</v>
      </c>
      <c r="K50" s="27">
        <f t="shared" si="22"/>
        <v>1810306.6666666633</v>
      </c>
      <c r="L50" s="27">
        <f t="shared" si="22"/>
        <v>1810306.6666666633</v>
      </c>
      <c r="M50" s="27">
        <f t="shared" si="22"/>
        <v>1810306.6666666633</v>
      </c>
      <c r="N50" s="27">
        <f t="shared" si="22"/>
        <v>1810306.6666666633</v>
      </c>
      <c r="O50" s="27">
        <f t="shared" si="22"/>
        <v>1810306.6666666633</v>
      </c>
      <c r="P50" s="27">
        <f t="shared" si="22"/>
        <v>1810306.6666666633</v>
      </c>
      <c r="Q50" s="27">
        <f t="shared" si="22"/>
        <v>1810306.6666666633</v>
      </c>
      <c r="R50" s="27">
        <f t="shared" si="22"/>
        <v>1810306.6666666633</v>
      </c>
      <c r="S50" s="27">
        <f t="shared" si="22"/>
        <v>1810306.6666666633</v>
      </c>
      <c r="T50" s="27">
        <f t="shared" si="22"/>
        <v>1810306.6666666633</v>
      </c>
      <c r="U50" s="1333"/>
      <c r="V50" s="3" t="s">
        <v>530</v>
      </c>
    </row>
    <row r="51" spans="1:24" ht="25" customHeight="1" x14ac:dyDescent="0.35">
      <c r="A51" s="25" t="s">
        <v>143</v>
      </c>
      <c r="B51" s="72">
        <v>642106</v>
      </c>
      <c r="C51" s="64" t="s">
        <v>142</v>
      </c>
      <c r="D51" s="345">
        <v>22770000</v>
      </c>
      <c r="E51" s="188">
        <v>19968546</v>
      </c>
      <c r="F51" s="202">
        <v>37777901</v>
      </c>
      <c r="G51" s="225">
        <f>SUM(I51:T51)</f>
        <v>0</v>
      </c>
      <c r="H51" s="222">
        <f>IF(F51=0,0,(G51-F51)/F51)</f>
        <v>-1</v>
      </c>
      <c r="I51" s="27">
        <v>0</v>
      </c>
      <c r="J51" s="27">
        <v>0</v>
      </c>
      <c r="K51" s="27">
        <v>0</v>
      </c>
      <c r="L51" s="27">
        <v>0</v>
      </c>
      <c r="M51" s="27">
        <v>0</v>
      </c>
      <c r="N51" s="27">
        <v>0</v>
      </c>
      <c r="O51" s="27">
        <v>0</v>
      </c>
      <c r="P51" s="27">
        <v>0</v>
      </c>
      <c r="Q51" s="27">
        <v>0</v>
      </c>
      <c r="R51" s="27">
        <v>0</v>
      </c>
      <c r="S51" s="27">
        <v>0</v>
      </c>
      <c r="T51" s="27">
        <v>0</v>
      </c>
      <c r="U51" s="1333"/>
      <c r="V51" s="3" t="s">
        <v>533</v>
      </c>
    </row>
    <row r="52" spans="1:24" ht="25" customHeight="1" x14ac:dyDescent="0.35">
      <c r="A52" s="25" t="s">
        <v>123</v>
      </c>
      <c r="B52" s="72">
        <v>642813</v>
      </c>
      <c r="C52" s="64" t="s">
        <v>122</v>
      </c>
      <c r="D52" s="345">
        <f>308187200</f>
        <v>308187200</v>
      </c>
      <c r="E52" s="188">
        <v>271072909</v>
      </c>
      <c r="F52" s="202">
        <v>296724700</v>
      </c>
      <c r="G52" s="219">
        <f t="shared" si="18"/>
        <v>361430545.33333331</v>
      </c>
      <c r="H52" s="218">
        <f t="shared" si="6"/>
        <v>0.21806693319879777</v>
      </c>
      <c r="I52" s="27">
        <v>26039140.484848477</v>
      </c>
      <c r="J52" s="27">
        <v>26039140.484848477</v>
      </c>
      <c r="K52" s="27">
        <v>75000000</v>
      </c>
      <c r="L52" s="27">
        <v>26039140.484848477</v>
      </c>
      <c r="M52" s="27">
        <v>26039140.484848477</v>
      </c>
      <c r="N52" s="27">
        <v>26039140.484848477</v>
      </c>
      <c r="O52" s="27">
        <v>26039140.484848477</v>
      </c>
      <c r="P52" s="27">
        <v>26039140.484848477</v>
      </c>
      <c r="Q52" s="27">
        <v>26039140.484848477</v>
      </c>
      <c r="R52" s="27">
        <v>26039140.484848477</v>
      </c>
      <c r="S52" s="27">
        <v>26039140.484848477</v>
      </c>
      <c r="T52" s="27">
        <v>26039140.484848477</v>
      </c>
      <c r="U52" s="1333" t="s">
        <v>513</v>
      </c>
      <c r="V52" s="3" t="s">
        <v>534</v>
      </c>
    </row>
    <row r="53" spans="1:24" ht="25" customHeight="1" x14ac:dyDescent="0.35">
      <c r="A53" s="52"/>
      <c r="B53" s="51"/>
      <c r="C53" s="50" t="s">
        <v>119</v>
      </c>
      <c r="D53" s="999">
        <f>SUM(D31:D52)</f>
        <v>9196320942</v>
      </c>
      <c r="E53" s="49">
        <v>7213111353.2225447</v>
      </c>
      <c r="F53" s="999">
        <v>9080906552.0909081</v>
      </c>
      <c r="G53" s="49">
        <f>SUM(G31:G52)</f>
        <v>9000116927.3333321</v>
      </c>
      <c r="H53" s="986">
        <f t="shared" si="6"/>
        <v>-8.8966475201723016E-3</v>
      </c>
      <c r="I53" s="49">
        <f t="shared" ref="I53:T53" si="23">SUM(I31:I52)</f>
        <v>787046338.98484862</v>
      </c>
      <c r="J53" s="49">
        <f t="shared" si="23"/>
        <v>760546338.98484862</v>
      </c>
      <c r="K53" s="49">
        <f t="shared" si="23"/>
        <v>831657198.50000012</v>
      </c>
      <c r="L53" s="49">
        <f t="shared" si="23"/>
        <v>731546338.98484862</v>
      </c>
      <c r="M53" s="49">
        <f t="shared" si="23"/>
        <v>752546338.98484862</v>
      </c>
      <c r="N53" s="49">
        <f t="shared" si="23"/>
        <v>733196338.98484862</v>
      </c>
      <c r="O53" s="49">
        <f t="shared" si="23"/>
        <v>731546338.98484862</v>
      </c>
      <c r="P53" s="49">
        <f t="shared" si="23"/>
        <v>731546338.98484862</v>
      </c>
      <c r="Q53" s="49">
        <f t="shared" si="23"/>
        <v>744196338.98484862</v>
      </c>
      <c r="R53" s="49">
        <f t="shared" si="23"/>
        <v>731546338.98484862</v>
      </c>
      <c r="S53" s="49">
        <f t="shared" si="23"/>
        <v>731546338.98484862</v>
      </c>
      <c r="T53" s="49">
        <f t="shared" si="23"/>
        <v>733196338.98484862</v>
      </c>
      <c r="U53" s="1328"/>
      <c r="V53" s="3"/>
    </row>
    <row r="54" spans="1:24" s="39" customFormat="1" ht="5.15" customHeight="1" x14ac:dyDescent="0.35">
      <c r="A54" s="41"/>
      <c r="B54" s="48"/>
      <c r="C54" s="71"/>
      <c r="D54" s="192"/>
      <c r="E54" s="71"/>
      <c r="F54" s="192">
        <v>0</v>
      </c>
      <c r="G54" s="46"/>
      <c r="H54" s="206"/>
      <c r="I54" s="59"/>
      <c r="J54" s="59"/>
      <c r="K54" s="59"/>
      <c r="L54" s="59"/>
      <c r="M54" s="59"/>
      <c r="N54" s="59"/>
      <c r="O54" s="59"/>
      <c r="P54" s="59"/>
      <c r="Q54" s="59"/>
      <c r="R54" s="59"/>
      <c r="S54" s="59"/>
      <c r="T54" s="59"/>
      <c r="U54" s="1334"/>
      <c r="V54" s="40"/>
    </row>
    <row r="55" spans="1:24" s="58" customFormat="1" ht="25" customHeight="1" x14ac:dyDescent="0.35">
      <c r="A55" s="982" t="s">
        <v>118</v>
      </c>
      <c r="B55" s="998"/>
      <c r="C55" s="984" t="s">
        <v>1012</v>
      </c>
      <c r="D55" s="1000"/>
      <c r="E55" s="23"/>
      <c r="F55" s="1000"/>
      <c r="G55" s="31"/>
      <c r="H55" s="1001"/>
      <c r="I55" s="32"/>
      <c r="J55" s="32"/>
      <c r="K55" s="32"/>
      <c r="L55" s="32"/>
      <c r="M55" s="32"/>
      <c r="N55" s="32"/>
      <c r="O55" s="32"/>
      <c r="P55" s="32"/>
      <c r="Q55" s="32"/>
      <c r="R55" s="31"/>
      <c r="S55" s="31"/>
      <c r="T55" s="31"/>
      <c r="U55" s="1331"/>
      <c r="V55" s="3"/>
    </row>
    <row r="56" spans="1:24" ht="25" customHeight="1" x14ac:dyDescent="0.35">
      <c r="A56" s="356" t="s">
        <v>117</v>
      </c>
      <c r="B56" s="30">
        <v>6427201</v>
      </c>
      <c r="C56" s="29" t="s">
        <v>116</v>
      </c>
      <c r="D56" s="345">
        <v>2522700000</v>
      </c>
      <c r="E56" s="188">
        <v>2033500000</v>
      </c>
      <c r="F56" s="202">
        <v>2734050000</v>
      </c>
      <c r="G56" s="225">
        <f>SUM(I56:T56)</f>
        <v>2689516500</v>
      </c>
      <c r="H56" s="222">
        <f t="shared" ref="H56:H77" si="24">IF(F56=0,0,(G56-F56)/F56)</f>
        <v>-1.6288473144236572E-2</v>
      </c>
      <c r="I56" s="27">
        <f>196650000*1.1</f>
        <v>216315000.00000003</v>
      </c>
      <c r="J56" s="27">
        <f>(I56+65550000)*1.1</f>
        <v>310051500</v>
      </c>
      <c r="K56" s="27">
        <f>196650000*1.1</f>
        <v>216315000.00000003</v>
      </c>
      <c r="L56" s="27">
        <f t="shared" ref="L56:S56" si="25">K56</f>
        <v>216315000.00000003</v>
      </c>
      <c r="M56" s="27">
        <f t="shared" si="25"/>
        <v>216315000.00000003</v>
      </c>
      <c r="N56" s="27">
        <f t="shared" si="25"/>
        <v>216315000.00000003</v>
      </c>
      <c r="O56" s="27">
        <f t="shared" si="25"/>
        <v>216315000.00000003</v>
      </c>
      <c r="P56" s="27">
        <f t="shared" si="25"/>
        <v>216315000.00000003</v>
      </c>
      <c r="Q56" s="27">
        <f t="shared" si="25"/>
        <v>216315000.00000003</v>
      </c>
      <c r="R56" s="27">
        <f t="shared" si="25"/>
        <v>216315000.00000003</v>
      </c>
      <c r="S56" s="27">
        <f t="shared" si="25"/>
        <v>216315000.00000003</v>
      </c>
      <c r="T56" s="27">
        <f>S56</f>
        <v>216315000.00000003</v>
      </c>
      <c r="U56" s="1333" t="s">
        <v>1043</v>
      </c>
      <c r="V56" s="3">
        <v>2522700000</v>
      </c>
      <c r="W56" s="22"/>
      <c r="X56" s="22"/>
    </row>
    <row r="57" spans="1:24" ht="25" customHeight="1" x14ac:dyDescent="0.35">
      <c r="A57" s="356" t="s">
        <v>115</v>
      </c>
      <c r="B57" s="30">
        <v>6427202</v>
      </c>
      <c r="C57" s="29" t="s">
        <v>114</v>
      </c>
      <c r="D57" s="345">
        <v>3189200000</v>
      </c>
      <c r="E57" s="188">
        <v>2242000000</v>
      </c>
      <c r="F57" s="202">
        <v>3206060000</v>
      </c>
      <c r="G57" s="225">
        <f>SUM(I57:T57)</f>
        <v>3129038000</v>
      </c>
      <c r="H57" s="222">
        <f t="shared" si="24"/>
        <v>-2.4023879777671037E-2</v>
      </c>
      <c r="I57" s="27">
        <f>224200000*1.1</f>
        <v>246620000.00000003</v>
      </c>
      <c r="J57" s="27">
        <f>(220200000+22020000*5)*1.1</f>
        <v>363330000</v>
      </c>
      <c r="K57" s="27">
        <f>220200000*1.1</f>
        <v>242220000.00000003</v>
      </c>
      <c r="L57" s="27">
        <f>(220200000+22020000*2)*1.1</f>
        <v>290664000</v>
      </c>
      <c r="M57" s="27">
        <f>(220200000+22020000*1)*1.1</f>
        <v>266442000.00000003</v>
      </c>
      <c r="N57" s="27">
        <f>220200000*1.1</f>
        <v>242220000.00000003</v>
      </c>
      <c r="O57" s="27">
        <f>220200000*1.1</f>
        <v>242220000.00000003</v>
      </c>
      <c r="P57" s="27">
        <f>220200000*1.1</f>
        <v>242220000.00000003</v>
      </c>
      <c r="Q57" s="27">
        <f>220200000*1.1</f>
        <v>242220000.00000003</v>
      </c>
      <c r="R57" s="27">
        <f>(220200000+22020000)*1.1</f>
        <v>266442000.00000003</v>
      </c>
      <c r="S57" s="27">
        <f>220200000*1.1</f>
        <v>242220000.00000003</v>
      </c>
      <c r="T57" s="27">
        <f>220200000*1.1</f>
        <v>242220000.00000003</v>
      </c>
      <c r="U57" s="1333" t="s">
        <v>1042</v>
      </c>
      <c r="V57" s="3">
        <v>3189200000</v>
      </c>
      <c r="W57" s="860"/>
    </row>
    <row r="58" spans="1:24" ht="25" customHeight="1" x14ac:dyDescent="0.35">
      <c r="A58" s="356" t="s">
        <v>107</v>
      </c>
      <c r="B58" s="30"/>
      <c r="C58" s="29" t="s">
        <v>106</v>
      </c>
      <c r="D58" s="345">
        <f>SUM(D59:D60)</f>
        <v>93600000</v>
      </c>
      <c r="E58" s="188">
        <v>78000000</v>
      </c>
      <c r="F58" s="202">
        <v>102960000</v>
      </c>
      <c r="G58" s="221">
        <f>SUM(G59:G60)</f>
        <v>108108000</v>
      </c>
      <c r="H58" s="222">
        <f t="shared" si="24"/>
        <v>0.05</v>
      </c>
      <c r="I58" s="27">
        <f>SUM(I59:I60)</f>
        <v>9009000</v>
      </c>
      <c r="J58" s="27">
        <f t="shared" ref="J58:T58" si="26">SUM(J59:J60)</f>
        <v>9009000</v>
      </c>
      <c r="K58" s="27">
        <f t="shared" si="26"/>
        <v>9009000</v>
      </c>
      <c r="L58" s="27">
        <f t="shared" si="26"/>
        <v>9009000</v>
      </c>
      <c r="M58" s="27">
        <f t="shared" si="26"/>
        <v>9009000</v>
      </c>
      <c r="N58" s="27">
        <f t="shared" si="26"/>
        <v>9009000</v>
      </c>
      <c r="O58" s="27">
        <f t="shared" si="26"/>
        <v>9009000</v>
      </c>
      <c r="P58" s="27">
        <f t="shared" si="26"/>
        <v>9009000</v>
      </c>
      <c r="Q58" s="27">
        <f t="shared" si="26"/>
        <v>9009000</v>
      </c>
      <c r="R58" s="27">
        <f t="shared" si="26"/>
        <v>9009000</v>
      </c>
      <c r="S58" s="27">
        <f t="shared" si="26"/>
        <v>9009000</v>
      </c>
      <c r="T58" s="27">
        <f t="shared" si="26"/>
        <v>9009000</v>
      </c>
      <c r="U58" s="1333"/>
      <c r="V58" s="3" t="s">
        <v>530</v>
      </c>
    </row>
    <row r="59" spans="1:24" ht="25" customHeight="1" x14ac:dyDescent="0.35">
      <c r="A59" s="357" t="s">
        <v>105</v>
      </c>
      <c r="B59" s="57">
        <v>6427203</v>
      </c>
      <c r="C59" s="70" t="s">
        <v>104</v>
      </c>
      <c r="D59" s="346">
        <v>93600000</v>
      </c>
      <c r="E59" s="188">
        <v>78000000</v>
      </c>
      <c r="F59" s="203">
        <v>102960000</v>
      </c>
      <c r="G59" s="226">
        <f>SUM(I59:T59)</f>
        <v>108108000</v>
      </c>
      <c r="H59" s="227">
        <f t="shared" si="24"/>
        <v>0.05</v>
      </c>
      <c r="I59" s="55">
        <f>7800000*1.05*1.1</f>
        <v>9009000</v>
      </c>
      <c r="J59" s="55">
        <f>I59</f>
        <v>9009000</v>
      </c>
      <c r="K59" s="55">
        <f>J59</f>
        <v>9009000</v>
      </c>
      <c r="L59" s="55">
        <f>K59</f>
        <v>9009000</v>
      </c>
      <c r="M59" s="55">
        <f>L59</f>
        <v>9009000</v>
      </c>
      <c r="N59" s="55">
        <f t="shared" ref="N59:T59" si="27">M59</f>
        <v>9009000</v>
      </c>
      <c r="O59" s="55">
        <f t="shared" si="27"/>
        <v>9009000</v>
      </c>
      <c r="P59" s="55">
        <f t="shared" si="27"/>
        <v>9009000</v>
      </c>
      <c r="Q59" s="55">
        <f t="shared" si="27"/>
        <v>9009000</v>
      </c>
      <c r="R59" s="55">
        <f t="shared" si="27"/>
        <v>9009000</v>
      </c>
      <c r="S59" s="55">
        <f t="shared" si="27"/>
        <v>9009000</v>
      </c>
      <c r="T59" s="55">
        <f t="shared" si="27"/>
        <v>9009000</v>
      </c>
      <c r="U59" s="1335" t="s">
        <v>514</v>
      </c>
      <c r="V59" s="3"/>
    </row>
    <row r="60" spans="1:24" ht="25" customHeight="1" x14ac:dyDescent="0.35">
      <c r="A60" s="357" t="s">
        <v>103</v>
      </c>
      <c r="B60" s="57">
        <v>6427203</v>
      </c>
      <c r="C60" s="70" t="s">
        <v>102</v>
      </c>
      <c r="D60" s="346">
        <v>0</v>
      </c>
      <c r="E60" s="188">
        <v>0</v>
      </c>
      <c r="F60" s="203">
        <v>0</v>
      </c>
      <c r="G60" s="226">
        <f>SUM(I60:T60)</f>
        <v>0</v>
      </c>
      <c r="H60" s="227">
        <f t="shared" si="24"/>
        <v>0</v>
      </c>
      <c r="I60" s="55">
        <v>0</v>
      </c>
      <c r="J60" s="55">
        <v>0</v>
      </c>
      <c r="K60" s="55">
        <v>0</v>
      </c>
      <c r="L60" s="55">
        <v>0</v>
      </c>
      <c r="M60" s="55">
        <v>0</v>
      </c>
      <c r="N60" s="55">
        <v>0</v>
      </c>
      <c r="O60" s="55">
        <v>0</v>
      </c>
      <c r="P60" s="55">
        <v>0</v>
      </c>
      <c r="Q60" s="55">
        <v>0</v>
      </c>
      <c r="R60" s="55">
        <v>0</v>
      </c>
      <c r="S60" s="55">
        <v>0</v>
      </c>
      <c r="T60" s="55">
        <v>0</v>
      </c>
      <c r="U60" s="1335"/>
      <c r="V60" s="3"/>
    </row>
    <row r="61" spans="1:24" ht="25" customHeight="1" x14ac:dyDescent="0.35">
      <c r="A61" s="356" t="s">
        <v>101</v>
      </c>
      <c r="B61" s="30">
        <v>6427204</v>
      </c>
      <c r="C61" s="29" t="s">
        <v>100</v>
      </c>
      <c r="D61" s="345">
        <v>177600000</v>
      </c>
      <c r="E61" s="188">
        <v>146000000</v>
      </c>
      <c r="F61" s="202">
        <v>192500000</v>
      </c>
      <c r="G61" s="225">
        <f>SUM(I61:T61)</f>
        <v>198000000.00000003</v>
      </c>
      <c r="H61" s="222">
        <f t="shared" si="24"/>
        <v>2.8571428571428727E-2</v>
      </c>
      <c r="I61" s="27">
        <f>15000000*1.1</f>
        <v>16500000.000000002</v>
      </c>
      <c r="J61" s="27">
        <f>I61</f>
        <v>16500000.000000002</v>
      </c>
      <c r="K61" s="27">
        <f t="shared" ref="K61:T61" si="28">J61</f>
        <v>16500000.000000002</v>
      </c>
      <c r="L61" s="27">
        <f t="shared" si="28"/>
        <v>16500000.000000002</v>
      </c>
      <c r="M61" s="27">
        <f t="shared" si="28"/>
        <v>16500000.000000002</v>
      </c>
      <c r="N61" s="27">
        <f t="shared" si="28"/>
        <v>16500000.000000002</v>
      </c>
      <c r="O61" s="27">
        <f t="shared" si="28"/>
        <v>16500000.000000002</v>
      </c>
      <c r="P61" s="27">
        <f t="shared" si="28"/>
        <v>16500000.000000002</v>
      </c>
      <c r="Q61" s="27">
        <f t="shared" si="28"/>
        <v>16500000.000000002</v>
      </c>
      <c r="R61" s="27">
        <f t="shared" si="28"/>
        <v>16500000.000000002</v>
      </c>
      <c r="S61" s="27">
        <f t="shared" si="28"/>
        <v>16500000.000000002</v>
      </c>
      <c r="T61" s="27">
        <f t="shared" si="28"/>
        <v>16500000.000000002</v>
      </c>
      <c r="U61" s="1333" t="s">
        <v>515</v>
      </c>
      <c r="V61" s="3">
        <v>177600000</v>
      </c>
    </row>
    <row r="62" spans="1:24" ht="25" customHeight="1" x14ac:dyDescent="0.35">
      <c r="A62" s="356" t="s">
        <v>97</v>
      </c>
      <c r="B62" s="30"/>
      <c r="C62" s="29" t="s">
        <v>96</v>
      </c>
      <c r="D62" s="345">
        <f>SUM(D63:D64)</f>
        <v>446363632</v>
      </c>
      <c r="E62" s="188">
        <v>371736360</v>
      </c>
      <c r="F62" s="202">
        <v>515200000</v>
      </c>
      <c r="G62" s="225">
        <f>SUM(G63:G64)</f>
        <v>651200000</v>
      </c>
      <c r="H62" s="222">
        <f t="shared" si="24"/>
        <v>0.2639751552795031</v>
      </c>
      <c r="I62" s="28">
        <f t="shared" ref="I62:T62" si="29">SUM(I63:I64)</f>
        <v>45100000</v>
      </c>
      <c r="J62" s="28">
        <f t="shared" si="29"/>
        <v>45100000</v>
      </c>
      <c r="K62" s="28">
        <f t="shared" si="29"/>
        <v>72600000</v>
      </c>
      <c r="L62" s="28">
        <f t="shared" si="29"/>
        <v>45100000</v>
      </c>
      <c r="M62" s="28">
        <f t="shared" si="29"/>
        <v>45100000</v>
      </c>
      <c r="N62" s="28">
        <f t="shared" si="29"/>
        <v>72600000</v>
      </c>
      <c r="O62" s="28">
        <f t="shared" si="29"/>
        <v>45100000</v>
      </c>
      <c r="P62" s="27">
        <f t="shared" si="29"/>
        <v>45100000</v>
      </c>
      <c r="Q62" s="28">
        <f t="shared" si="29"/>
        <v>72600000</v>
      </c>
      <c r="R62" s="28">
        <f t="shared" si="29"/>
        <v>45100000</v>
      </c>
      <c r="S62" s="28">
        <f t="shared" si="29"/>
        <v>45100000</v>
      </c>
      <c r="T62" s="28">
        <f t="shared" si="29"/>
        <v>72600000</v>
      </c>
      <c r="U62" s="1333"/>
      <c r="V62" s="3" t="s">
        <v>530</v>
      </c>
    </row>
    <row r="63" spans="1:24" s="53" customFormat="1" ht="25" customHeight="1" x14ac:dyDescent="0.35">
      <c r="A63" s="357" t="s">
        <v>95</v>
      </c>
      <c r="B63" s="57">
        <v>6427205</v>
      </c>
      <c r="C63" s="70" t="s">
        <v>94</v>
      </c>
      <c r="D63" s="346">
        <v>436363632</v>
      </c>
      <c r="E63" s="188">
        <v>363636360</v>
      </c>
      <c r="F63" s="203">
        <v>506290000</v>
      </c>
      <c r="G63" s="226">
        <f t="shared" ref="G63:G76" si="30">SUM(I63:T63)</f>
        <v>541200000</v>
      </c>
      <c r="H63" s="227">
        <f t="shared" si="24"/>
        <v>6.8952576586541317E-2</v>
      </c>
      <c r="I63" s="55">
        <f>41000000*1.1</f>
        <v>45100000</v>
      </c>
      <c r="J63" s="55">
        <f>I63</f>
        <v>45100000</v>
      </c>
      <c r="K63" s="55">
        <f t="shared" ref="K63:T63" si="31">J63</f>
        <v>45100000</v>
      </c>
      <c r="L63" s="55">
        <f t="shared" si="31"/>
        <v>45100000</v>
      </c>
      <c r="M63" s="55">
        <f t="shared" si="31"/>
        <v>45100000</v>
      </c>
      <c r="N63" s="55">
        <f t="shared" si="31"/>
        <v>45100000</v>
      </c>
      <c r="O63" s="55">
        <f t="shared" si="31"/>
        <v>45100000</v>
      </c>
      <c r="P63" s="55">
        <f t="shared" si="31"/>
        <v>45100000</v>
      </c>
      <c r="Q63" s="55">
        <f t="shared" si="31"/>
        <v>45100000</v>
      </c>
      <c r="R63" s="55">
        <f t="shared" si="31"/>
        <v>45100000</v>
      </c>
      <c r="S63" s="55">
        <f t="shared" si="31"/>
        <v>45100000</v>
      </c>
      <c r="T63" s="55">
        <f t="shared" si="31"/>
        <v>45100000</v>
      </c>
      <c r="U63" s="1335"/>
      <c r="V63" s="54"/>
    </row>
    <row r="64" spans="1:24" s="53" customFormat="1" ht="25" customHeight="1" x14ac:dyDescent="0.35">
      <c r="A64" s="357" t="s">
        <v>93</v>
      </c>
      <c r="B64" s="57">
        <v>6427205</v>
      </c>
      <c r="C64" s="70" t="s">
        <v>92</v>
      </c>
      <c r="D64" s="346">
        <v>10000000</v>
      </c>
      <c r="E64" s="188">
        <v>8100000</v>
      </c>
      <c r="F64" s="203">
        <v>8910000</v>
      </c>
      <c r="G64" s="226">
        <f t="shared" si="30"/>
        <v>110000000.00000001</v>
      </c>
      <c r="H64" s="227">
        <f t="shared" si="24"/>
        <v>11.345679012345681</v>
      </c>
      <c r="I64" s="55">
        <v>0</v>
      </c>
      <c r="J64" s="55">
        <v>0</v>
      </c>
      <c r="K64" s="55">
        <f>25000000*1.1</f>
        <v>27500000.000000004</v>
      </c>
      <c r="L64" s="55">
        <v>0</v>
      </c>
      <c r="M64" s="55">
        <v>0</v>
      </c>
      <c r="N64" s="55">
        <f>25000000*1.1</f>
        <v>27500000.000000004</v>
      </c>
      <c r="O64" s="55">
        <v>0</v>
      </c>
      <c r="P64" s="55"/>
      <c r="Q64" s="55">
        <f>25000000*1.1</f>
        <v>27500000.000000004</v>
      </c>
      <c r="R64" s="55"/>
      <c r="S64" s="55">
        <v>0</v>
      </c>
      <c r="T64" s="55">
        <f>25000000*1.1</f>
        <v>27500000.000000004</v>
      </c>
      <c r="U64" s="1335"/>
      <c r="V64" s="54"/>
    </row>
    <row r="65" spans="1:24" ht="25" customHeight="1" x14ac:dyDescent="0.35">
      <c r="A65" s="356" t="s">
        <v>91</v>
      </c>
      <c r="B65" s="30">
        <v>6427206</v>
      </c>
      <c r="C65" s="29" t="s">
        <v>90</v>
      </c>
      <c r="D65" s="345">
        <v>45360000</v>
      </c>
      <c r="E65" s="188">
        <v>37800000</v>
      </c>
      <c r="F65" s="202">
        <v>49738000</v>
      </c>
      <c r="G65" s="225">
        <f t="shared" si="30"/>
        <v>49896000.000000007</v>
      </c>
      <c r="H65" s="222">
        <f t="shared" si="24"/>
        <v>3.1766456230650098E-3</v>
      </c>
      <c r="I65" s="27">
        <f>3780000*1.1</f>
        <v>4158000.0000000005</v>
      </c>
      <c r="J65" s="27">
        <f>I65</f>
        <v>4158000.0000000005</v>
      </c>
      <c r="K65" s="27">
        <f t="shared" ref="K65:T65" si="32">J65</f>
        <v>4158000.0000000005</v>
      </c>
      <c r="L65" s="27">
        <f t="shared" si="32"/>
        <v>4158000.0000000005</v>
      </c>
      <c r="M65" s="27">
        <f t="shared" si="32"/>
        <v>4158000.0000000005</v>
      </c>
      <c r="N65" s="27">
        <f t="shared" si="32"/>
        <v>4158000.0000000005</v>
      </c>
      <c r="O65" s="27">
        <f t="shared" si="32"/>
        <v>4158000.0000000005</v>
      </c>
      <c r="P65" s="27">
        <f t="shared" si="32"/>
        <v>4158000.0000000005</v>
      </c>
      <c r="Q65" s="27">
        <f t="shared" si="32"/>
        <v>4158000.0000000005</v>
      </c>
      <c r="R65" s="27">
        <f t="shared" si="32"/>
        <v>4158000.0000000005</v>
      </c>
      <c r="S65" s="27">
        <f t="shared" si="32"/>
        <v>4158000.0000000005</v>
      </c>
      <c r="T65" s="27">
        <f t="shared" si="32"/>
        <v>4158000.0000000005</v>
      </c>
      <c r="U65" s="1333" t="s">
        <v>516</v>
      </c>
      <c r="V65" s="3" t="s">
        <v>530</v>
      </c>
    </row>
    <row r="66" spans="1:24" ht="25" customHeight="1" x14ac:dyDescent="0.35">
      <c r="A66" s="356" t="s">
        <v>89</v>
      </c>
      <c r="B66" s="30">
        <v>642801</v>
      </c>
      <c r="C66" s="29" t="s">
        <v>916</v>
      </c>
      <c r="D66" s="345">
        <v>90000000</v>
      </c>
      <c r="E66" s="188">
        <v>29991000</v>
      </c>
      <c r="F66" s="202">
        <v>103481600</v>
      </c>
      <c r="G66" s="225">
        <f t="shared" si="30"/>
        <v>132000000.00000001</v>
      </c>
      <c r="H66" s="222">
        <f t="shared" si="24"/>
        <v>0.27558909023439931</v>
      </c>
      <c r="I66" s="27">
        <v>0</v>
      </c>
      <c r="J66" s="27">
        <f>30000000*1.1</f>
        <v>33000000.000000004</v>
      </c>
      <c r="K66" s="27">
        <v>0</v>
      </c>
      <c r="L66" s="27">
        <v>0</v>
      </c>
      <c r="M66" s="27">
        <v>0</v>
      </c>
      <c r="N66" s="27">
        <v>0</v>
      </c>
      <c r="O66" s="27">
        <v>0</v>
      </c>
      <c r="P66" s="27">
        <v>0</v>
      </c>
      <c r="Q66" s="27">
        <f>30000000*1.1</f>
        <v>33000000.000000004</v>
      </c>
      <c r="R66" s="27">
        <v>0</v>
      </c>
      <c r="S66" s="27">
        <v>0</v>
      </c>
      <c r="T66" s="27">
        <f>60000000*1.1</f>
        <v>66000000.000000007</v>
      </c>
      <c r="U66" s="1333" t="s">
        <v>917</v>
      </c>
      <c r="V66" s="3" t="s">
        <v>530</v>
      </c>
    </row>
    <row r="67" spans="1:24" ht="25" customHeight="1" x14ac:dyDescent="0.35">
      <c r="A67" s="356" t="s">
        <v>113</v>
      </c>
      <c r="B67" s="30">
        <v>6427211</v>
      </c>
      <c r="C67" s="29" t="s">
        <v>112</v>
      </c>
      <c r="D67" s="345">
        <v>81170796</v>
      </c>
      <c r="E67" s="188">
        <v>78369592</v>
      </c>
      <c r="F67" s="202">
        <v>119098950</v>
      </c>
      <c r="G67" s="225">
        <f t="shared" ref="G67:G73" si="33">SUM(I67:T67)</f>
        <v>109640068.26666671</v>
      </c>
      <c r="H67" s="222">
        <f>IF(F67=0,0,(G67-F67)/F67)</f>
        <v>-7.942036208827441E-2</v>
      </c>
      <c r="I67" s="27">
        <f>74754592/9*1.1</f>
        <v>9136672.3555555567</v>
      </c>
      <c r="J67" s="27">
        <f t="shared" ref="J67:T67" si="34">$I$67</f>
        <v>9136672.3555555567</v>
      </c>
      <c r="K67" s="27">
        <f t="shared" si="34"/>
        <v>9136672.3555555567</v>
      </c>
      <c r="L67" s="27">
        <f t="shared" si="34"/>
        <v>9136672.3555555567</v>
      </c>
      <c r="M67" s="27">
        <f t="shared" si="34"/>
        <v>9136672.3555555567</v>
      </c>
      <c r="N67" s="27">
        <f t="shared" si="34"/>
        <v>9136672.3555555567</v>
      </c>
      <c r="O67" s="27">
        <f t="shared" si="34"/>
        <v>9136672.3555555567</v>
      </c>
      <c r="P67" s="27">
        <f t="shared" si="34"/>
        <v>9136672.3555555567</v>
      </c>
      <c r="Q67" s="27">
        <f t="shared" si="34"/>
        <v>9136672.3555555567</v>
      </c>
      <c r="R67" s="27">
        <f t="shared" si="34"/>
        <v>9136672.3555555567</v>
      </c>
      <c r="S67" s="27">
        <f t="shared" si="34"/>
        <v>9136672.3555555567</v>
      </c>
      <c r="T67" s="27">
        <f t="shared" si="34"/>
        <v>9136672.3555555567</v>
      </c>
      <c r="U67" s="1333" t="s">
        <v>517</v>
      </c>
      <c r="V67" s="3" t="s">
        <v>530</v>
      </c>
    </row>
    <row r="68" spans="1:24" ht="25" customHeight="1" x14ac:dyDescent="0.35">
      <c r="A68" s="356" t="s">
        <v>84</v>
      </c>
      <c r="B68" s="30">
        <v>6427209</v>
      </c>
      <c r="C68" s="29" t="s">
        <v>83</v>
      </c>
      <c r="D68" s="345">
        <v>492000000</v>
      </c>
      <c r="E68" s="188">
        <v>410000000</v>
      </c>
      <c r="F68" s="202">
        <v>594220000</v>
      </c>
      <c r="G68" s="225">
        <f t="shared" si="33"/>
        <v>514800000</v>
      </c>
      <c r="H68" s="222">
        <f>IF(F68=0,0,(G68-F68)/F68)</f>
        <v>-0.13365420214735282</v>
      </c>
      <c r="I68" s="27">
        <f>39000000*1.1</f>
        <v>42900000</v>
      </c>
      <c r="J68" s="27">
        <f t="shared" ref="J68:T69" si="35">I68</f>
        <v>42900000</v>
      </c>
      <c r="K68" s="27">
        <f t="shared" si="35"/>
        <v>42900000</v>
      </c>
      <c r="L68" s="27">
        <f t="shared" si="35"/>
        <v>42900000</v>
      </c>
      <c r="M68" s="27">
        <f t="shared" si="35"/>
        <v>42900000</v>
      </c>
      <c r="N68" s="27">
        <f t="shared" si="35"/>
        <v>42900000</v>
      </c>
      <c r="O68" s="27">
        <f t="shared" si="35"/>
        <v>42900000</v>
      </c>
      <c r="P68" s="27">
        <f t="shared" si="35"/>
        <v>42900000</v>
      </c>
      <c r="Q68" s="27">
        <f t="shared" si="35"/>
        <v>42900000</v>
      </c>
      <c r="R68" s="27">
        <f t="shared" si="35"/>
        <v>42900000</v>
      </c>
      <c r="S68" s="27">
        <f t="shared" si="35"/>
        <v>42900000</v>
      </c>
      <c r="T68" s="27">
        <f t="shared" si="35"/>
        <v>42900000</v>
      </c>
      <c r="U68" s="1333"/>
      <c r="V68" s="3" t="s">
        <v>530</v>
      </c>
    </row>
    <row r="69" spans="1:24" ht="25" customHeight="1" x14ac:dyDescent="0.35">
      <c r="A69" s="356" t="s">
        <v>87</v>
      </c>
      <c r="B69" s="30">
        <v>6427207</v>
      </c>
      <c r="C69" s="29" t="s">
        <v>86</v>
      </c>
      <c r="D69" s="345">
        <v>445280000</v>
      </c>
      <c r="E69" s="188">
        <v>316081167.09090906</v>
      </c>
      <c r="F69" s="202">
        <v>791137123</v>
      </c>
      <c r="G69" s="225">
        <f t="shared" si="33"/>
        <v>276357103.55000001</v>
      </c>
      <c r="H69" s="222">
        <f t="shared" si="24"/>
        <v>-0.65068368615790517</v>
      </c>
      <c r="I69" s="27">
        <v>0</v>
      </c>
      <c r="J69" s="27">
        <v>0</v>
      </c>
      <c r="K69" s="27">
        <v>0</v>
      </c>
      <c r="L69" s="27">
        <v>0</v>
      </c>
      <c r="M69" s="27">
        <v>0</v>
      </c>
      <c r="N69" s="27">
        <v>0</v>
      </c>
      <c r="O69" s="27">
        <f>502467461/14*1.1*7</f>
        <v>276357103.55000001</v>
      </c>
      <c r="P69" s="27">
        <v>0</v>
      </c>
      <c r="Q69" s="27">
        <f t="shared" si="35"/>
        <v>0</v>
      </c>
      <c r="R69" s="27">
        <f t="shared" si="35"/>
        <v>0</v>
      </c>
      <c r="S69" s="27">
        <f t="shared" si="35"/>
        <v>0</v>
      </c>
      <c r="T69" s="27">
        <f t="shared" si="35"/>
        <v>0</v>
      </c>
      <c r="U69" s="1333"/>
      <c r="V69" s="3" t="s">
        <v>530</v>
      </c>
    </row>
    <row r="70" spans="1:24" ht="25" customHeight="1" x14ac:dyDescent="0.35">
      <c r="A70" s="356" t="s">
        <v>111</v>
      </c>
      <c r="B70" s="30"/>
      <c r="C70" s="29" t="s">
        <v>110</v>
      </c>
      <c r="D70" s="345">
        <v>0</v>
      </c>
      <c r="E70" s="188">
        <v>0</v>
      </c>
      <c r="F70" s="202">
        <v>224400000</v>
      </c>
      <c r="G70" s="225">
        <f t="shared" si="33"/>
        <v>411400000.00000006</v>
      </c>
      <c r="H70" s="222">
        <f>IF(F70=0,0,(G70-F70)/F70)</f>
        <v>0.83333333333333359</v>
      </c>
      <c r="I70" s="27">
        <f>'[84]Budget Fro Aug To Dec2017'!O61/9</f>
        <v>0</v>
      </c>
      <c r="J70" s="27">
        <v>0</v>
      </c>
      <c r="K70" s="27">
        <v>0</v>
      </c>
      <c r="L70" s="27">
        <v>0</v>
      </c>
      <c r="M70" s="27">
        <v>0</v>
      </c>
      <c r="N70" s="27">
        <v>0</v>
      </c>
      <c r="O70" s="27">
        <v>0</v>
      </c>
      <c r="P70" s="27">
        <v>0</v>
      </c>
      <c r="Q70" s="27">
        <v>0</v>
      </c>
      <c r="R70" s="27">
        <v>0</v>
      </c>
      <c r="S70" s="27">
        <f>374000000*1.1</f>
        <v>411400000.00000006</v>
      </c>
      <c r="T70" s="27">
        <v>0</v>
      </c>
      <c r="U70" s="1333"/>
      <c r="V70" s="3" t="s">
        <v>535</v>
      </c>
    </row>
    <row r="71" spans="1:24" ht="25" customHeight="1" x14ac:dyDescent="0.35">
      <c r="A71" s="356" t="s">
        <v>99</v>
      </c>
      <c r="B71" s="30">
        <v>6427204</v>
      </c>
      <c r="C71" s="29" t="s">
        <v>98</v>
      </c>
      <c r="D71" s="345">
        <v>0</v>
      </c>
      <c r="E71" s="188">
        <v>11009091</v>
      </c>
      <c r="F71" s="202">
        <v>9360000</v>
      </c>
      <c r="G71" s="225">
        <f t="shared" si="33"/>
        <v>9900000.0000000019</v>
      </c>
      <c r="H71" s="222">
        <f>IF(F71=0,0,(G71-F71)/F71)</f>
        <v>5.769230769230789E-2</v>
      </c>
      <c r="I71" s="27">
        <v>0</v>
      </c>
      <c r="J71" s="27">
        <v>0</v>
      </c>
      <c r="K71" s="27">
        <v>0</v>
      </c>
      <c r="L71" s="27">
        <f>3000000*1.1</f>
        <v>3300000.0000000005</v>
      </c>
      <c r="M71" s="27">
        <v>0</v>
      </c>
      <c r="N71" s="27">
        <v>0</v>
      </c>
      <c r="O71" s="27">
        <f>3000000*1.1</f>
        <v>3300000.0000000005</v>
      </c>
      <c r="P71" s="27">
        <v>0</v>
      </c>
      <c r="Q71" s="27">
        <v>0</v>
      </c>
      <c r="R71" s="27">
        <v>0</v>
      </c>
      <c r="S71" s="27">
        <f>3000000*1.1</f>
        <v>3300000.0000000005</v>
      </c>
      <c r="T71" s="27"/>
      <c r="U71" s="1333"/>
      <c r="V71" s="3" t="s">
        <v>536</v>
      </c>
    </row>
    <row r="72" spans="1:24" ht="25" customHeight="1" x14ac:dyDescent="0.35">
      <c r="A72" s="356" t="s">
        <v>88</v>
      </c>
      <c r="B72" s="30">
        <v>642802</v>
      </c>
      <c r="C72" s="29" t="s">
        <v>233</v>
      </c>
      <c r="D72" s="345">
        <v>152800000</v>
      </c>
      <c r="E72" s="188">
        <v>96300388</v>
      </c>
      <c r="F72" s="200">
        <v>141466153</v>
      </c>
      <c r="G72" s="225">
        <f t="shared" si="33"/>
        <v>73050000</v>
      </c>
      <c r="H72" s="222">
        <f>IF(F72=0,0,(G72-F72)/F72)</f>
        <v>-0.48362206470688435</v>
      </c>
      <c r="I72" s="27">
        <f>1000000+350000</f>
        <v>1350000</v>
      </c>
      <c r="J72" s="27">
        <v>1000000</v>
      </c>
      <c r="K72" s="27">
        <v>1000000</v>
      </c>
      <c r="L72" s="27">
        <f>1000000+350000</f>
        <v>1350000</v>
      </c>
      <c r="M72" s="27">
        <v>1000000</v>
      </c>
      <c r="N72" s="27">
        <v>1000000</v>
      </c>
      <c r="O72" s="27">
        <f>1000000+60000000</f>
        <v>61000000</v>
      </c>
      <c r="P72" s="27">
        <v>1000000</v>
      </c>
      <c r="Q72" s="27">
        <v>1000000</v>
      </c>
      <c r="R72" s="27">
        <f>1000000+350000</f>
        <v>1350000</v>
      </c>
      <c r="S72" s="27">
        <v>1000000</v>
      </c>
      <c r="T72" s="27">
        <v>1000000</v>
      </c>
      <c r="U72" s="1333" t="s">
        <v>451</v>
      </c>
      <c r="V72" s="3" t="s">
        <v>530</v>
      </c>
    </row>
    <row r="73" spans="1:24" ht="25" customHeight="1" x14ac:dyDescent="0.35">
      <c r="A73" s="356" t="s">
        <v>85</v>
      </c>
      <c r="B73" s="30">
        <v>6427208</v>
      </c>
      <c r="C73" s="29" t="s">
        <v>234</v>
      </c>
      <c r="D73" s="345">
        <v>299607660</v>
      </c>
      <c r="E73" s="188">
        <v>271373362.54545456</v>
      </c>
      <c r="F73" s="202">
        <v>327706616</v>
      </c>
      <c r="G73" s="225">
        <f t="shared" si="33"/>
        <v>0</v>
      </c>
      <c r="H73" s="222">
        <f t="shared" si="24"/>
        <v>-1</v>
      </c>
      <c r="I73" s="27">
        <v>0</v>
      </c>
      <c r="J73" s="27">
        <f>I73</f>
        <v>0</v>
      </c>
      <c r="K73" s="27">
        <f t="shared" ref="K73:T76" si="36">J73</f>
        <v>0</v>
      </c>
      <c r="L73" s="27">
        <f t="shared" si="36"/>
        <v>0</v>
      </c>
      <c r="M73" s="27">
        <f t="shared" si="36"/>
        <v>0</v>
      </c>
      <c r="N73" s="27">
        <f t="shared" si="36"/>
        <v>0</v>
      </c>
      <c r="O73" s="27">
        <f t="shared" si="36"/>
        <v>0</v>
      </c>
      <c r="P73" s="27">
        <f t="shared" si="36"/>
        <v>0</v>
      </c>
      <c r="Q73" s="27">
        <f t="shared" si="36"/>
        <v>0</v>
      </c>
      <c r="R73" s="27">
        <f t="shared" si="36"/>
        <v>0</v>
      </c>
      <c r="S73" s="27">
        <f t="shared" si="36"/>
        <v>0</v>
      </c>
      <c r="T73" s="27">
        <f t="shared" si="36"/>
        <v>0</v>
      </c>
      <c r="U73" s="1333"/>
      <c r="V73" s="3" t="s">
        <v>530</v>
      </c>
    </row>
    <row r="74" spans="1:24" ht="25" customHeight="1" x14ac:dyDescent="0.35">
      <c r="A74" s="356" t="s">
        <v>82</v>
      </c>
      <c r="B74" s="30">
        <v>6427210</v>
      </c>
      <c r="C74" s="29" t="s">
        <v>81</v>
      </c>
      <c r="D74" s="345">
        <v>92400000</v>
      </c>
      <c r="E74" s="188">
        <v>73958400</v>
      </c>
      <c r="F74" s="202">
        <v>94505730</v>
      </c>
      <c r="G74" s="225">
        <f t="shared" ref="G74" si="37">SUM(I74:T74)</f>
        <v>72000000</v>
      </c>
      <c r="H74" s="222">
        <f t="shared" si="24"/>
        <v>-0.23814143332896323</v>
      </c>
      <c r="I74" s="27">
        <v>31000000</v>
      </c>
      <c r="J74" s="27">
        <v>1000000</v>
      </c>
      <c r="K74" s="27">
        <v>1000000</v>
      </c>
      <c r="L74" s="27">
        <f>K74+500*60000</f>
        <v>31000000</v>
      </c>
      <c r="M74" s="27">
        <v>1000000</v>
      </c>
      <c r="N74" s="27">
        <v>1000000</v>
      </c>
      <c r="O74" s="27">
        <v>1000000</v>
      </c>
      <c r="P74" s="27">
        <v>1000000</v>
      </c>
      <c r="Q74" s="27">
        <v>1000000</v>
      </c>
      <c r="R74" s="27">
        <v>1000000</v>
      </c>
      <c r="S74" s="27">
        <v>1000000</v>
      </c>
      <c r="T74" s="27">
        <v>1000000</v>
      </c>
      <c r="U74" s="1333" t="s">
        <v>915</v>
      </c>
      <c r="V74" s="3" t="s">
        <v>530</v>
      </c>
    </row>
    <row r="75" spans="1:24" ht="25" customHeight="1" x14ac:dyDescent="0.35">
      <c r="A75" s="356" t="s">
        <v>109</v>
      </c>
      <c r="B75" s="30"/>
      <c r="C75" s="29" t="s">
        <v>108</v>
      </c>
      <c r="D75" s="345">
        <v>0</v>
      </c>
      <c r="E75" s="188">
        <v>0</v>
      </c>
      <c r="F75" s="202">
        <v>0</v>
      </c>
      <c r="G75" s="225">
        <f>SUM(I75:T75)</f>
        <v>0</v>
      </c>
      <c r="H75" s="222">
        <f>IF(F75=0,0,(G75-F75)/F75)</f>
        <v>0</v>
      </c>
      <c r="I75" s="27">
        <f>'[84]Budget Fro Aug To Dec2017'!O62/9</f>
        <v>0</v>
      </c>
      <c r="J75" s="27">
        <v>0</v>
      </c>
      <c r="K75" s="27">
        <v>0</v>
      </c>
      <c r="L75" s="27">
        <v>0</v>
      </c>
      <c r="M75" s="27">
        <v>0</v>
      </c>
      <c r="N75" s="27">
        <v>0</v>
      </c>
      <c r="O75" s="27">
        <v>0</v>
      </c>
      <c r="P75" s="27">
        <v>0</v>
      </c>
      <c r="Q75" s="27">
        <v>0</v>
      </c>
      <c r="R75" s="27">
        <v>0</v>
      </c>
      <c r="S75" s="27">
        <v>0</v>
      </c>
      <c r="T75" s="27">
        <v>0</v>
      </c>
      <c r="U75" s="1333"/>
      <c r="V75" s="3"/>
    </row>
    <row r="76" spans="1:24" ht="25" customHeight="1" x14ac:dyDescent="0.35">
      <c r="A76" s="356" t="s">
        <v>1011</v>
      </c>
      <c r="B76" s="30">
        <v>6427210</v>
      </c>
      <c r="C76" s="29" t="s">
        <v>971</v>
      </c>
      <c r="D76" s="345">
        <v>92400000</v>
      </c>
      <c r="E76" s="188">
        <v>73958400</v>
      </c>
      <c r="F76" s="202">
        <v>0</v>
      </c>
      <c r="G76" s="225">
        <f t="shared" si="30"/>
        <v>88000000</v>
      </c>
      <c r="H76" s="222">
        <f t="shared" si="24"/>
        <v>0</v>
      </c>
      <c r="I76" s="27">
        <v>0</v>
      </c>
      <c r="J76" s="27">
        <v>0</v>
      </c>
      <c r="K76" s="27">
        <f>8000000*1.1</f>
        <v>8800000</v>
      </c>
      <c r="L76" s="27">
        <f>K76</f>
        <v>8800000</v>
      </c>
      <c r="M76" s="27">
        <f t="shared" ref="M76" si="38">L76</f>
        <v>8800000</v>
      </c>
      <c r="N76" s="27">
        <f t="shared" si="36"/>
        <v>8800000</v>
      </c>
      <c r="O76" s="27">
        <f t="shared" si="36"/>
        <v>8800000</v>
      </c>
      <c r="P76" s="27">
        <f t="shared" si="36"/>
        <v>8800000</v>
      </c>
      <c r="Q76" s="27">
        <f t="shared" si="36"/>
        <v>8800000</v>
      </c>
      <c r="R76" s="27">
        <f t="shared" si="36"/>
        <v>8800000</v>
      </c>
      <c r="S76" s="27">
        <f t="shared" si="36"/>
        <v>8800000</v>
      </c>
      <c r="T76" s="27">
        <f t="shared" si="36"/>
        <v>8800000</v>
      </c>
      <c r="U76" s="1333"/>
      <c r="V76" s="3" t="s">
        <v>530</v>
      </c>
    </row>
    <row r="77" spans="1:24" ht="25" customHeight="1" x14ac:dyDescent="0.35">
      <c r="A77" s="52"/>
      <c r="B77" s="51"/>
      <c r="C77" s="50" t="s">
        <v>80</v>
      </c>
      <c r="D77" s="999">
        <f>SUM(D56:D58,D61:D62,D65:D76)</f>
        <v>8220482088</v>
      </c>
      <c r="E77" s="49">
        <v>6196119360.636364</v>
      </c>
      <c r="F77" s="999">
        <v>9205884172</v>
      </c>
      <c r="G77" s="49">
        <f>SUM(G56:G58,G61:G62,G65:G76)</f>
        <v>8512905671.8166666</v>
      </c>
      <c r="H77" s="986">
        <f t="shared" si="24"/>
        <v>-7.5275604953954384E-2</v>
      </c>
      <c r="I77" s="49">
        <f t="shared" ref="I77:T77" si="39">SUM(I56:I58,I61:I62,I65:I76)</f>
        <v>622088672.35555565</v>
      </c>
      <c r="J77" s="49">
        <f t="shared" si="39"/>
        <v>835185172.35555553</v>
      </c>
      <c r="K77" s="49">
        <f t="shared" si="39"/>
        <v>623638672.35555553</v>
      </c>
      <c r="L77" s="49">
        <f t="shared" si="39"/>
        <v>678232672.35555553</v>
      </c>
      <c r="M77" s="49">
        <f t="shared" si="39"/>
        <v>620360672.35555553</v>
      </c>
      <c r="N77" s="49">
        <f t="shared" si="39"/>
        <v>623638672.35555553</v>
      </c>
      <c r="O77" s="49">
        <f t="shared" si="39"/>
        <v>935795775.90555573</v>
      </c>
      <c r="P77" s="49">
        <f t="shared" si="39"/>
        <v>596138672.35555565</v>
      </c>
      <c r="Q77" s="49">
        <f t="shared" si="39"/>
        <v>656638672.35555553</v>
      </c>
      <c r="R77" s="49">
        <f t="shared" si="39"/>
        <v>620710672.35555553</v>
      </c>
      <c r="S77" s="49">
        <f t="shared" si="39"/>
        <v>1010838672.3555558</v>
      </c>
      <c r="T77" s="49">
        <f t="shared" si="39"/>
        <v>689638672.35555553</v>
      </c>
      <c r="U77" s="1328"/>
      <c r="V77" s="3"/>
      <c r="X77" s="22"/>
    </row>
    <row r="78" spans="1:24" s="39" customFormat="1" ht="5.15" customHeight="1" x14ac:dyDescent="0.35">
      <c r="A78" s="358"/>
      <c r="B78" s="43"/>
      <c r="C78" s="69"/>
      <c r="D78" s="193"/>
      <c r="E78" s="69"/>
      <c r="F78" s="193"/>
      <c r="G78" s="61"/>
      <c r="H78" s="207"/>
      <c r="I78" s="61"/>
      <c r="J78" s="61"/>
      <c r="K78" s="61"/>
      <c r="L78" s="61"/>
      <c r="M78" s="61"/>
      <c r="N78" s="61"/>
      <c r="O78" s="61"/>
      <c r="P78" s="61"/>
      <c r="Q78" s="61"/>
      <c r="R78" s="101"/>
      <c r="S78" s="101"/>
      <c r="T78" s="101"/>
      <c r="U78" s="1325"/>
      <c r="V78" s="40"/>
    </row>
    <row r="79" spans="1:24" s="58" customFormat="1" ht="25" customHeight="1" x14ac:dyDescent="0.35">
      <c r="A79" s="982" t="s">
        <v>79</v>
      </c>
      <c r="B79" s="998"/>
      <c r="C79" s="984" t="s">
        <v>1013</v>
      </c>
      <c r="D79" s="1000"/>
      <c r="E79" s="23"/>
      <c r="F79" s="1000"/>
      <c r="G79" s="31"/>
      <c r="H79" s="1002"/>
      <c r="I79" s="32"/>
      <c r="J79" s="32"/>
      <c r="K79" s="32"/>
      <c r="L79" s="32"/>
      <c r="M79" s="32"/>
      <c r="N79" s="32"/>
      <c r="O79" s="32"/>
      <c r="P79" s="32"/>
      <c r="Q79" s="32"/>
      <c r="R79" s="67"/>
      <c r="S79" s="67"/>
      <c r="T79" s="67"/>
      <c r="U79" s="1331"/>
      <c r="V79" s="3"/>
    </row>
    <row r="80" spans="1:24" ht="25" customHeight="1" x14ac:dyDescent="0.35">
      <c r="A80" s="356" t="s">
        <v>77</v>
      </c>
      <c r="B80" s="30">
        <v>6427301</v>
      </c>
      <c r="C80" s="64" t="s">
        <v>76</v>
      </c>
      <c r="D80" s="345">
        <v>1800000</v>
      </c>
      <c r="E80" s="188">
        <v>1324100</v>
      </c>
      <c r="F80" s="202">
        <v>1384900</v>
      </c>
      <c r="G80" s="225">
        <f>SUM(I80:T80)</f>
        <v>34320000</v>
      </c>
      <c r="H80" s="222">
        <f t="shared" ref="H80:H112" si="40">IF(F80=0,0,(G80-F80)/F80)</f>
        <v>23.78157267672756</v>
      </c>
      <c r="I80" s="27">
        <f>'Cashflow - MF'!H11</f>
        <v>0</v>
      </c>
      <c r="J80" s="27">
        <f>'Cashflow - MF'!I11</f>
        <v>0</v>
      </c>
      <c r="K80" s="27">
        <f>'Cashflow - MF'!J11</f>
        <v>6160000</v>
      </c>
      <c r="L80" s="27">
        <f>'Cashflow - MF'!K11</f>
        <v>0</v>
      </c>
      <c r="M80" s="27">
        <f>'Cashflow - MF'!L11</f>
        <v>0</v>
      </c>
      <c r="N80" s="27">
        <f>'Cashflow - MF'!M11</f>
        <v>11000000</v>
      </c>
      <c r="O80" s="27">
        <f>'Cashflow - MF'!N11</f>
        <v>0</v>
      </c>
      <c r="P80" s="27">
        <f>'Cashflow - MF'!O11</f>
        <v>0</v>
      </c>
      <c r="Q80" s="27">
        <f>'Cashflow - MF'!P11</f>
        <v>6160000</v>
      </c>
      <c r="R80" s="27">
        <f>'Cashflow - MF'!Q11</f>
        <v>0</v>
      </c>
      <c r="S80" s="27">
        <f>'Cashflow - MF'!R11</f>
        <v>0</v>
      </c>
      <c r="T80" s="27">
        <f>'Cashflow - MF'!S11</f>
        <v>11000000</v>
      </c>
      <c r="U80" s="1333"/>
      <c r="V80" s="3" t="s">
        <v>530</v>
      </c>
    </row>
    <row r="81" spans="1:22" s="66" customFormat="1" ht="25" customHeight="1" x14ac:dyDescent="0.35">
      <c r="A81" s="356" t="s">
        <v>75</v>
      </c>
      <c r="B81" s="30">
        <v>6427302</v>
      </c>
      <c r="C81" s="64" t="s">
        <v>74</v>
      </c>
      <c r="D81" s="345">
        <v>1410570000</v>
      </c>
      <c r="E81" s="188">
        <v>1259027000</v>
      </c>
      <c r="F81" s="202">
        <v>726759000</v>
      </c>
      <c r="G81" s="221">
        <f>SUM(I81:T81)</f>
        <v>1840740000</v>
      </c>
      <c r="H81" s="222">
        <f t="shared" si="40"/>
        <v>1.5328066112700358</v>
      </c>
      <c r="I81" s="27">
        <f>'Cashflow - MF'!H14</f>
        <v>144683000</v>
      </c>
      <c r="J81" s="27">
        <f>'Cashflow - MF'!I14</f>
        <v>144683000</v>
      </c>
      <c r="K81" s="27">
        <f>'Cashflow - MF'!J14</f>
        <v>144683000</v>
      </c>
      <c r="L81" s="27">
        <f>'Cashflow - MF'!K14</f>
        <v>156299000</v>
      </c>
      <c r="M81" s="27">
        <f>'Cashflow - MF'!L14</f>
        <v>156299000</v>
      </c>
      <c r="N81" s="27">
        <f>'Cashflow - MF'!M14</f>
        <v>156299000</v>
      </c>
      <c r="O81" s="27">
        <f>'Cashflow - MF'!N14</f>
        <v>156299000</v>
      </c>
      <c r="P81" s="27">
        <f>'Cashflow - MF'!O14</f>
        <v>156299000</v>
      </c>
      <c r="Q81" s="27">
        <f>'Cashflow - MF'!P14</f>
        <v>156299000</v>
      </c>
      <c r="R81" s="27">
        <f>'Cashflow - MF'!Q14</f>
        <v>156299000</v>
      </c>
      <c r="S81" s="27">
        <f>'Cashflow - MF'!R14</f>
        <v>156299000</v>
      </c>
      <c r="T81" s="27">
        <f>'Cashflow - MF'!S14</f>
        <v>156299000</v>
      </c>
      <c r="U81" s="1333"/>
      <c r="V81" s="3" t="s">
        <v>530</v>
      </c>
    </row>
    <row r="82" spans="1:22" ht="25" customHeight="1" x14ac:dyDescent="0.35">
      <c r="A82" s="356" t="s">
        <v>73</v>
      </c>
      <c r="B82" s="30"/>
      <c r="C82" s="64" t="s">
        <v>72</v>
      </c>
      <c r="D82" s="345">
        <v>198950000</v>
      </c>
      <c r="E82" s="188">
        <v>60207300</v>
      </c>
      <c r="F82" s="202">
        <v>80022030</v>
      </c>
      <c r="G82" s="225">
        <f>SUM(G83:G84)</f>
        <v>312708000</v>
      </c>
      <c r="H82" s="222">
        <f t="shared" si="40"/>
        <v>2.907773896763179</v>
      </c>
      <c r="I82" s="27">
        <f>SUM(I83:I84)</f>
        <v>0</v>
      </c>
      <c r="J82" s="27">
        <f t="shared" ref="J82:T82" si="41">SUM(J83:J84)</f>
        <v>0</v>
      </c>
      <c r="K82" s="27">
        <f t="shared" si="41"/>
        <v>19602000</v>
      </c>
      <c r="L82" s="27">
        <f t="shared" si="41"/>
        <v>26400000</v>
      </c>
      <c r="M82" s="27">
        <f t="shared" si="41"/>
        <v>0</v>
      </c>
      <c r="N82" s="27">
        <f t="shared" si="41"/>
        <v>224202000</v>
      </c>
      <c r="O82" s="27">
        <f t="shared" si="41"/>
        <v>0</v>
      </c>
      <c r="P82" s="27">
        <f t="shared" si="41"/>
        <v>0</v>
      </c>
      <c r="Q82" s="27">
        <f t="shared" si="41"/>
        <v>19602000</v>
      </c>
      <c r="R82" s="27">
        <f t="shared" si="41"/>
        <v>3300000.0000000005</v>
      </c>
      <c r="S82" s="27">
        <f t="shared" si="41"/>
        <v>0</v>
      </c>
      <c r="T82" s="27">
        <f t="shared" si="41"/>
        <v>19602000</v>
      </c>
      <c r="U82" s="1333"/>
      <c r="V82" s="5">
        <v>198950000</v>
      </c>
    </row>
    <row r="83" spans="1:22" s="53" customFormat="1" ht="25" customHeight="1" x14ac:dyDescent="0.35">
      <c r="A83" s="357" t="s">
        <v>71</v>
      </c>
      <c r="B83" s="57">
        <v>6427303</v>
      </c>
      <c r="C83" s="56" t="s">
        <v>70</v>
      </c>
      <c r="D83" s="346">
        <v>66000000</v>
      </c>
      <c r="E83" s="188">
        <v>49500000</v>
      </c>
      <c r="F83" s="203">
        <v>66000000</v>
      </c>
      <c r="G83" s="226">
        <f>SUM(I83:T83)</f>
        <v>78408000</v>
      </c>
      <c r="H83" s="227">
        <f t="shared" si="40"/>
        <v>0.188</v>
      </c>
      <c r="I83" s="55">
        <f>'Cashflow - MF'!H16</f>
        <v>0</v>
      </c>
      <c r="J83" s="55">
        <f>'Cashflow - MF'!I16</f>
        <v>0</v>
      </c>
      <c r="K83" s="55">
        <f>'Cashflow - MF'!J16</f>
        <v>19602000</v>
      </c>
      <c r="L83" s="55">
        <f>'Cashflow - MF'!K16</f>
        <v>0</v>
      </c>
      <c r="M83" s="55">
        <f>'Cashflow - MF'!L16</f>
        <v>0</v>
      </c>
      <c r="N83" s="55">
        <f>'Cashflow - MF'!M16</f>
        <v>19602000</v>
      </c>
      <c r="O83" s="55">
        <f>'Cashflow - MF'!N16</f>
        <v>0</v>
      </c>
      <c r="P83" s="27">
        <f>'Cashflow - MF'!O16</f>
        <v>0</v>
      </c>
      <c r="Q83" s="55">
        <f>'Cashflow - MF'!P16</f>
        <v>19602000</v>
      </c>
      <c r="R83" s="55">
        <f>'Cashflow - MF'!Q16</f>
        <v>0</v>
      </c>
      <c r="S83" s="55">
        <f>'Cashflow - MF'!R16</f>
        <v>0</v>
      </c>
      <c r="T83" s="55">
        <f>'Cashflow - MF'!S16</f>
        <v>19602000</v>
      </c>
      <c r="U83" s="1335"/>
      <c r="V83" s="65"/>
    </row>
    <row r="84" spans="1:22" s="53" customFormat="1" ht="25" customHeight="1" x14ac:dyDescent="0.35">
      <c r="A84" s="357" t="s">
        <v>69</v>
      </c>
      <c r="B84" s="57">
        <v>6427303</v>
      </c>
      <c r="C84" s="56" t="s">
        <v>68</v>
      </c>
      <c r="D84" s="346">
        <v>12950000</v>
      </c>
      <c r="E84" s="188">
        <v>10707300</v>
      </c>
      <c r="F84" s="203">
        <v>14022030</v>
      </c>
      <c r="G84" s="226">
        <f>SUM(I84:T84)</f>
        <v>234300000</v>
      </c>
      <c r="H84" s="227">
        <f t="shared" si="40"/>
        <v>15.709420818526276</v>
      </c>
      <c r="I84" s="55">
        <f>SUM('Cashflow - MF'!H17:H22)</f>
        <v>0</v>
      </c>
      <c r="J84" s="55">
        <f>SUM('Cashflow - MF'!I17:I22)</f>
        <v>0</v>
      </c>
      <c r="K84" s="55">
        <f>SUM('Cashflow - MF'!J17:J22)</f>
        <v>0</v>
      </c>
      <c r="L84" s="55">
        <f>SUM('Cashflow - MF'!K17:K22)</f>
        <v>26400000</v>
      </c>
      <c r="M84" s="55">
        <f>SUM('Cashflow - MF'!L17:L22)</f>
        <v>0</v>
      </c>
      <c r="N84" s="55">
        <f>SUM('Cashflow - MF'!M17:M22)</f>
        <v>204600000</v>
      </c>
      <c r="O84" s="55">
        <f>SUM('Cashflow - MF'!N17:N22)</f>
        <v>0</v>
      </c>
      <c r="P84" s="27">
        <f>SUM('Cashflow - MF'!O17:O22)</f>
        <v>0</v>
      </c>
      <c r="Q84" s="55">
        <f>SUM('Cashflow - MF'!P17:P22)</f>
        <v>0</v>
      </c>
      <c r="R84" s="55">
        <f>SUM('Cashflow - MF'!Q17:Q22)</f>
        <v>3300000.0000000005</v>
      </c>
      <c r="S84" s="55">
        <f>SUM('Cashflow - MF'!R17:R22)</f>
        <v>0</v>
      </c>
      <c r="T84" s="55">
        <f>SUM('Cashflow - MF'!S17:S22)</f>
        <v>0</v>
      </c>
      <c r="U84" s="1335"/>
      <c r="V84" s="65"/>
    </row>
    <row r="85" spans="1:22" ht="25" customHeight="1" x14ac:dyDescent="0.35">
      <c r="A85" s="356" t="s">
        <v>67</v>
      </c>
      <c r="B85" s="30"/>
      <c r="C85" s="64" t="s">
        <v>66</v>
      </c>
      <c r="D85" s="345">
        <f>SUM(D86:D87)</f>
        <v>295262500</v>
      </c>
      <c r="E85" s="188">
        <v>151796875</v>
      </c>
      <c r="F85" s="202">
        <v>635113427</v>
      </c>
      <c r="G85" s="225">
        <f>SUM(G86:G87)</f>
        <v>489495600</v>
      </c>
      <c r="H85" s="222">
        <f t="shared" si="40"/>
        <v>-0.22927845768878699</v>
      </c>
      <c r="I85" s="28">
        <f>SUM(I86:I87)</f>
        <v>137500000</v>
      </c>
      <c r="J85" s="28">
        <f t="shared" ref="J85:T85" si="42">SUM(J86:J87)</f>
        <v>0</v>
      </c>
      <c r="K85" s="28">
        <f t="shared" si="42"/>
        <v>0</v>
      </c>
      <c r="L85" s="28">
        <f t="shared" si="42"/>
        <v>0</v>
      </c>
      <c r="M85" s="28">
        <f t="shared" si="42"/>
        <v>70730000</v>
      </c>
      <c r="N85" s="28">
        <f t="shared" si="42"/>
        <v>140910000</v>
      </c>
      <c r="O85" s="28">
        <f t="shared" si="42"/>
        <v>0</v>
      </c>
      <c r="P85" s="27">
        <f t="shared" si="42"/>
        <v>0</v>
      </c>
      <c r="Q85" s="28">
        <f t="shared" si="42"/>
        <v>0</v>
      </c>
      <c r="R85" s="28">
        <f t="shared" si="42"/>
        <v>80625600</v>
      </c>
      <c r="S85" s="28">
        <f>SUM(S86:S87)</f>
        <v>37730000</v>
      </c>
      <c r="T85" s="28">
        <f t="shared" si="42"/>
        <v>22000000</v>
      </c>
      <c r="U85" s="1333"/>
      <c r="V85" s="3" t="s">
        <v>530</v>
      </c>
    </row>
    <row r="86" spans="1:22" s="53" customFormat="1" ht="25" customHeight="1" x14ac:dyDescent="0.35">
      <c r="A86" s="357" t="s">
        <v>65</v>
      </c>
      <c r="B86" s="57">
        <v>6427304</v>
      </c>
      <c r="C86" s="56" t="s">
        <v>64</v>
      </c>
      <c r="D86" s="346">
        <v>227812500</v>
      </c>
      <c r="E86" s="188">
        <v>125296875.00000001</v>
      </c>
      <c r="F86" s="319"/>
      <c r="G86" s="320">
        <f>SUM(I86:T86)</f>
        <v>275000000</v>
      </c>
      <c r="H86" s="227">
        <f t="shared" si="40"/>
        <v>0</v>
      </c>
      <c r="I86" s="55">
        <f>'Cashflow - MF'!H25</f>
        <v>137500000</v>
      </c>
      <c r="J86" s="55">
        <f>'Cashflow - MF'!I25</f>
        <v>0</v>
      </c>
      <c r="K86" s="55">
        <f>'Cashflow - MF'!J25</f>
        <v>0</v>
      </c>
      <c r="L86" s="55">
        <f>'Cashflow - MF'!K25</f>
        <v>0</v>
      </c>
      <c r="M86" s="55">
        <f>'Cashflow - MF'!L25</f>
        <v>0</v>
      </c>
      <c r="N86" s="55">
        <f>'Cashflow - MF'!M25</f>
        <v>137500000</v>
      </c>
      <c r="O86" s="55">
        <f>'Cashflow - MF'!N25</f>
        <v>0</v>
      </c>
      <c r="P86" s="27">
        <f>'Cashflow - MF'!O25</f>
        <v>0</v>
      </c>
      <c r="Q86" s="55">
        <f>'Cashflow - MF'!P25</f>
        <v>0</v>
      </c>
      <c r="R86" s="55">
        <f>'Cashflow - MF'!Q25</f>
        <v>0</v>
      </c>
      <c r="S86" s="55">
        <f>'Cashflow - MF'!R25</f>
        <v>0</v>
      </c>
      <c r="T86" s="55">
        <f>'Cashflow - MF'!S25</f>
        <v>0</v>
      </c>
      <c r="U86" s="1335"/>
      <c r="V86" s="54"/>
    </row>
    <row r="87" spans="1:22" s="53" customFormat="1" ht="25" customHeight="1" x14ac:dyDescent="0.35">
      <c r="A87" s="357" t="s">
        <v>63</v>
      </c>
      <c r="B87" s="57">
        <v>6427304</v>
      </c>
      <c r="C87" s="56" t="s">
        <v>62</v>
      </c>
      <c r="D87" s="346">
        <v>67450000</v>
      </c>
      <c r="E87" s="188">
        <v>26500000</v>
      </c>
      <c r="F87" s="203"/>
      <c r="G87" s="226">
        <f>SUM(I87:T87)</f>
        <v>214495600</v>
      </c>
      <c r="H87" s="227">
        <f t="shared" si="40"/>
        <v>0</v>
      </c>
      <c r="I87" s="55">
        <f>SUM('Cashflow - MF'!H26:H33)</f>
        <v>0</v>
      </c>
      <c r="J87" s="55">
        <f>SUM('Cashflow - MF'!I26:I33)</f>
        <v>0</v>
      </c>
      <c r="K87" s="55">
        <f>SUM('Cashflow - MF'!J26:J33)</f>
        <v>0</v>
      </c>
      <c r="L87" s="55">
        <f>SUM('Cashflow - MF'!K26:K33)</f>
        <v>0</v>
      </c>
      <c r="M87" s="55">
        <f>SUM('Cashflow - MF'!L26:L33)</f>
        <v>70730000</v>
      </c>
      <c r="N87" s="55">
        <f>SUM('Cashflow - MF'!M26:M33)</f>
        <v>3410000</v>
      </c>
      <c r="O87" s="55">
        <f>SUM('Cashflow - MF'!N26:N33)</f>
        <v>0</v>
      </c>
      <c r="P87" s="27">
        <f>SUM('Cashflow - MF'!O26:O33)</f>
        <v>0</v>
      </c>
      <c r="Q87" s="55">
        <f>SUM('Cashflow - MF'!P26:P33)</f>
        <v>0</v>
      </c>
      <c r="R87" s="55">
        <f>SUM('Cashflow - MF'!Q26:Q33)</f>
        <v>80625600</v>
      </c>
      <c r="S87" s="55">
        <f>SUM('Cashflow - MF'!R26:R33)</f>
        <v>37730000</v>
      </c>
      <c r="T87" s="55">
        <f>SUM('Cashflow - MF'!S26:S33)</f>
        <v>22000000</v>
      </c>
      <c r="U87" s="1335"/>
      <c r="V87" s="54"/>
    </row>
    <row r="88" spans="1:22" ht="25" customHeight="1" x14ac:dyDescent="0.35">
      <c r="A88" s="356" t="s">
        <v>61</v>
      </c>
      <c r="B88" s="30">
        <v>6427305</v>
      </c>
      <c r="C88" s="64" t="s">
        <v>60</v>
      </c>
      <c r="D88" s="345">
        <v>44700000</v>
      </c>
      <c r="E88" s="188">
        <v>70755691</v>
      </c>
      <c r="F88" s="202">
        <v>70450300</v>
      </c>
      <c r="G88" s="225">
        <f>SUM(I88:T88)</f>
        <v>737330000</v>
      </c>
      <c r="H88" s="222">
        <f t="shared" si="40"/>
        <v>9.4659596907323316</v>
      </c>
      <c r="I88" s="27">
        <f>'Cashflow - MF'!H43</f>
        <v>13200000.000000002</v>
      </c>
      <c r="J88" s="27">
        <f>'Cashflow - MF'!I43</f>
        <v>660000000</v>
      </c>
      <c r="K88" s="27">
        <f>'Cashflow - MF'!J43</f>
        <v>22000000</v>
      </c>
      <c r="L88" s="27">
        <f>'Cashflow - MF'!K43</f>
        <v>0</v>
      </c>
      <c r="M88" s="27">
        <f>'Cashflow - MF'!L43</f>
        <v>11000000</v>
      </c>
      <c r="N88" s="27">
        <f>'Cashflow - MF'!M43</f>
        <v>20900000</v>
      </c>
      <c r="O88" s="27">
        <f>'Cashflow - MF'!N43</f>
        <v>2750000</v>
      </c>
      <c r="P88" s="27">
        <f>'Cashflow - MF'!O43</f>
        <v>0</v>
      </c>
      <c r="Q88" s="27">
        <f>'Cashflow - MF'!P43</f>
        <v>0</v>
      </c>
      <c r="R88" s="27">
        <f>'Cashflow - MF'!Q43</f>
        <v>7480000.0000000009</v>
      </c>
      <c r="S88" s="27">
        <f>'Cashflow - MF'!R43</f>
        <v>0</v>
      </c>
      <c r="T88" s="27">
        <f>'Cashflow - MF'!S43</f>
        <v>0</v>
      </c>
      <c r="U88" s="1333"/>
      <c r="V88" s="3" t="s">
        <v>530</v>
      </c>
    </row>
    <row r="89" spans="1:22" ht="25" customHeight="1" x14ac:dyDescent="0.35">
      <c r="A89" s="356" t="s">
        <v>59</v>
      </c>
      <c r="B89" s="30">
        <v>6427306</v>
      </c>
      <c r="C89" s="64" t="s">
        <v>58</v>
      </c>
      <c r="D89" s="345">
        <v>58010000</v>
      </c>
      <c r="E89" s="188">
        <v>72098000</v>
      </c>
      <c r="F89" s="202">
        <v>227305246</v>
      </c>
      <c r="G89" s="225">
        <f>SUM(I89:T89)</f>
        <v>426855000.00000006</v>
      </c>
      <c r="H89" s="222">
        <f t="shared" si="40"/>
        <v>0.87789330651875963</v>
      </c>
      <c r="I89" s="27">
        <f>'Cashflow - MF'!H55</f>
        <v>18200416.666666668</v>
      </c>
      <c r="J89" s="27">
        <f>'Cashflow - MF'!I55</f>
        <v>18200416.666666668</v>
      </c>
      <c r="K89" s="27">
        <f>'Cashflow - MF'!J55</f>
        <v>44325416.666666672</v>
      </c>
      <c r="L89" s="27">
        <f>'Cashflow - MF'!K55</f>
        <v>52300416.666666672</v>
      </c>
      <c r="M89" s="27">
        <f>'Cashflow - MF'!L55</f>
        <v>18200416.666666668</v>
      </c>
      <c r="N89" s="27">
        <f>'Cashflow - MF'!M55</f>
        <v>38825416.666666672</v>
      </c>
      <c r="O89" s="27">
        <f>'Cashflow - MF'!N55</f>
        <v>18200416.666666668</v>
      </c>
      <c r="P89" s="27">
        <f>'Cashflow - MF'!O55</f>
        <v>18200416.666666668</v>
      </c>
      <c r="Q89" s="27">
        <f>'Cashflow - MF'!P55</f>
        <v>85025416.666666687</v>
      </c>
      <c r="R89" s="27">
        <f>'Cashflow - MF'!Q55</f>
        <v>47350416.666666672</v>
      </c>
      <c r="S89" s="27">
        <f>'Cashflow - MF'!R55</f>
        <v>18200416.666666668</v>
      </c>
      <c r="T89" s="27">
        <f>'Cashflow - MF'!S55</f>
        <v>49825416.666666672</v>
      </c>
      <c r="U89" s="1333"/>
      <c r="V89" s="3" t="s">
        <v>530</v>
      </c>
    </row>
    <row r="90" spans="1:22" ht="25" customHeight="1" x14ac:dyDescent="0.35">
      <c r="A90" s="356" t="s">
        <v>57</v>
      </c>
      <c r="B90" s="30">
        <v>6427307</v>
      </c>
      <c r="C90" s="64" t="s">
        <v>56</v>
      </c>
      <c r="D90" s="345">
        <v>242430000</v>
      </c>
      <c r="E90" s="188">
        <v>163224601</v>
      </c>
      <c r="F90" s="202">
        <v>286614028</v>
      </c>
      <c r="G90" s="225">
        <f>SUM(I90:T90)</f>
        <v>492800000</v>
      </c>
      <c r="H90" s="222">
        <f t="shared" si="40"/>
        <v>0.7193854866029098</v>
      </c>
      <c r="I90" s="27">
        <f>'Cashflow - MF'!H69</f>
        <v>88000000</v>
      </c>
      <c r="J90" s="27">
        <f>'Cashflow - MF'!I69</f>
        <v>24200000.000000004</v>
      </c>
      <c r="K90" s="27">
        <f>'Cashflow - MF'!J69</f>
        <v>67100000</v>
      </c>
      <c r="L90" s="27">
        <f>'Cashflow - MF'!K69</f>
        <v>0</v>
      </c>
      <c r="M90" s="27">
        <f>'Cashflow - MF'!L69</f>
        <v>99550000</v>
      </c>
      <c r="N90" s="27">
        <f>'Cashflow - MF'!M69</f>
        <v>13200000.000000002</v>
      </c>
      <c r="O90" s="27">
        <f>'Cashflow - MF'!N69</f>
        <v>44000000</v>
      </c>
      <c r="P90" s="27">
        <f>'Cashflow - MF'!O69</f>
        <v>0</v>
      </c>
      <c r="Q90" s="27">
        <f>'Cashflow - MF'!P69</f>
        <v>49500000</v>
      </c>
      <c r="R90" s="27">
        <f>'Cashflow - MF'!Q69</f>
        <v>0</v>
      </c>
      <c r="S90" s="27">
        <f>'Cashflow - MF'!R69</f>
        <v>94050000</v>
      </c>
      <c r="T90" s="27">
        <f>'Cashflow - MF'!S69</f>
        <v>13200000.000000002</v>
      </c>
      <c r="U90" s="1333"/>
      <c r="V90" s="3" t="s">
        <v>530</v>
      </c>
    </row>
    <row r="91" spans="1:22" ht="25" customHeight="1" x14ac:dyDescent="0.35">
      <c r="A91" s="356" t="s">
        <v>55</v>
      </c>
      <c r="B91" s="30"/>
      <c r="C91" s="64" t="s">
        <v>54</v>
      </c>
      <c r="D91" s="345">
        <f>SUM(D92:D93)</f>
        <v>356800000</v>
      </c>
      <c r="E91" s="188">
        <v>203600500</v>
      </c>
      <c r="F91" s="202">
        <v>348817490</v>
      </c>
      <c r="G91" s="225">
        <f>SUM(G92:G93)</f>
        <v>481316000</v>
      </c>
      <c r="H91" s="222">
        <f t="shared" si="40"/>
        <v>0.37985053444424477</v>
      </c>
      <c r="I91" s="28">
        <f t="shared" ref="I91:T91" si="43">SUM(I92:I93)</f>
        <v>24200000</v>
      </c>
      <c r="J91" s="28">
        <f t="shared" si="43"/>
        <v>51700000</v>
      </c>
      <c r="K91" s="28">
        <f t="shared" si="43"/>
        <v>51700000</v>
      </c>
      <c r="L91" s="28">
        <f t="shared" si="43"/>
        <v>24200000</v>
      </c>
      <c r="M91" s="28">
        <f t="shared" si="43"/>
        <v>68200000</v>
      </c>
      <c r="N91" s="28">
        <f t="shared" si="43"/>
        <v>56408000</v>
      </c>
      <c r="O91" s="28">
        <f t="shared" si="43"/>
        <v>51700000</v>
      </c>
      <c r="P91" s="27">
        <f t="shared" si="43"/>
        <v>24200000</v>
      </c>
      <c r="Q91" s="28">
        <f t="shared" si="43"/>
        <v>24200000</v>
      </c>
      <c r="R91" s="28">
        <f t="shared" si="43"/>
        <v>24200000</v>
      </c>
      <c r="S91" s="28">
        <f t="shared" si="43"/>
        <v>24200000</v>
      </c>
      <c r="T91" s="28">
        <f t="shared" si="43"/>
        <v>56408000</v>
      </c>
      <c r="U91" s="1333"/>
      <c r="V91" s="3" t="s">
        <v>530</v>
      </c>
    </row>
    <row r="92" spans="1:22" s="53" customFormat="1" ht="25" customHeight="1" x14ac:dyDescent="0.35">
      <c r="A92" s="357" t="s">
        <v>53</v>
      </c>
      <c r="B92" s="57">
        <v>6427308</v>
      </c>
      <c r="C92" s="56" t="s">
        <v>52</v>
      </c>
      <c r="D92" s="346">
        <v>84800000</v>
      </c>
      <c r="E92" s="188">
        <v>0</v>
      </c>
      <c r="F92" s="203"/>
      <c r="G92" s="226">
        <f>SUM(I92:T92)</f>
        <v>290400000</v>
      </c>
      <c r="H92" s="227">
        <f t="shared" si="40"/>
        <v>0</v>
      </c>
      <c r="I92" s="55">
        <f>'Cashflow - MF'!H71</f>
        <v>24200000</v>
      </c>
      <c r="J92" s="55">
        <f>'Cashflow - MF'!I71</f>
        <v>24200000</v>
      </c>
      <c r="K92" s="55">
        <f>'Cashflow - MF'!J71</f>
        <v>24200000</v>
      </c>
      <c r="L92" s="55">
        <f>'Cashflow - MF'!K71</f>
        <v>24200000</v>
      </c>
      <c r="M92" s="55">
        <f>'Cashflow - MF'!L71</f>
        <v>24200000</v>
      </c>
      <c r="N92" s="55">
        <f>'Cashflow - MF'!M71</f>
        <v>24200000</v>
      </c>
      <c r="O92" s="55">
        <f>'Cashflow - MF'!N71</f>
        <v>24200000</v>
      </c>
      <c r="P92" s="55">
        <f>'Cashflow - MF'!O71</f>
        <v>24200000</v>
      </c>
      <c r="Q92" s="55">
        <f>'Cashflow - MF'!P71</f>
        <v>24200000</v>
      </c>
      <c r="R92" s="55">
        <f>'Cashflow - MF'!Q71</f>
        <v>24200000</v>
      </c>
      <c r="S92" s="55">
        <f>'Cashflow - MF'!R71</f>
        <v>24200000</v>
      </c>
      <c r="T92" s="55">
        <f>'Cashflow - MF'!S71</f>
        <v>24200000</v>
      </c>
      <c r="U92" s="1335" t="s">
        <v>521</v>
      </c>
      <c r="V92" s="54"/>
    </row>
    <row r="93" spans="1:22" s="53" customFormat="1" ht="25" customHeight="1" x14ac:dyDescent="0.35">
      <c r="A93" s="357" t="s">
        <v>51</v>
      </c>
      <c r="B93" s="57">
        <v>6427308</v>
      </c>
      <c r="C93" s="56" t="s">
        <v>50</v>
      </c>
      <c r="D93" s="346">
        <v>272000000</v>
      </c>
      <c r="E93" s="188">
        <v>203600500</v>
      </c>
      <c r="F93" s="203"/>
      <c r="G93" s="226">
        <f>SUM(I93:T93)</f>
        <v>190916000</v>
      </c>
      <c r="H93" s="227">
        <f t="shared" si="40"/>
        <v>0</v>
      </c>
      <c r="I93" s="55">
        <f>SUM('Cashflow - MF'!H72:H77)</f>
        <v>0</v>
      </c>
      <c r="J93" s="55">
        <f>SUM('Cashflow - MF'!I72:I77)</f>
        <v>27500000.000000004</v>
      </c>
      <c r="K93" s="55">
        <f>SUM('Cashflow - MF'!J72:J77)</f>
        <v>27500000</v>
      </c>
      <c r="L93" s="55">
        <f>SUM('Cashflow - MF'!K72:K77)</f>
        <v>0</v>
      </c>
      <c r="M93" s="55">
        <f>SUM('Cashflow - MF'!L72:L77)</f>
        <v>44000000</v>
      </c>
      <c r="N93" s="55">
        <f>SUM('Cashflow - MF'!M72:M77)</f>
        <v>32208000.000000004</v>
      </c>
      <c r="O93" s="55">
        <f>SUM('Cashflow - MF'!N72:N77)</f>
        <v>27500000.000000004</v>
      </c>
      <c r="P93" s="55">
        <f>SUM('Cashflow - MF'!O72:O77)</f>
        <v>0</v>
      </c>
      <c r="Q93" s="55">
        <f>SUM('Cashflow - MF'!P72:P77)</f>
        <v>0</v>
      </c>
      <c r="R93" s="55">
        <f>SUM('Cashflow - MF'!Q72:Q77)</f>
        <v>0</v>
      </c>
      <c r="S93" s="55">
        <f>SUM('Cashflow - MF'!R72:R77)</f>
        <v>0</v>
      </c>
      <c r="T93" s="55">
        <f>SUM('Cashflow - MF'!S72:S77)</f>
        <v>32208000.000000004</v>
      </c>
      <c r="U93" s="1335"/>
      <c r="V93" s="54"/>
    </row>
    <row r="94" spans="1:22" ht="25" customHeight="1" x14ac:dyDescent="0.35">
      <c r="A94" s="356" t="s">
        <v>49</v>
      </c>
      <c r="B94" s="30"/>
      <c r="C94" s="64" t="s">
        <v>48</v>
      </c>
      <c r="D94" s="345">
        <f t="shared" ref="D94" si="44">SUM(D95:D96)</f>
        <v>253400000</v>
      </c>
      <c r="E94" s="188">
        <v>60521481</v>
      </c>
      <c r="F94" s="202">
        <v>70638794</v>
      </c>
      <c r="G94" s="225">
        <f>SUM(G95:G96)</f>
        <v>416790000</v>
      </c>
      <c r="H94" s="222">
        <f t="shared" si="40"/>
        <v>4.9002989207318572</v>
      </c>
      <c r="I94" s="28">
        <f t="shared" ref="I94:T94" si="45">SUM(I95:I96)</f>
        <v>0</v>
      </c>
      <c r="J94" s="28">
        <f t="shared" si="45"/>
        <v>0</v>
      </c>
      <c r="K94" s="28">
        <f t="shared" si="45"/>
        <v>116600000</v>
      </c>
      <c r="L94" s="28">
        <f t="shared" si="45"/>
        <v>217690000</v>
      </c>
      <c r="M94" s="28">
        <f t="shared" si="45"/>
        <v>33000000.000000004</v>
      </c>
      <c r="N94" s="28">
        <f t="shared" si="45"/>
        <v>0</v>
      </c>
      <c r="O94" s="28">
        <f t="shared" si="45"/>
        <v>0</v>
      </c>
      <c r="P94" s="27">
        <f t="shared" si="45"/>
        <v>44000000</v>
      </c>
      <c r="Q94" s="28">
        <f t="shared" si="45"/>
        <v>5500000</v>
      </c>
      <c r="R94" s="28">
        <f t="shared" si="45"/>
        <v>0</v>
      </c>
      <c r="S94" s="28">
        <f t="shared" si="45"/>
        <v>0</v>
      </c>
      <c r="T94" s="28">
        <f t="shared" si="45"/>
        <v>0</v>
      </c>
      <c r="U94" s="1333"/>
      <c r="V94" s="3" t="s">
        <v>530</v>
      </c>
    </row>
    <row r="95" spans="1:22" s="53" customFormat="1" ht="25" customHeight="1" x14ac:dyDescent="0.35">
      <c r="A95" s="357" t="s">
        <v>47</v>
      </c>
      <c r="B95" s="57">
        <v>6427309</v>
      </c>
      <c r="C95" s="56" t="s">
        <v>46</v>
      </c>
      <c r="D95" s="346">
        <v>196400000</v>
      </c>
      <c r="E95" s="188">
        <v>0</v>
      </c>
      <c r="F95" s="203"/>
      <c r="G95" s="226">
        <f>SUM(I95:T95)</f>
        <v>143440000</v>
      </c>
      <c r="H95" s="227">
        <f t="shared" si="40"/>
        <v>0</v>
      </c>
      <c r="I95" s="55">
        <f>'Cashflow - MF'!H80</f>
        <v>0</v>
      </c>
      <c r="J95" s="55">
        <f>'Cashflow - MF'!I80</f>
        <v>0</v>
      </c>
      <c r="K95" s="55">
        <f>'Cashflow - MF'!J80</f>
        <v>0</v>
      </c>
      <c r="L95" s="55">
        <f>'Cashflow - MF'!K80</f>
        <v>143440000</v>
      </c>
      <c r="M95" s="55">
        <f>'Cashflow - MF'!L80</f>
        <v>0</v>
      </c>
      <c r="N95" s="55">
        <f>'Cashflow - MF'!M80</f>
        <v>0</v>
      </c>
      <c r="O95" s="55">
        <f>'Cashflow - MF'!N80</f>
        <v>0</v>
      </c>
      <c r="P95" s="27">
        <f>'Cashflow - MF'!O80</f>
        <v>0</v>
      </c>
      <c r="Q95" s="55">
        <f>'Cashflow - MF'!P80</f>
        <v>0</v>
      </c>
      <c r="R95" s="55">
        <f>'Cashflow - MF'!Q80</f>
        <v>0</v>
      </c>
      <c r="S95" s="55">
        <f>'Cashflow - MF'!R80</f>
        <v>0</v>
      </c>
      <c r="T95" s="55">
        <f>'Cashflow - MF'!S80</f>
        <v>0</v>
      </c>
      <c r="U95" s="1335" t="s">
        <v>596</v>
      </c>
      <c r="V95" s="54"/>
    </row>
    <row r="96" spans="1:22" s="53" customFormat="1" ht="25" customHeight="1" x14ac:dyDescent="0.35">
      <c r="A96" s="357" t="s">
        <v>45</v>
      </c>
      <c r="B96" s="57">
        <v>6427309</v>
      </c>
      <c r="C96" s="56" t="s">
        <v>44</v>
      </c>
      <c r="D96" s="346">
        <v>57000000</v>
      </c>
      <c r="E96" s="188">
        <v>60521481</v>
      </c>
      <c r="F96" s="203"/>
      <c r="G96" s="226">
        <f>SUM(I96:T96)</f>
        <v>273350000</v>
      </c>
      <c r="H96" s="227">
        <f t="shared" si="40"/>
        <v>0</v>
      </c>
      <c r="I96" s="55">
        <f>SUM('Cashflow - MF'!H81:H85)</f>
        <v>0</v>
      </c>
      <c r="J96" s="55">
        <f>SUM('Cashflow - MF'!I81:I85)</f>
        <v>0</v>
      </c>
      <c r="K96" s="55">
        <f>SUM('Cashflow - MF'!J81:J85)</f>
        <v>116600000</v>
      </c>
      <c r="L96" s="55">
        <f>SUM('Cashflow - MF'!K81:K85)</f>
        <v>74250000</v>
      </c>
      <c r="M96" s="55">
        <f>SUM('Cashflow - MF'!L81:L85)</f>
        <v>33000000.000000004</v>
      </c>
      <c r="N96" s="55">
        <f>SUM('Cashflow - MF'!M81:M85)</f>
        <v>0</v>
      </c>
      <c r="O96" s="55">
        <f>SUM('Cashflow - MF'!N81:N85)</f>
        <v>0</v>
      </c>
      <c r="P96" s="55">
        <f>SUM('Cashflow - MF'!O81:O85)</f>
        <v>44000000</v>
      </c>
      <c r="Q96" s="55">
        <f>SUM('Cashflow - MF'!P81:P85)</f>
        <v>5500000</v>
      </c>
      <c r="R96" s="55">
        <f>SUM('Cashflow - MF'!Q81:Q85)</f>
        <v>0</v>
      </c>
      <c r="S96" s="55">
        <f>SUM('Cashflow - MF'!R81:R85)</f>
        <v>0</v>
      </c>
      <c r="T96" s="55">
        <f>SUM('Cashflow - MF'!S81:S85)</f>
        <v>0</v>
      </c>
      <c r="U96" s="1335"/>
      <c r="V96" s="54"/>
    </row>
    <row r="97" spans="1:22" ht="25" customHeight="1" x14ac:dyDescent="0.35">
      <c r="A97" s="356" t="s">
        <v>37</v>
      </c>
      <c r="B97" s="30"/>
      <c r="C97" s="64" t="s">
        <v>36</v>
      </c>
      <c r="D97" s="345">
        <f>SUM(D98:D99)</f>
        <v>229125000</v>
      </c>
      <c r="E97" s="188">
        <v>105806250.00000001</v>
      </c>
      <c r="F97" s="202">
        <v>0</v>
      </c>
      <c r="G97" s="225">
        <f>SUM(G98:G99)</f>
        <v>329999999.99999994</v>
      </c>
      <c r="H97" s="222">
        <f t="shared" si="40"/>
        <v>0</v>
      </c>
      <c r="I97" s="28">
        <f>SUM(I98:I99)</f>
        <v>22916666.666666668</v>
      </c>
      <c r="J97" s="28">
        <f t="shared" ref="J97:T97" si="46">SUM(J98:J99)</f>
        <v>22916666.666666668</v>
      </c>
      <c r="K97" s="28">
        <f t="shared" si="46"/>
        <v>22916666.666666668</v>
      </c>
      <c r="L97" s="28">
        <f t="shared" si="46"/>
        <v>50416666.666666672</v>
      </c>
      <c r="M97" s="28">
        <f t="shared" si="46"/>
        <v>22916666.666666668</v>
      </c>
      <c r="N97" s="28">
        <f t="shared" si="46"/>
        <v>22916666.666666668</v>
      </c>
      <c r="O97" s="28">
        <f t="shared" si="46"/>
        <v>22916666.666666668</v>
      </c>
      <c r="P97" s="27">
        <f t="shared" si="46"/>
        <v>22916666.666666668</v>
      </c>
      <c r="Q97" s="28">
        <f t="shared" si="46"/>
        <v>22916666.666666668</v>
      </c>
      <c r="R97" s="28">
        <f t="shared" si="46"/>
        <v>50416666.666666672</v>
      </c>
      <c r="S97" s="28">
        <f t="shared" si="46"/>
        <v>22916666.666666668</v>
      </c>
      <c r="T97" s="28">
        <f t="shared" si="46"/>
        <v>22916666.666666668</v>
      </c>
      <c r="U97" s="1333"/>
      <c r="V97" s="3" t="s">
        <v>530</v>
      </c>
    </row>
    <row r="98" spans="1:22" s="53" customFormat="1" ht="25" customHeight="1" x14ac:dyDescent="0.35">
      <c r="A98" s="357" t="s">
        <v>35</v>
      </c>
      <c r="B98" s="30">
        <v>6427311</v>
      </c>
      <c r="C98" s="56" t="s">
        <v>34</v>
      </c>
      <c r="D98" s="346">
        <v>192375000</v>
      </c>
      <c r="E98" s="188">
        <v>105806250.00000001</v>
      </c>
      <c r="F98" s="203">
        <v>0</v>
      </c>
      <c r="G98" s="226">
        <f>SUM(I98:T98)</f>
        <v>274999999.99999994</v>
      </c>
      <c r="H98" s="227">
        <f t="shared" si="40"/>
        <v>0</v>
      </c>
      <c r="I98" s="55">
        <f>'Cashflow - MF'!H88</f>
        <v>22916666.666666668</v>
      </c>
      <c r="J98" s="55">
        <f>'Cashflow - MF'!I88</f>
        <v>22916666.666666668</v>
      </c>
      <c r="K98" s="55">
        <f>'Cashflow - MF'!J88</f>
        <v>22916666.666666668</v>
      </c>
      <c r="L98" s="55">
        <f>'Cashflow - MF'!K88</f>
        <v>22916666.666666668</v>
      </c>
      <c r="M98" s="55">
        <f>'Cashflow - MF'!L88</f>
        <v>22916666.666666668</v>
      </c>
      <c r="N98" s="55">
        <f>'Cashflow - MF'!M88</f>
        <v>22916666.666666668</v>
      </c>
      <c r="O98" s="55">
        <f>'Cashflow - MF'!N88</f>
        <v>22916666.666666668</v>
      </c>
      <c r="P98" s="27">
        <f>'Cashflow - MF'!O88</f>
        <v>22916666.666666668</v>
      </c>
      <c r="Q98" s="55">
        <f>'Cashflow - MF'!P88</f>
        <v>22916666.666666668</v>
      </c>
      <c r="R98" s="55">
        <f>'Cashflow - MF'!Q88</f>
        <v>22916666.666666668</v>
      </c>
      <c r="S98" s="55">
        <f>'Cashflow - MF'!R88</f>
        <v>22916666.666666668</v>
      </c>
      <c r="T98" s="55">
        <f>'Cashflow - MF'!S88</f>
        <v>22916666.666666668</v>
      </c>
      <c r="U98" s="1335"/>
      <c r="V98" s="54"/>
    </row>
    <row r="99" spans="1:22" s="53" customFormat="1" ht="25" customHeight="1" x14ac:dyDescent="0.35">
      <c r="A99" s="357" t="s">
        <v>33</v>
      </c>
      <c r="B99" s="30">
        <v>6427311</v>
      </c>
      <c r="C99" s="56" t="s">
        <v>32</v>
      </c>
      <c r="D99" s="346">
        <v>36750000</v>
      </c>
      <c r="E99" s="188">
        <v>0</v>
      </c>
      <c r="F99" s="203">
        <v>0</v>
      </c>
      <c r="G99" s="226">
        <f>SUM(I99:T99)</f>
        <v>55000000</v>
      </c>
      <c r="H99" s="227">
        <f t="shared" si="40"/>
        <v>0</v>
      </c>
      <c r="I99" s="55">
        <f>SUM('Cashflow - MF'!H89:H90)</f>
        <v>0</v>
      </c>
      <c r="J99" s="55">
        <f>SUM('Cashflow - MF'!I89:I90)</f>
        <v>0</v>
      </c>
      <c r="K99" s="55">
        <f>SUM('Cashflow - MF'!J89:J90)</f>
        <v>0</v>
      </c>
      <c r="L99" s="55">
        <f>SUM('Cashflow - MF'!K89:K90)</f>
        <v>27500000</v>
      </c>
      <c r="M99" s="55">
        <f>SUM('Cashflow - MF'!L89:L90)</f>
        <v>0</v>
      </c>
      <c r="N99" s="55">
        <f>SUM('Cashflow - MF'!M89:M90)</f>
        <v>0</v>
      </c>
      <c r="O99" s="55">
        <f>SUM('Cashflow - MF'!N89:N90)</f>
        <v>0</v>
      </c>
      <c r="P99" s="27">
        <f>SUM('Cashflow - MF'!O89:O90)</f>
        <v>0</v>
      </c>
      <c r="Q99" s="55">
        <f>SUM('Cashflow - MF'!P89:P90)</f>
        <v>0</v>
      </c>
      <c r="R99" s="55">
        <f>SUM('Cashflow - MF'!Q89:Q90)</f>
        <v>27500000</v>
      </c>
      <c r="S99" s="55">
        <f>SUM('Cashflow - MF'!R89:R90)</f>
        <v>0</v>
      </c>
      <c r="T99" s="55">
        <f>SUM('Cashflow - MF'!S89:S90)</f>
        <v>0</v>
      </c>
      <c r="U99" s="1335"/>
      <c r="V99" s="54"/>
    </row>
    <row r="100" spans="1:22" ht="25" customHeight="1" x14ac:dyDescent="0.35">
      <c r="A100" s="356" t="s">
        <v>43</v>
      </c>
      <c r="B100" s="30"/>
      <c r="C100" s="64" t="s">
        <v>42</v>
      </c>
      <c r="D100" s="345">
        <f>SUM(D101:D102)</f>
        <v>76928000</v>
      </c>
      <c r="E100" s="188">
        <v>94883664</v>
      </c>
      <c r="F100" s="202">
        <v>118599274</v>
      </c>
      <c r="G100" s="225">
        <f>SUM(G101:G102)</f>
        <v>154000000</v>
      </c>
      <c r="H100" s="222">
        <f>IF(F100=0,0,(G100-F100)/F100)</f>
        <v>0.29849024202289803</v>
      </c>
      <c r="I100" s="28">
        <f>SUM(I101:I102)</f>
        <v>44458333.333333336</v>
      </c>
      <c r="J100" s="28">
        <f t="shared" ref="J100:T100" si="47">SUM(J101:J102)</f>
        <v>5958333.333333333</v>
      </c>
      <c r="K100" s="28">
        <f t="shared" si="47"/>
        <v>5958333.333333333</v>
      </c>
      <c r="L100" s="28">
        <f t="shared" si="47"/>
        <v>5958333.333333333</v>
      </c>
      <c r="M100" s="28">
        <f t="shared" si="47"/>
        <v>5958333.333333333</v>
      </c>
      <c r="N100" s="28">
        <f t="shared" si="47"/>
        <v>44458333.333333336</v>
      </c>
      <c r="O100" s="28">
        <f t="shared" si="47"/>
        <v>11458333.333333332</v>
      </c>
      <c r="P100" s="27">
        <f t="shared" si="47"/>
        <v>5958333.333333333</v>
      </c>
      <c r="Q100" s="28">
        <f t="shared" si="47"/>
        <v>5958333.333333333</v>
      </c>
      <c r="R100" s="28">
        <f t="shared" si="47"/>
        <v>5958333.333333333</v>
      </c>
      <c r="S100" s="28">
        <f t="shared" si="47"/>
        <v>5958333.333333333</v>
      </c>
      <c r="T100" s="28">
        <f t="shared" si="47"/>
        <v>5958333.333333333</v>
      </c>
      <c r="U100" s="1333"/>
      <c r="V100" s="3" t="s">
        <v>530</v>
      </c>
    </row>
    <row r="101" spans="1:22" s="53" customFormat="1" ht="25" customHeight="1" x14ac:dyDescent="0.35">
      <c r="A101" s="357" t="s">
        <v>41</v>
      </c>
      <c r="B101" s="57">
        <v>6427310</v>
      </c>
      <c r="C101" s="56" t="s">
        <v>40</v>
      </c>
      <c r="D101" s="346">
        <v>58728000</v>
      </c>
      <c r="E101" s="188">
        <v>48940000</v>
      </c>
      <c r="F101" s="203"/>
      <c r="G101" s="226">
        <f>SUM(I101:T101)</f>
        <v>71500000.000000015</v>
      </c>
      <c r="H101" s="227">
        <f>IF(F101=0,0,(G101-F101)/F101)</f>
        <v>0</v>
      </c>
      <c r="I101" s="55">
        <f>'Cashflow - MF'!H93</f>
        <v>5958333.333333333</v>
      </c>
      <c r="J101" s="55">
        <f>'Cashflow - MF'!I93</f>
        <v>5958333.333333333</v>
      </c>
      <c r="K101" s="55">
        <f>'Cashflow - MF'!J93</f>
        <v>5958333.333333333</v>
      </c>
      <c r="L101" s="55">
        <f>'Cashflow - MF'!K93</f>
        <v>5958333.333333333</v>
      </c>
      <c r="M101" s="55">
        <f>'Cashflow - MF'!L93</f>
        <v>5958333.333333333</v>
      </c>
      <c r="N101" s="55">
        <f>'Cashflow - MF'!M93</f>
        <v>5958333.333333333</v>
      </c>
      <c r="O101" s="55">
        <f>'Cashflow - MF'!N93</f>
        <v>5958333.333333333</v>
      </c>
      <c r="P101" s="55">
        <f>'Cashflow - MF'!O93</f>
        <v>5958333.333333333</v>
      </c>
      <c r="Q101" s="55">
        <f>'Cashflow - MF'!P93</f>
        <v>5958333.333333333</v>
      </c>
      <c r="R101" s="55">
        <f>'Cashflow - MF'!Q93</f>
        <v>5958333.333333333</v>
      </c>
      <c r="S101" s="55">
        <f>'Cashflow - MF'!R93</f>
        <v>5958333.333333333</v>
      </c>
      <c r="T101" s="55">
        <f>'Cashflow - MF'!S93</f>
        <v>5958333.333333333</v>
      </c>
      <c r="U101" s="1335" t="s">
        <v>516</v>
      </c>
      <c r="V101" s="54"/>
    </row>
    <row r="102" spans="1:22" s="53" customFormat="1" ht="25" customHeight="1" x14ac:dyDescent="0.35">
      <c r="A102" s="357" t="s">
        <v>39</v>
      </c>
      <c r="B102" s="57">
        <v>6427310</v>
      </c>
      <c r="C102" s="56" t="s">
        <v>38</v>
      </c>
      <c r="D102" s="346">
        <v>18200000</v>
      </c>
      <c r="E102" s="188">
        <v>45943664</v>
      </c>
      <c r="F102" s="626"/>
      <c r="G102" s="226">
        <f>SUM(I102:T102)</f>
        <v>82500000</v>
      </c>
      <c r="H102" s="227">
        <f>IF(F102=0,0,(G102-F102)/F102)</f>
        <v>0</v>
      </c>
      <c r="I102" s="55">
        <f>SUM('Cashflow - MF'!H94:H95)</f>
        <v>38500000</v>
      </c>
      <c r="J102" s="55">
        <f>SUM('Cashflow - MF'!I94:I95)</f>
        <v>0</v>
      </c>
      <c r="K102" s="55">
        <f>SUM('Cashflow - MF'!J94:J95)</f>
        <v>0</v>
      </c>
      <c r="L102" s="55">
        <f>SUM('Cashflow - MF'!K94:K95)</f>
        <v>0</v>
      </c>
      <c r="M102" s="55">
        <f>SUM('Cashflow - MF'!L94:L95)</f>
        <v>0</v>
      </c>
      <c r="N102" s="55">
        <f>SUM('Cashflow - MF'!M94:M95)</f>
        <v>38500000</v>
      </c>
      <c r="O102" s="55">
        <f>SUM('Cashflow - MF'!N94:N95)</f>
        <v>5500000</v>
      </c>
      <c r="P102" s="55">
        <f>SUM('Cashflow - MF'!O94:O95)</f>
        <v>0</v>
      </c>
      <c r="Q102" s="55">
        <f>SUM('Cashflow - MF'!P94:P95)</f>
        <v>0</v>
      </c>
      <c r="R102" s="55">
        <f>SUM('Cashflow - MF'!Q94:Q95)</f>
        <v>0</v>
      </c>
      <c r="S102" s="55">
        <f>SUM('Cashflow - MF'!R94:R95)</f>
        <v>0</v>
      </c>
      <c r="T102" s="55">
        <f>SUM('Cashflow - MF'!S94:S95)</f>
        <v>0</v>
      </c>
      <c r="U102" s="1335"/>
      <c r="V102" s="54"/>
    </row>
    <row r="103" spans="1:22" ht="25" customHeight="1" x14ac:dyDescent="0.35">
      <c r="A103" s="356" t="s">
        <v>31</v>
      </c>
      <c r="B103" s="30"/>
      <c r="C103" s="64" t="s">
        <v>30</v>
      </c>
      <c r="D103" s="345">
        <f>SUM(D104:D105)</f>
        <v>169760000</v>
      </c>
      <c r="E103" s="188">
        <v>0</v>
      </c>
      <c r="F103" s="202">
        <v>0</v>
      </c>
      <c r="G103" s="225">
        <f>SUM(G104:G105)</f>
        <v>339790000</v>
      </c>
      <c r="H103" s="222">
        <f t="shared" si="40"/>
        <v>0</v>
      </c>
      <c r="I103" s="27">
        <f>SUM(I104:I105)</f>
        <v>0</v>
      </c>
      <c r="J103" s="27">
        <f t="shared" ref="J103:T103" si="48">SUM(J104:J105)</f>
        <v>0</v>
      </c>
      <c r="K103" s="27">
        <f t="shared" si="48"/>
        <v>284790000</v>
      </c>
      <c r="L103" s="27">
        <f t="shared" si="48"/>
        <v>55000000.000000007</v>
      </c>
      <c r="M103" s="27">
        <f t="shared" si="48"/>
        <v>0</v>
      </c>
      <c r="N103" s="27">
        <f t="shared" si="48"/>
        <v>0</v>
      </c>
      <c r="O103" s="27">
        <f t="shared" si="48"/>
        <v>0</v>
      </c>
      <c r="P103" s="27">
        <f t="shared" si="48"/>
        <v>0</v>
      </c>
      <c r="Q103" s="27">
        <f t="shared" si="48"/>
        <v>0</v>
      </c>
      <c r="R103" s="27">
        <f t="shared" si="48"/>
        <v>0</v>
      </c>
      <c r="S103" s="27">
        <f t="shared" si="48"/>
        <v>0</v>
      </c>
      <c r="T103" s="27">
        <f t="shared" si="48"/>
        <v>0</v>
      </c>
      <c r="U103" s="1333"/>
      <c r="V103" s="3" t="s">
        <v>530</v>
      </c>
    </row>
    <row r="104" spans="1:22" s="53" customFormat="1" ht="25" customHeight="1" x14ac:dyDescent="0.35">
      <c r="A104" s="357" t="s">
        <v>29</v>
      </c>
      <c r="B104" s="57"/>
      <c r="C104" s="56" t="s">
        <v>27</v>
      </c>
      <c r="D104" s="346">
        <v>119760000</v>
      </c>
      <c r="E104" s="188">
        <v>0</v>
      </c>
      <c r="F104" s="203"/>
      <c r="G104" s="226">
        <f t="shared" ref="G104:G111" si="49">SUM(I104:T104)</f>
        <v>284790000</v>
      </c>
      <c r="H104" s="227">
        <f t="shared" si="40"/>
        <v>0</v>
      </c>
      <c r="I104" s="55">
        <f>SUM('Cashflow - MF'!H98:H100)</f>
        <v>0</v>
      </c>
      <c r="J104" s="55">
        <f>SUM('Cashflow - MF'!I98:I100)</f>
        <v>0</v>
      </c>
      <c r="K104" s="55">
        <f>SUM('Cashflow - MF'!J98:J100)</f>
        <v>284790000</v>
      </c>
      <c r="L104" s="55">
        <f>SUM('Cashflow - MF'!K98:K100)</f>
        <v>0</v>
      </c>
      <c r="M104" s="55">
        <f>SUM('Cashflow - MF'!L98:L100)</f>
        <v>0</v>
      </c>
      <c r="N104" s="55">
        <f>SUM('Cashflow - MF'!M98:M100)</f>
        <v>0</v>
      </c>
      <c r="O104" s="55">
        <f>SUM('Cashflow - MF'!N98:N100)</f>
        <v>0</v>
      </c>
      <c r="P104" s="27">
        <f>SUM('Cashflow - MF'!O98:O100)</f>
        <v>0</v>
      </c>
      <c r="Q104" s="55">
        <f>SUM('Cashflow - MF'!P98:P100)</f>
        <v>0</v>
      </c>
      <c r="R104" s="55">
        <f>SUM('Cashflow - MF'!Q98:Q100)</f>
        <v>0</v>
      </c>
      <c r="S104" s="55">
        <f>SUM('Cashflow - MF'!R98:R100)</f>
        <v>0</v>
      </c>
      <c r="T104" s="55">
        <f>SUM('Cashflow - MF'!S98:S100)</f>
        <v>0</v>
      </c>
      <c r="U104" s="1335"/>
      <c r="V104" s="54"/>
    </row>
    <row r="105" spans="1:22" s="53" customFormat="1" ht="25" customHeight="1" x14ac:dyDescent="0.35">
      <c r="A105" s="357" t="s">
        <v>28</v>
      </c>
      <c r="B105" s="57"/>
      <c r="C105" s="56" t="s">
        <v>529</v>
      </c>
      <c r="D105" s="346">
        <v>49999999.999999993</v>
      </c>
      <c r="E105" s="188">
        <v>0</v>
      </c>
      <c r="F105" s="203"/>
      <c r="G105" s="226">
        <f t="shared" si="49"/>
        <v>55000000.000000007</v>
      </c>
      <c r="H105" s="227">
        <f t="shared" si="40"/>
        <v>0</v>
      </c>
      <c r="I105" s="55">
        <f>'Cashflow - MF'!H101</f>
        <v>0</v>
      </c>
      <c r="J105" s="55">
        <f>'Cashflow - MF'!I101</f>
        <v>0</v>
      </c>
      <c r="K105" s="55">
        <f>'Cashflow - MF'!J101</f>
        <v>0</v>
      </c>
      <c r="L105" s="55">
        <f>'Cashflow - MF'!K101</f>
        <v>55000000.000000007</v>
      </c>
      <c r="M105" s="55">
        <f>'Cashflow - MF'!L101</f>
        <v>0</v>
      </c>
      <c r="N105" s="55">
        <f>'Cashflow - MF'!M101</f>
        <v>0</v>
      </c>
      <c r="O105" s="55">
        <f>'Cashflow - MF'!N101</f>
        <v>0</v>
      </c>
      <c r="P105" s="27">
        <f>'Cashflow - MF'!O101</f>
        <v>0</v>
      </c>
      <c r="Q105" s="55">
        <f>'Cashflow - MF'!P101</f>
        <v>0</v>
      </c>
      <c r="R105" s="55">
        <f>'Cashflow - MF'!Q101</f>
        <v>0</v>
      </c>
      <c r="S105" s="55">
        <f>'Cashflow - MF'!R101</f>
        <v>0</v>
      </c>
      <c r="T105" s="55">
        <f>'Cashflow - MF'!S101</f>
        <v>0</v>
      </c>
      <c r="U105" s="1335"/>
      <c r="V105" s="54"/>
    </row>
    <row r="106" spans="1:22" ht="25" customHeight="1" x14ac:dyDescent="0.35">
      <c r="A106" s="356" t="s">
        <v>16</v>
      </c>
      <c r="B106" s="30">
        <v>6427318</v>
      </c>
      <c r="C106" s="64" t="s">
        <v>15</v>
      </c>
      <c r="D106" s="345">
        <v>41000000</v>
      </c>
      <c r="E106" s="188">
        <v>38369830.235485032</v>
      </c>
      <c r="F106" s="202">
        <v>37273602</v>
      </c>
      <c r="G106" s="225">
        <f>SUM(I106:T106)</f>
        <v>24200000</v>
      </c>
      <c r="H106" s="222">
        <f>IF(F106=0,0,(G106-F106)/F106)</f>
        <v>-0.35074694417781249</v>
      </c>
      <c r="I106" s="27">
        <f>'Cashflow - MF'!H118</f>
        <v>1100000.0000000002</v>
      </c>
      <c r="J106" s="27">
        <f>'Cashflow - MF'!I118</f>
        <v>1100000.0000000002</v>
      </c>
      <c r="K106" s="27">
        <f>'Cashflow - MF'!J118</f>
        <v>1100000.0000000002</v>
      </c>
      <c r="L106" s="27">
        <f>'Cashflow - MF'!K118</f>
        <v>1100000.0000000002</v>
      </c>
      <c r="M106" s="27">
        <f>'Cashflow - MF'!L118</f>
        <v>1100000.0000000002</v>
      </c>
      <c r="N106" s="27">
        <f>'Cashflow - MF'!M118</f>
        <v>1100000.0000000002</v>
      </c>
      <c r="O106" s="27">
        <f>'Cashflow - MF'!N118</f>
        <v>1100000.0000000002</v>
      </c>
      <c r="P106" s="27">
        <f>'Cashflow - MF'!O118</f>
        <v>1100000.0000000002</v>
      </c>
      <c r="Q106" s="27">
        <f>'Cashflow - MF'!P118</f>
        <v>12100000</v>
      </c>
      <c r="R106" s="27">
        <f>'Cashflow - MF'!Q118</f>
        <v>1100000.0000000002</v>
      </c>
      <c r="S106" s="27">
        <f>'Cashflow - MF'!R118</f>
        <v>1100000.0000000002</v>
      </c>
      <c r="T106" s="27">
        <f>'Cashflow - MF'!S118</f>
        <v>1100000.0000000002</v>
      </c>
      <c r="U106" s="1333"/>
      <c r="V106" s="3" t="s">
        <v>532</v>
      </c>
    </row>
    <row r="107" spans="1:22" ht="25" customHeight="1" x14ac:dyDescent="0.35">
      <c r="A107" s="356" t="s">
        <v>26</v>
      </c>
      <c r="B107" s="30"/>
      <c r="C107" s="64" t="s">
        <v>25</v>
      </c>
      <c r="D107" s="345">
        <v>7160000</v>
      </c>
      <c r="E107" s="188">
        <v>0</v>
      </c>
      <c r="F107" s="202">
        <v>0</v>
      </c>
      <c r="G107" s="225">
        <f t="shared" si="49"/>
        <v>207900000</v>
      </c>
      <c r="H107" s="222">
        <f t="shared" si="40"/>
        <v>0</v>
      </c>
      <c r="I107" s="27">
        <f>'Cashflow - MF'!H124</f>
        <v>0</v>
      </c>
      <c r="J107" s="27">
        <f>'Cashflow - MF'!I124</f>
        <v>6600000.0000000009</v>
      </c>
      <c r="K107" s="27">
        <f>'Cashflow - MF'!J124</f>
        <v>30800000.000000004</v>
      </c>
      <c r="L107" s="27">
        <f>'Cashflow - MF'!K124</f>
        <v>165000000</v>
      </c>
      <c r="M107" s="27">
        <f>'Cashflow - MF'!L124</f>
        <v>0</v>
      </c>
      <c r="N107" s="27">
        <f>'Cashflow - MF'!M124</f>
        <v>5500000</v>
      </c>
      <c r="O107" s="27">
        <f>'Cashflow - MF'!N124</f>
        <v>0</v>
      </c>
      <c r="P107" s="27">
        <f>'Cashflow - MF'!O124</f>
        <v>0</v>
      </c>
      <c r="Q107" s="27">
        <f>'Cashflow - MF'!P124</f>
        <v>0</v>
      </c>
      <c r="R107" s="27">
        <f>'Cashflow - MF'!Q124</f>
        <v>0</v>
      </c>
      <c r="S107" s="27">
        <f>'Cashflow - MF'!R124</f>
        <v>0</v>
      </c>
      <c r="T107" s="27">
        <f>'Cashflow - MF'!S124</f>
        <v>0</v>
      </c>
      <c r="U107" s="1333"/>
      <c r="V107" s="3" t="s">
        <v>530</v>
      </c>
    </row>
    <row r="108" spans="1:22" ht="25" customHeight="1" x14ac:dyDescent="0.35">
      <c r="A108" s="356" t="s">
        <v>24</v>
      </c>
      <c r="B108" s="30"/>
      <c r="C108" s="64" t="s">
        <v>23</v>
      </c>
      <c r="D108" s="345">
        <v>9000000</v>
      </c>
      <c r="E108" s="188">
        <v>1477056</v>
      </c>
      <c r="F108" s="202">
        <v>1477056</v>
      </c>
      <c r="G108" s="225">
        <f t="shared" si="49"/>
        <v>13200000</v>
      </c>
      <c r="H108" s="222">
        <f t="shared" si="40"/>
        <v>7.9366956973872353</v>
      </c>
      <c r="I108" s="27">
        <f>'Cashflow - MF'!H128</f>
        <v>0</v>
      </c>
      <c r="J108" s="27">
        <f>'Cashflow - MF'!I128</f>
        <v>0</v>
      </c>
      <c r="K108" s="27">
        <f>'Cashflow - MF'!J128</f>
        <v>0</v>
      </c>
      <c r="L108" s="27">
        <f>'Cashflow - MF'!K128</f>
        <v>0</v>
      </c>
      <c r="M108" s="27">
        <f>'Cashflow - MF'!L128</f>
        <v>0</v>
      </c>
      <c r="N108" s="27">
        <f>'Cashflow - MF'!M128</f>
        <v>13200000</v>
      </c>
      <c r="O108" s="27">
        <f>'Cashflow - MF'!N128</f>
        <v>0</v>
      </c>
      <c r="P108" s="27">
        <f>'Cashflow - MF'!O128</f>
        <v>0</v>
      </c>
      <c r="Q108" s="27">
        <f>'Cashflow - MF'!P128</f>
        <v>0</v>
      </c>
      <c r="R108" s="27">
        <f>'Cashflow - MF'!Q128</f>
        <v>0</v>
      </c>
      <c r="S108" s="27">
        <f>'Cashflow - MF'!R128</f>
        <v>0</v>
      </c>
      <c r="T108" s="27">
        <f>'Cashflow - MF'!S128</f>
        <v>0</v>
      </c>
      <c r="U108" s="1333"/>
      <c r="V108" s="3" t="s">
        <v>532</v>
      </c>
    </row>
    <row r="109" spans="1:22" ht="25" customHeight="1" x14ac:dyDescent="0.35">
      <c r="A109" s="356" t="s">
        <v>22</v>
      </c>
      <c r="B109" s="30"/>
      <c r="C109" s="64" t="s">
        <v>21</v>
      </c>
      <c r="D109" s="345">
        <v>0</v>
      </c>
      <c r="E109" s="188">
        <v>0</v>
      </c>
      <c r="F109" s="202">
        <v>0</v>
      </c>
      <c r="G109" s="225">
        <f t="shared" si="49"/>
        <v>44000000</v>
      </c>
      <c r="H109" s="222">
        <f t="shared" si="40"/>
        <v>0</v>
      </c>
      <c r="I109" s="27">
        <f>'Cashflow - MF'!H133</f>
        <v>0</v>
      </c>
      <c r="J109" s="27">
        <f>'Cashflow - MF'!I133</f>
        <v>0</v>
      </c>
      <c r="K109" s="27">
        <f>'Cashflow - MF'!J133</f>
        <v>0</v>
      </c>
      <c r="L109" s="27">
        <f>'Cashflow - MF'!K133</f>
        <v>0</v>
      </c>
      <c r="M109" s="27">
        <f>'Cashflow - MF'!L133</f>
        <v>0</v>
      </c>
      <c r="N109" s="27">
        <f>'Cashflow - MF'!M133</f>
        <v>11000000</v>
      </c>
      <c r="O109" s="27">
        <f>'Cashflow - MF'!N133</f>
        <v>0</v>
      </c>
      <c r="P109" s="27">
        <f>'Cashflow - MF'!O133</f>
        <v>0</v>
      </c>
      <c r="Q109" s="27">
        <f>'Cashflow - MF'!P133</f>
        <v>5500000</v>
      </c>
      <c r="R109" s="27">
        <f>'Cashflow - MF'!Q133</f>
        <v>0</v>
      </c>
      <c r="S109" s="27">
        <f>'Cashflow - MF'!R133</f>
        <v>0</v>
      </c>
      <c r="T109" s="27">
        <f>'Cashflow - MF'!S133</f>
        <v>27500000</v>
      </c>
      <c r="U109" s="1333"/>
      <c r="V109" s="3" t="s">
        <v>530</v>
      </c>
    </row>
    <row r="110" spans="1:22" ht="25" customHeight="1" x14ac:dyDescent="0.35">
      <c r="A110" s="356" t="s">
        <v>20</v>
      </c>
      <c r="B110" s="30">
        <v>6427315</v>
      </c>
      <c r="C110" s="64" t="s">
        <v>19</v>
      </c>
      <c r="D110" s="345">
        <v>30000000</v>
      </c>
      <c r="E110" s="188">
        <v>119415954</v>
      </c>
      <c r="F110" s="202">
        <v>325555342</v>
      </c>
      <c r="G110" s="225">
        <f t="shared" si="49"/>
        <v>1439679999.9999995</v>
      </c>
      <c r="H110" s="222">
        <f t="shared" si="40"/>
        <v>3.4222281568336221</v>
      </c>
      <c r="I110" s="27">
        <f>'Cashflow - MF'!H147</f>
        <v>106608333.33333333</v>
      </c>
      <c r="J110" s="27">
        <f>'Cashflow - MF'!I147</f>
        <v>15308333.333333334</v>
      </c>
      <c r="K110" s="27">
        <f>'Cashflow - MF'!J147</f>
        <v>576308333.33333325</v>
      </c>
      <c r="L110" s="27">
        <f>'Cashflow - MF'!K147</f>
        <v>92308333.333333328</v>
      </c>
      <c r="M110" s="27">
        <f>'Cashflow - MF'!L147</f>
        <v>86808333.333333328</v>
      </c>
      <c r="N110" s="27">
        <f>'Cashflow - MF'!M147</f>
        <v>290308333.33333331</v>
      </c>
      <c r="O110" s="27">
        <f>'Cashflow - MF'!N147</f>
        <v>86808333.333333328</v>
      </c>
      <c r="P110" s="27">
        <f>'Cashflow - MF'!O147</f>
        <v>31808333.333333336</v>
      </c>
      <c r="Q110" s="27">
        <f>'Cashflow - MF'!P147</f>
        <v>15308333.333333336</v>
      </c>
      <c r="R110" s="27">
        <f>'Cashflow - MF'!Q147</f>
        <v>97808333.333333328</v>
      </c>
      <c r="S110" s="27">
        <f>'Cashflow - MF'!R147</f>
        <v>4308333.333333334</v>
      </c>
      <c r="T110" s="27">
        <f>'Cashflow - MF'!S147</f>
        <v>35988333.333333336</v>
      </c>
      <c r="U110" s="1333"/>
      <c r="V110" s="3" t="s">
        <v>530</v>
      </c>
    </row>
    <row r="111" spans="1:22" ht="25" customHeight="1" x14ac:dyDescent="0.35">
      <c r="A111" s="356" t="s">
        <v>18</v>
      </c>
      <c r="B111" s="30">
        <v>6427316</v>
      </c>
      <c r="C111" s="64" t="s">
        <v>17</v>
      </c>
      <c r="D111" s="345">
        <v>249000000</v>
      </c>
      <c r="E111" s="188">
        <v>11170763</v>
      </c>
      <c r="F111" s="202">
        <v>58390750</v>
      </c>
      <c r="G111" s="225">
        <f t="shared" si="49"/>
        <v>207240000</v>
      </c>
      <c r="H111" s="222">
        <f t="shared" si="40"/>
        <v>2.5491922950124808</v>
      </c>
      <c r="I111" s="27">
        <f>'Cashflow - MF'!H155</f>
        <v>8800000</v>
      </c>
      <c r="J111" s="27">
        <f>'Cashflow - MF'!I155</f>
        <v>3300000</v>
      </c>
      <c r="K111" s="27">
        <f>'Cashflow - MF'!J155</f>
        <v>93500000</v>
      </c>
      <c r="L111" s="27">
        <f>'Cashflow - MF'!K155</f>
        <v>8800000</v>
      </c>
      <c r="M111" s="27">
        <f>'Cashflow - MF'!L155</f>
        <v>3300000</v>
      </c>
      <c r="N111" s="27">
        <f>'Cashflow - MF'!M155</f>
        <v>17270000</v>
      </c>
      <c r="O111" s="27">
        <f>'Cashflow - MF'!N155</f>
        <v>8800000</v>
      </c>
      <c r="P111" s="27">
        <f>'Cashflow - MF'!O155</f>
        <v>3300000</v>
      </c>
      <c r="Q111" s="27">
        <f>'Cashflow - MF'!P155</f>
        <v>3300000</v>
      </c>
      <c r="R111" s="27">
        <f>'Cashflow - MF'!Q155</f>
        <v>30800000</v>
      </c>
      <c r="S111" s="27">
        <f>'Cashflow - MF'!R155</f>
        <v>3300000</v>
      </c>
      <c r="T111" s="27">
        <f>'Cashflow - MF'!S155</f>
        <v>22770000</v>
      </c>
      <c r="U111" s="1333" t="s">
        <v>522</v>
      </c>
      <c r="V111" s="3" t="s">
        <v>532</v>
      </c>
    </row>
    <row r="112" spans="1:22" ht="25" customHeight="1" x14ac:dyDescent="0.35">
      <c r="A112" s="52"/>
      <c r="B112" s="51"/>
      <c r="C112" s="50" t="s">
        <v>14</v>
      </c>
      <c r="D112" s="999">
        <f>SUM(D80:D81,D82,D85,D88:D90,D91,D94,D100,D97,D103,D106:E111)</f>
        <v>3844329103.2354851</v>
      </c>
      <c r="E112" s="49">
        <v>2413679065.2354851</v>
      </c>
      <c r="F112" s="999">
        <v>2988401239</v>
      </c>
      <c r="G112" s="49">
        <f>SUM(G80:G81,G82,G85,G88:G90,G91,G94,G100,G97,G103,G106:G111)</f>
        <v>7992364600</v>
      </c>
      <c r="H112" s="986">
        <f t="shared" si="40"/>
        <v>1.6744616806123604</v>
      </c>
      <c r="I112" s="49">
        <f>SUM(I80:I81,I82,I85,I88:I90,I91,I94,I100,I97,I103,I106:I111)</f>
        <v>609666750</v>
      </c>
      <c r="J112" s="49">
        <f t="shared" ref="J112:S112" si="50">SUM(J80:J81,J82,J85,J88:J90,J91,J94,J100,J97,J103,J106:J111)</f>
        <v>953966750</v>
      </c>
      <c r="K112" s="49">
        <f t="shared" si="50"/>
        <v>1487543750</v>
      </c>
      <c r="L112" s="49">
        <f t="shared" si="50"/>
        <v>855472750.00000012</v>
      </c>
      <c r="M112" s="49">
        <f t="shared" si="50"/>
        <v>577062750</v>
      </c>
      <c r="N112" s="49">
        <f t="shared" si="50"/>
        <v>1067497750</v>
      </c>
      <c r="O112" s="49">
        <f t="shared" si="50"/>
        <v>404032749.99999994</v>
      </c>
      <c r="P112" s="49">
        <f t="shared" si="50"/>
        <v>307782750</v>
      </c>
      <c r="Q112" s="49">
        <f t="shared" si="50"/>
        <v>411369750</v>
      </c>
      <c r="R112" s="49">
        <f t="shared" si="50"/>
        <v>505338350</v>
      </c>
      <c r="S112" s="49">
        <f t="shared" si="50"/>
        <v>368062749.99999994</v>
      </c>
      <c r="T112" s="49">
        <f>SUM(T80:T81,T82,T85,T88:T90,T91,T94,T100,T97,T103,T106:T111)</f>
        <v>444567750</v>
      </c>
      <c r="U112" s="1328"/>
      <c r="V112" s="3"/>
    </row>
    <row r="113" spans="1:22" s="39" customFormat="1" ht="5.15" customHeight="1" x14ac:dyDescent="0.35">
      <c r="A113" s="358"/>
      <c r="B113" s="43"/>
      <c r="C113" s="63"/>
      <c r="D113" s="193"/>
      <c r="E113" s="63"/>
      <c r="F113" s="193"/>
      <c r="G113" s="61"/>
      <c r="H113" s="207"/>
      <c r="I113" s="61"/>
      <c r="J113" s="61"/>
      <c r="K113" s="61"/>
      <c r="L113" s="61"/>
      <c r="M113" s="61"/>
      <c r="N113" s="61"/>
      <c r="O113" s="61"/>
      <c r="P113" s="61"/>
      <c r="Q113" s="61"/>
      <c r="R113" s="101"/>
      <c r="S113" s="101"/>
      <c r="T113" s="101"/>
      <c r="U113" s="1325"/>
      <c r="V113" s="40"/>
    </row>
    <row r="114" spans="1:22" s="58" customFormat="1" ht="25" customHeight="1" x14ac:dyDescent="0.35">
      <c r="A114" s="982" t="s">
        <v>13</v>
      </c>
      <c r="B114" s="998"/>
      <c r="C114" s="1003" t="s">
        <v>1014</v>
      </c>
      <c r="D114" s="1000"/>
      <c r="E114" s="23"/>
      <c r="F114" s="1272"/>
      <c r="G114" s="31"/>
      <c r="H114" s="1002"/>
      <c r="I114" s="32"/>
      <c r="J114" s="32"/>
      <c r="K114" s="32"/>
      <c r="L114" s="32"/>
      <c r="M114" s="32"/>
      <c r="N114" s="32"/>
      <c r="O114" s="32"/>
      <c r="P114" s="32"/>
      <c r="Q114" s="32"/>
      <c r="R114" s="31"/>
      <c r="S114" s="31"/>
      <c r="T114" s="31"/>
      <c r="U114" s="1331"/>
      <c r="V114" s="3"/>
    </row>
    <row r="115" spans="1:22" ht="25" customHeight="1" x14ac:dyDescent="0.35">
      <c r="A115" s="356" t="s">
        <v>12</v>
      </c>
      <c r="B115" s="30">
        <v>64275</v>
      </c>
      <c r="C115" s="29" t="s">
        <v>11</v>
      </c>
      <c r="D115" s="345">
        <v>3085706334</v>
      </c>
      <c r="E115" s="188">
        <v>2664243287.000001</v>
      </c>
      <c r="F115" s="202">
        <v>3394207155</v>
      </c>
      <c r="G115" s="225">
        <f>SUM(G116:G117)</f>
        <v>3650044575.466661</v>
      </c>
      <c r="H115" s="222">
        <f t="shared" ref="H115:H120" si="51">IF(F115=0,0,(G115-F115)/F115)</f>
        <v>7.5374721925792698E-2</v>
      </c>
      <c r="I115" s="27">
        <f>SUM(I116:I117)</f>
        <v>304170381.28888845</v>
      </c>
      <c r="J115" s="27">
        <f t="shared" ref="J115:T115" si="52">SUM(J116:J117)</f>
        <v>304170381.28888845</v>
      </c>
      <c r="K115" s="27">
        <f t="shared" si="52"/>
        <v>304170381.28888845</v>
      </c>
      <c r="L115" s="27">
        <f t="shared" si="52"/>
        <v>304170381.28888845</v>
      </c>
      <c r="M115" s="27">
        <f t="shared" si="52"/>
        <v>304170381.28888845</v>
      </c>
      <c r="N115" s="27">
        <f t="shared" si="52"/>
        <v>304170381.28888845</v>
      </c>
      <c r="O115" s="27">
        <f t="shared" si="52"/>
        <v>304170381.28888845</v>
      </c>
      <c r="P115" s="27">
        <f t="shared" si="52"/>
        <v>304170381.28888845</v>
      </c>
      <c r="Q115" s="27">
        <f t="shared" si="52"/>
        <v>304170381.28888845</v>
      </c>
      <c r="R115" s="27">
        <f t="shared" si="52"/>
        <v>304170381.28888845</v>
      </c>
      <c r="S115" s="27">
        <f t="shared" si="52"/>
        <v>304170381.28888845</v>
      </c>
      <c r="T115" s="27">
        <f t="shared" si="52"/>
        <v>304170381.28888845</v>
      </c>
      <c r="U115" s="1333"/>
      <c r="V115" s="3"/>
    </row>
    <row r="116" spans="1:22" s="53" customFormat="1" ht="25" customHeight="1" x14ac:dyDescent="0.35">
      <c r="A116" s="357" t="s">
        <v>10</v>
      </c>
      <c r="B116" s="57">
        <v>642751</v>
      </c>
      <c r="C116" s="56" t="s">
        <v>9</v>
      </c>
      <c r="D116" s="346">
        <v>374190924</v>
      </c>
      <c r="E116" s="188">
        <v>309273018.9130435</v>
      </c>
      <c r="F116" s="203"/>
      <c r="G116" s="226">
        <f>SUM(I116:T116)</f>
        <v>528000000</v>
      </c>
      <c r="H116" s="227">
        <f t="shared" si="51"/>
        <v>0</v>
      </c>
      <c r="I116" s="55">
        <f>'General-Budget 2018 - MF'!J116*1.1</f>
        <v>44000000</v>
      </c>
      <c r="J116" s="55">
        <f>'General-Budget 2018 - MF'!K116*1.1</f>
        <v>44000000</v>
      </c>
      <c r="K116" s="55">
        <f>'General-Budget 2018 - MF'!L116*1.1</f>
        <v>44000000</v>
      </c>
      <c r="L116" s="55">
        <f>'General-Budget 2018 - MF'!M116*1.1</f>
        <v>44000000</v>
      </c>
      <c r="M116" s="55">
        <f>'General-Budget 2018 - MF'!N116*1.1</f>
        <v>44000000</v>
      </c>
      <c r="N116" s="55">
        <f>'General-Budget 2018 - MF'!O116*1.1</f>
        <v>44000000</v>
      </c>
      <c r="O116" s="55">
        <f>'General-Budget 2018 - MF'!P116*1.1</f>
        <v>44000000</v>
      </c>
      <c r="P116" s="55">
        <f>'General-Budget 2018 - MF'!Q116*1.1</f>
        <v>44000000</v>
      </c>
      <c r="Q116" s="55">
        <f>'General-Budget 2018 - MF'!R116*1.1</f>
        <v>44000000</v>
      </c>
      <c r="R116" s="55">
        <f>'General-Budget 2018 - MF'!S116*1.1</f>
        <v>44000000</v>
      </c>
      <c r="S116" s="55">
        <f>'General-Budget 2018 - MF'!T116*1.1</f>
        <v>44000000</v>
      </c>
      <c r="T116" s="55">
        <f>'General-Budget 2018 - MF'!U116*1.1</f>
        <v>44000000</v>
      </c>
      <c r="U116" s="1335"/>
      <c r="V116" s="54" t="s">
        <v>530</v>
      </c>
    </row>
    <row r="117" spans="1:22" s="53" customFormat="1" ht="25" customHeight="1" x14ac:dyDescent="0.35">
      <c r="A117" s="357" t="s">
        <v>8</v>
      </c>
      <c r="B117" s="57">
        <v>642752</v>
      </c>
      <c r="C117" s="56" t="s">
        <v>7</v>
      </c>
      <c r="D117" s="346">
        <v>2711515410</v>
      </c>
      <c r="E117" s="188">
        <v>2354970268.086957</v>
      </c>
      <c r="F117" s="203"/>
      <c r="G117" s="226">
        <f>SUM(I117:T117)</f>
        <v>3122044575.466661</v>
      </c>
      <c r="H117" s="227">
        <f t="shared" si="51"/>
        <v>0</v>
      </c>
      <c r="I117" s="55">
        <f>I24</f>
        <v>260170381.28888842</v>
      </c>
      <c r="J117" s="55">
        <f t="shared" ref="J117:T117" si="53">J24</f>
        <v>260170381.28888842</v>
      </c>
      <c r="K117" s="55">
        <f t="shared" si="53"/>
        <v>260170381.28888842</v>
      </c>
      <c r="L117" s="55">
        <f t="shared" si="53"/>
        <v>260170381.28888842</v>
      </c>
      <c r="M117" s="55">
        <f t="shared" si="53"/>
        <v>260170381.28888842</v>
      </c>
      <c r="N117" s="55">
        <f t="shared" si="53"/>
        <v>260170381.28888842</v>
      </c>
      <c r="O117" s="55">
        <f t="shared" si="53"/>
        <v>260170381.28888842</v>
      </c>
      <c r="P117" s="55">
        <f t="shared" si="53"/>
        <v>260170381.28888842</v>
      </c>
      <c r="Q117" s="55">
        <f t="shared" si="53"/>
        <v>260170381.28888842</v>
      </c>
      <c r="R117" s="55">
        <f t="shared" si="53"/>
        <v>260170381.28888842</v>
      </c>
      <c r="S117" s="55">
        <f t="shared" si="53"/>
        <v>260170381.28888842</v>
      </c>
      <c r="T117" s="55">
        <f t="shared" si="53"/>
        <v>260170381.28888842</v>
      </c>
      <c r="U117" s="1335" t="s">
        <v>528</v>
      </c>
      <c r="V117" s="54" t="s">
        <v>530</v>
      </c>
    </row>
    <row r="118" spans="1:22" ht="25" customHeight="1" x14ac:dyDescent="0.35">
      <c r="A118" s="356" t="s">
        <v>6</v>
      </c>
      <c r="B118" s="30">
        <v>64274</v>
      </c>
      <c r="C118" s="29" t="s">
        <v>5</v>
      </c>
      <c r="D118" s="345">
        <v>3874500000</v>
      </c>
      <c r="E118" s="188">
        <v>3207275103.909091</v>
      </c>
      <c r="F118" s="202">
        <v>4222482619</v>
      </c>
      <c r="G118" s="225">
        <f>SUM(I118:T118)</f>
        <v>4505602970.6771269</v>
      </c>
      <c r="H118" s="222">
        <f t="shared" si="51"/>
        <v>6.7050684922458623E-2</v>
      </c>
      <c r="I118" s="27">
        <f>(321769945.686869*1.0608)*1.1</f>
        <v>375466914.22309381</v>
      </c>
      <c r="J118" s="27">
        <f>(321769945.686869*1.0608)*1.1</f>
        <v>375466914.22309381</v>
      </c>
      <c r="K118" s="27">
        <f>(321769945.686869*1.0608)*1.1</f>
        <v>375466914.22309381</v>
      </c>
      <c r="L118" s="27">
        <f>K118</f>
        <v>375466914.22309381</v>
      </c>
      <c r="M118" s="27">
        <f>L118</f>
        <v>375466914.22309381</v>
      </c>
      <c r="N118" s="27">
        <f t="shared" ref="N118:T118" si="54">M118</f>
        <v>375466914.22309381</v>
      </c>
      <c r="O118" s="27">
        <f t="shared" si="54"/>
        <v>375466914.22309381</v>
      </c>
      <c r="P118" s="27">
        <f t="shared" si="54"/>
        <v>375466914.22309381</v>
      </c>
      <c r="Q118" s="27">
        <f t="shared" si="54"/>
        <v>375466914.22309381</v>
      </c>
      <c r="R118" s="27">
        <f t="shared" si="54"/>
        <v>375466914.22309381</v>
      </c>
      <c r="S118" s="27">
        <f t="shared" si="54"/>
        <v>375466914.22309381</v>
      </c>
      <c r="T118" s="27">
        <f t="shared" si="54"/>
        <v>375466914.22309381</v>
      </c>
      <c r="U118" s="1333"/>
      <c r="V118" s="3" t="s">
        <v>530</v>
      </c>
    </row>
    <row r="119" spans="1:22" ht="25" customHeight="1" x14ac:dyDescent="0.35">
      <c r="A119" s="356" t="s">
        <v>4</v>
      </c>
      <c r="B119" s="30"/>
      <c r="C119" s="29" t="s">
        <v>3</v>
      </c>
      <c r="D119" s="345">
        <v>0</v>
      </c>
      <c r="E119" s="188">
        <v>0</v>
      </c>
      <c r="F119" s="202">
        <v>60639999.999999993</v>
      </c>
      <c r="G119" s="225">
        <f>SUM(I119:T119)</f>
        <v>66704880.000000015</v>
      </c>
      <c r="H119" s="222">
        <f t="shared" si="51"/>
        <v>0.10001451187335131</v>
      </c>
      <c r="I119" s="27">
        <f>'Cashflow - MF'!H157</f>
        <v>0</v>
      </c>
      <c r="J119" s="27">
        <f>'Cashflow - MF'!I157</f>
        <v>0</v>
      </c>
      <c r="K119" s="27">
        <f>'Cashflow - MF'!J157</f>
        <v>0</v>
      </c>
      <c r="L119" s="27">
        <f>'Cashflow - MF'!K157</f>
        <v>0</v>
      </c>
      <c r="M119" s="27">
        <f>'Cashflow - MF'!L157</f>
        <v>0</v>
      </c>
      <c r="N119" s="27">
        <f>'Cashflow - MF'!M157</f>
        <v>0</v>
      </c>
      <c r="O119" s="27">
        <f>'Cashflow - MF'!N157</f>
        <v>0</v>
      </c>
      <c r="P119" s="27">
        <f>'Cashflow - MF'!O157</f>
        <v>0</v>
      </c>
      <c r="Q119" s="27">
        <f>'Cashflow - MF'!P157</f>
        <v>0</v>
      </c>
      <c r="R119" s="27">
        <f>'Cashflow - MF'!Q157</f>
        <v>66704880.000000015</v>
      </c>
      <c r="S119" s="27">
        <f>'Cashflow - MF'!R157</f>
        <v>0</v>
      </c>
      <c r="T119" s="27">
        <f>'Cashflow - MF'!S157</f>
        <v>0</v>
      </c>
      <c r="U119" s="1336"/>
      <c r="V119" s="3" t="s">
        <v>537</v>
      </c>
    </row>
    <row r="120" spans="1:22" ht="25" customHeight="1" x14ac:dyDescent="0.35">
      <c r="A120" s="52"/>
      <c r="B120" s="51"/>
      <c r="C120" s="50" t="s">
        <v>2</v>
      </c>
      <c r="D120" s="999">
        <f>SUM(D115,D118:D119)</f>
        <v>6960206334</v>
      </c>
      <c r="E120" s="49">
        <v>5871518390.9090919</v>
      </c>
      <c r="F120" s="999">
        <v>7677329774</v>
      </c>
      <c r="G120" s="49">
        <f>SUM(G115,G118:G119)</f>
        <v>8222352426.1437874</v>
      </c>
      <c r="H120" s="986">
        <f t="shared" si="51"/>
        <v>7.0991173778877897E-2</v>
      </c>
      <c r="I120" s="49">
        <f>SUM(I115,I118:I119)</f>
        <v>679637295.5119822</v>
      </c>
      <c r="J120" s="49">
        <f t="shared" ref="J120:T120" si="55">SUM(J115,J118:J119)</f>
        <v>679637295.5119822</v>
      </c>
      <c r="K120" s="49">
        <f t="shared" si="55"/>
        <v>679637295.5119822</v>
      </c>
      <c r="L120" s="49">
        <f t="shared" si="55"/>
        <v>679637295.5119822</v>
      </c>
      <c r="M120" s="49">
        <f t="shared" si="55"/>
        <v>679637295.5119822</v>
      </c>
      <c r="N120" s="49">
        <f t="shared" si="55"/>
        <v>679637295.5119822</v>
      </c>
      <c r="O120" s="49">
        <f t="shared" si="55"/>
        <v>679637295.5119822</v>
      </c>
      <c r="P120" s="49">
        <f t="shared" si="55"/>
        <v>679637295.5119822</v>
      </c>
      <c r="Q120" s="49">
        <f t="shared" si="55"/>
        <v>679637295.5119822</v>
      </c>
      <c r="R120" s="49">
        <f t="shared" si="55"/>
        <v>746342175.5119822</v>
      </c>
      <c r="S120" s="49">
        <f t="shared" si="55"/>
        <v>679637295.5119822</v>
      </c>
      <c r="T120" s="49">
        <f t="shared" si="55"/>
        <v>679637295.5119822</v>
      </c>
      <c r="U120" s="1328"/>
      <c r="V120" s="3"/>
    </row>
    <row r="121" spans="1:22" s="39" customFormat="1" ht="5.15" customHeight="1" x14ac:dyDescent="0.35">
      <c r="A121" s="41"/>
      <c r="B121" s="48"/>
      <c r="C121" s="47"/>
      <c r="D121" s="194"/>
      <c r="E121" s="46"/>
      <c r="F121" s="194"/>
      <c r="G121" s="46"/>
      <c r="H121" s="206"/>
      <c r="I121" s="46"/>
      <c r="J121" s="46"/>
      <c r="K121" s="46"/>
      <c r="L121" s="46"/>
      <c r="M121" s="46"/>
      <c r="N121" s="46"/>
      <c r="O121" s="46"/>
      <c r="P121" s="46"/>
      <c r="Q121" s="46"/>
      <c r="R121" s="46"/>
      <c r="S121" s="46"/>
      <c r="T121" s="46"/>
      <c r="U121" s="1334"/>
      <c r="V121" s="40"/>
    </row>
    <row r="122" spans="1:22" ht="25" customHeight="1" x14ac:dyDescent="0.35">
      <c r="A122" s="982"/>
      <c r="B122" s="983"/>
      <c r="C122" s="984" t="s">
        <v>1062</v>
      </c>
      <c r="D122" s="940">
        <f>D53+D77+D112+D120</f>
        <v>28221338467.235485</v>
      </c>
      <c r="E122" s="52">
        <v>21694428170.003487</v>
      </c>
      <c r="F122" s="52">
        <v>28952521737.090908</v>
      </c>
      <c r="G122" s="52">
        <f>G53+G77+G112+G120</f>
        <v>33727739625.293785</v>
      </c>
      <c r="H122" s="986">
        <f>IF(F122=0,0,(G122-F122)/F122)</f>
        <v>0.16493271057924372</v>
      </c>
      <c r="I122" s="52">
        <f>I53+I77+I112+I120</f>
        <v>2698439056.8523865</v>
      </c>
      <c r="J122" s="52">
        <f t="shared" ref="J122:T122" si="56">J53+J77+J112+J120</f>
        <v>3229335556.8523865</v>
      </c>
      <c r="K122" s="52">
        <f t="shared" si="56"/>
        <v>3622476916.3675375</v>
      </c>
      <c r="L122" s="52">
        <f t="shared" si="56"/>
        <v>2944889056.8523865</v>
      </c>
      <c r="M122" s="52">
        <f t="shared" si="56"/>
        <v>2629607056.8523865</v>
      </c>
      <c r="N122" s="52">
        <f t="shared" si="56"/>
        <v>3103970056.8523865</v>
      </c>
      <c r="O122" s="52">
        <f t="shared" si="56"/>
        <v>2751012160.4023867</v>
      </c>
      <c r="P122" s="52">
        <f t="shared" si="56"/>
        <v>2315105056.8523865</v>
      </c>
      <c r="Q122" s="52">
        <f t="shared" si="56"/>
        <v>2491842056.8523865</v>
      </c>
      <c r="R122" s="52">
        <f t="shared" si="56"/>
        <v>2603937536.8523865</v>
      </c>
      <c r="S122" s="52">
        <f t="shared" si="56"/>
        <v>2790085056.8523865</v>
      </c>
      <c r="T122" s="52">
        <f t="shared" si="56"/>
        <v>2547040056.8523865</v>
      </c>
      <c r="U122" s="1328"/>
      <c r="V122" s="98"/>
    </row>
    <row r="123" spans="1:22" s="39" customFormat="1" ht="5.15" customHeight="1" x14ac:dyDescent="0.35">
      <c r="A123" s="358"/>
      <c r="B123" s="43"/>
      <c r="C123" s="42"/>
      <c r="D123" s="192"/>
      <c r="E123" s="41"/>
      <c r="F123" s="192"/>
      <c r="G123" s="41"/>
      <c r="H123" s="206"/>
      <c r="I123" s="41"/>
      <c r="J123" s="41"/>
      <c r="K123" s="41"/>
      <c r="L123" s="41"/>
      <c r="M123" s="41"/>
      <c r="N123" s="41"/>
      <c r="O123" s="41"/>
      <c r="P123" s="41"/>
      <c r="Q123" s="41"/>
      <c r="R123" s="41"/>
      <c r="S123" s="41"/>
      <c r="T123" s="41"/>
      <c r="U123" s="1334"/>
      <c r="V123" s="40"/>
    </row>
    <row r="124" spans="1:22" s="66" customFormat="1" ht="25" customHeight="1" x14ac:dyDescent="0.35">
      <c r="A124" s="982"/>
      <c r="B124" s="983"/>
      <c r="C124" s="1004" t="s">
        <v>1063</v>
      </c>
      <c r="D124" s="940">
        <f>D26-D122</f>
        <v>283727739.76451492</v>
      </c>
      <c r="E124" s="49">
        <v>-42306255.245910645</v>
      </c>
      <c r="F124" s="49">
        <v>245767243.09091187</v>
      </c>
      <c r="G124" s="49">
        <f>G26-G122</f>
        <v>-3560870405.157444</v>
      </c>
      <c r="H124" s="986">
        <f>IF(F124=0,0,(G124-F124)/F124)</f>
        <v>-15.488791754238139</v>
      </c>
      <c r="I124" s="49">
        <f>I26-I122</f>
        <v>-380561668.14935875</v>
      </c>
      <c r="J124" s="49">
        <f t="shared" ref="J124:T124" si="57">J26-J122</f>
        <v>49281241.55064106</v>
      </c>
      <c r="K124" s="49">
        <f t="shared" si="57"/>
        <v>-780645381.66450977</v>
      </c>
      <c r="L124" s="49">
        <f t="shared" si="57"/>
        <v>-575322668.14935875</v>
      </c>
      <c r="M124" s="49">
        <f t="shared" si="57"/>
        <v>-300729668.14935875</v>
      </c>
      <c r="N124" s="49">
        <f t="shared" si="57"/>
        <v>-557732668.14935875</v>
      </c>
      <c r="O124" s="49">
        <f t="shared" si="57"/>
        <v>-384745771.69935894</v>
      </c>
      <c r="P124" s="49">
        <f t="shared" si="57"/>
        <v>2772331.8506412506</v>
      </c>
      <c r="Q124" s="49">
        <f t="shared" si="57"/>
        <v>54395331.850641251</v>
      </c>
      <c r="R124" s="49">
        <f t="shared" si="57"/>
        <v>-236571148.14935875</v>
      </c>
      <c r="S124" s="49">
        <f t="shared" si="57"/>
        <v>-461207668.14935875</v>
      </c>
      <c r="T124" s="49">
        <f t="shared" si="57"/>
        <v>10197331.850641251</v>
      </c>
      <c r="U124" s="1328"/>
      <c r="V124" s="98"/>
    </row>
    <row r="125" spans="1:22" s="109" customFormat="1" ht="25" customHeight="1" x14ac:dyDescent="0.35">
      <c r="A125" s="1008"/>
      <c r="B125" s="17"/>
      <c r="C125" s="1009"/>
      <c r="D125" s="1010"/>
      <c r="E125" s="1009"/>
      <c r="F125" s="1010"/>
      <c r="G125" s="1011"/>
      <c r="H125" s="1012"/>
      <c r="I125" s="1011"/>
      <c r="J125" s="1011"/>
      <c r="K125" s="1011"/>
      <c r="L125" s="1011"/>
      <c r="M125" s="1011"/>
      <c r="N125" s="1011"/>
      <c r="O125" s="1013"/>
      <c r="P125" s="1013"/>
      <c r="Q125" s="1013"/>
      <c r="R125" s="1014"/>
      <c r="S125" s="1014"/>
      <c r="U125" s="1337"/>
    </row>
    <row r="126" spans="1:22" s="109" customFormat="1" ht="25" customHeight="1" x14ac:dyDescent="0.35">
      <c r="A126" s="1008"/>
      <c r="B126" s="17"/>
      <c r="C126" s="1009"/>
      <c r="D126" s="1010"/>
      <c r="E126" s="1009"/>
      <c r="F126" s="1010"/>
      <c r="G126" s="1011"/>
      <c r="H126" s="1012"/>
      <c r="I126" s="1011"/>
      <c r="J126" s="1011"/>
      <c r="K126" s="1011"/>
      <c r="L126" s="1011"/>
      <c r="M126" s="1011"/>
      <c r="N126" s="1011"/>
      <c r="O126" s="1013"/>
      <c r="P126" s="1013"/>
      <c r="Q126" s="1013"/>
      <c r="R126" s="1014"/>
      <c r="S126" s="1014"/>
      <c r="U126" s="1337"/>
    </row>
    <row r="127" spans="1:22" s="109" customFormat="1" ht="25" customHeight="1" x14ac:dyDescent="0.35">
      <c r="A127" s="1042"/>
      <c r="B127" s="1005"/>
      <c r="C127" s="1016"/>
      <c r="D127" s="1017"/>
      <c r="E127" s="1016"/>
      <c r="F127" s="1017"/>
      <c r="G127" s="1018"/>
      <c r="H127" s="1019"/>
      <c r="I127" s="1018"/>
      <c r="J127" s="1018"/>
      <c r="K127" s="1018"/>
      <c r="L127" s="1018"/>
      <c r="M127" s="1018"/>
      <c r="N127" s="1018"/>
      <c r="O127" s="1020"/>
      <c r="P127" s="1020"/>
      <c r="Q127" s="1020"/>
      <c r="R127" s="1021"/>
      <c r="S127" s="1021"/>
      <c r="T127" s="1005"/>
      <c r="U127" s="1338"/>
    </row>
    <row r="128" spans="1:22" s="109" customFormat="1" ht="25" customHeight="1" x14ac:dyDescent="0.35">
      <c r="A128" s="1023"/>
      <c r="B128" s="17"/>
      <c r="C128" s="1024" t="s">
        <v>1015</v>
      </c>
      <c r="D128" s="1010"/>
      <c r="E128" s="1009"/>
      <c r="F128" s="1010"/>
      <c r="G128" s="1011"/>
      <c r="H128" s="1012"/>
      <c r="I128" s="1007" t="s">
        <v>1015</v>
      </c>
      <c r="J128" s="1011"/>
      <c r="K128" s="1011"/>
      <c r="L128" s="1011"/>
      <c r="M128" s="1011"/>
      <c r="N128" s="1011"/>
      <c r="O128" s="1037" t="s">
        <v>1015</v>
      </c>
      <c r="P128" s="1013"/>
      <c r="Q128" s="1013"/>
      <c r="R128" s="1014"/>
      <c r="S128" s="1014"/>
      <c r="T128" s="1008" t="s">
        <v>1015</v>
      </c>
      <c r="U128" s="1337"/>
    </row>
    <row r="129" spans="1:21" s="109" customFormat="1" ht="25" customHeight="1" x14ac:dyDescent="0.35">
      <c r="A129" s="1023"/>
      <c r="B129" s="17"/>
      <c r="C129" s="1024"/>
      <c r="D129" s="1010"/>
      <c r="E129" s="1009"/>
      <c r="F129" s="1010"/>
      <c r="G129" s="1011"/>
      <c r="H129" s="1012"/>
      <c r="I129" s="1007"/>
      <c r="J129" s="1011"/>
      <c r="K129" s="1011"/>
      <c r="L129" s="1011"/>
      <c r="M129" s="1011"/>
      <c r="N129" s="1011"/>
      <c r="O129" s="1037"/>
      <c r="P129" s="1013"/>
      <c r="Q129" s="1013"/>
      <c r="R129" s="1014"/>
      <c r="S129" s="1014"/>
      <c r="T129" s="1008"/>
      <c r="U129" s="1337"/>
    </row>
    <row r="130" spans="1:21" s="109" customFormat="1" ht="25" customHeight="1" x14ac:dyDescent="0.35">
      <c r="A130" s="1023"/>
      <c r="B130" s="17"/>
      <c r="C130" s="1026"/>
      <c r="D130" s="1010"/>
      <c r="E130" s="1009"/>
      <c r="F130" s="1010"/>
      <c r="G130" s="1011"/>
      <c r="H130" s="1012"/>
      <c r="I130" s="1006"/>
      <c r="J130" s="1011"/>
      <c r="K130" s="1011"/>
      <c r="L130" s="1011"/>
      <c r="M130" s="1011"/>
      <c r="N130" s="1011"/>
      <c r="O130" s="1025"/>
      <c r="P130" s="1013"/>
      <c r="Q130" s="1013"/>
      <c r="R130" s="1014"/>
      <c r="S130" s="1014"/>
      <c r="T130" s="1023"/>
      <c r="U130" s="1337"/>
    </row>
    <row r="131" spans="1:21" s="109" customFormat="1" ht="25" customHeight="1" x14ac:dyDescent="0.35">
      <c r="A131" s="1023"/>
      <c r="B131" s="17"/>
      <c r="C131" s="1026"/>
      <c r="D131" s="1010"/>
      <c r="E131" s="1009"/>
      <c r="F131" s="1010"/>
      <c r="G131" s="1011"/>
      <c r="H131" s="1012"/>
      <c r="I131" s="1006"/>
      <c r="J131" s="1011"/>
      <c r="K131" s="1011"/>
      <c r="L131" s="1011"/>
      <c r="M131" s="1011"/>
      <c r="N131" s="1011"/>
      <c r="O131" s="1025"/>
      <c r="P131" s="1013"/>
      <c r="Q131" s="1013"/>
      <c r="R131" s="1014"/>
      <c r="S131" s="1014"/>
      <c r="T131" s="1023"/>
      <c r="U131" s="1337"/>
    </row>
    <row r="132" spans="1:21" s="109" customFormat="1" ht="25" customHeight="1" x14ac:dyDescent="0.35">
      <c r="A132" s="1023"/>
      <c r="B132" s="17"/>
      <c r="C132" s="1026" t="s">
        <v>994</v>
      </c>
      <c r="D132" s="1010"/>
      <c r="E132" s="1009"/>
      <c r="F132" s="1010"/>
      <c r="G132" s="1011"/>
      <c r="H132" s="1012"/>
      <c r="I132" s="1006" t="s">
        <v>995</v>
      </c>
      <c r="J132" s="1011"/>
      <c r="K132" s="1011"/>
      <c r="L132" s="1011"/>
      <c r="M132" s="1011"/>
      <c r="N132" s="1011"/>
      <c r="O132" s="1025" t="s">
        <v>996</v>
      </c>
      <c r="P132" s="1013"/>
      <c r="Q132" s="1013"/>
      <c r="R132" s="1014"/>
      <c r="S132" s="1014"/>
      <c r="T132" s="1023" t="s">
        <v>997</v>
      </c>
      <c r="U132" s="1337"/>
    </row>
    <row r="133" spans="1:21" s="109" customFormat="1" ht="25" customHeight="1" x14ac:dyDescent="0.35">
      <c r="A133" s="1023"/>
      <c r="B133" s="17"/>
      <c r="C133" s="1009"/>
      <c r="D133" s="1010"/>
      <c r="E133" s="1009"/>
      <c r="F133" s="1010"/>
      <c r="G133" s="1011"/>
      <c r="H133" s="1012"/>
      <c r="I133" s="1011"/>
      <c r="J133" s="1011"/>
      <c r="K133" s="1011"/>
      <c r="L133" s="1011"/>
      <c r="M133" s="1011"/>
      <c r="N133" s="1011"/>
      <c r="O133" s="1013"/>
      <c r="P133" s="1013"/>
      <c r="Q133" s="1013"/>
      <c r="R133" s="1014"/>
      <c r="S133" s="1014"/>
      <c r="U133" s="1337"/>
    </row>
    <row r="134" spans="1:21" s="109" customFormat="1" ht="25" customHeight="1" x14ac:dyDescent="0.35">
      <c r="A134" s="1023"/>
      <c r="B134" s="17"/>
      <c r="C134" s="1039" t="s">
        <v>1015</v>
      </c>
      <c r="E134" s="1009"/>
      <c r="F134" s="1010"/>
      <c r="G134" s="1011"/>
      <c r="H134" s="1012"/>
      <c r="I134" s="1011"/>
      <c r="J134" s="1011"/>
      <c r="K134" s="1011"/>
      <c r="L134" s="1007" t="s">
        <v>1015</v>
      </c>
      <c r="M134" s="1011"/>
      <c r="N134" s="1011"/>
      <c r="O134" s="1013"/>
      <c r="P134" s="1013"/>
      <c r="Q134" s="1013"/>
      <c r="S134" s="1014"/>
      <c r="T134" s="1038" t="s">
        <v>1015</v>
      </c>
      <c r="U134" s="1337"/>
    </row>
    <row r="135" spans="1:21" s="109" customFormat="1" ht="25" customHeight="1" x14ac:dyDescent="0.35">
      <c r="A135" s="1023"/>
      <c r="B135" s="17"/>
      <c r="C135" s="1029"/>
      <c r="E135" s="1009"/>
      <c r="F135" s="1010"/>
      <c r="G135" s="1011"/>
      <c r="H135" s="1012"/>
      <c r="I135" s="1011"/>
      <c r="J135" s="1011"/>
      <c r="K135" s="1011"/>
      <c r="L135" s="1006"/>
      <c r="M135" s="1011"/>
      <c r="N135" s="1011"/>
      <c r="O135" s="1013"/>
      <c r="P135" s="1013"/>
      <c r="Q135" s="1013"/>
      <c r="S135" s="1014"/>
      <c r="T135" s="1028"/>
      <c r="U135" s="1337"/>
    </row>
    <row r="136" spans="1:21" s="109" customFormat="1" ht="25" customHeight="1" x14ac:dyDescent="0.35">
      <c r="A136" s="1023"/>
      <c r="B136" s="17"/>
      <c r="C136" s="1029"/>
      <c r="E136" s="1009"/>
      <c r="F136" s="1010"/>
      <c r="G136" s="1011"/>
      <c r="H136" s="1012"/>
      <c r="I136" s="1011"/>
      <c r="J136" s="1011"/>
      <c r="K136" s="1011"/>
      <c r="L136" s="1006"/>
      <c r="M136" s="1011"/>
      <c r="N136" s="1011"/>
      <c r="O136" s="1013"/>
      <c r="P136" s="1013"/>
      <c r="Q136" s="1013"/>
      <c r="S136" s="1014"/>
      <c r="T136" s="1028"/>
      <c r="U136" s="1337"/>
    </row>
    <row r="137" spans="1:21" s="109" customFormat="1" ht="25" customHeight="1" x14ac:dyDescent="0.35">
      <c r="A137" s="1023"/>
      <c r="B137" s="17"/>
      <c r="C137" s="1029"/>
      <c r="E137" s="1009"/>
      <c r="F137" s="1010"/>
      <c r="G137" s="1011"/>
      <c r="H137" s="1012"/>
      <c r="I137" s="1011"/>
      <c r="J137" s="1011"/>
      <c r="K137" s="1011"/>
      <c r="L137" s="1006"/>
      <c r="M137" s="1011"/>
      <c r="N137" s="1011"/>
      <c r="O137" s="1013"/>
      <c r="P137" s="1013"/>
      <c r="Q137" s="1013"/>
      <c r="S137" s="1014"/>
      <c r="T137" s="1028"/>
      <c r="U137" s="1337"/>
    </row>
    <row r="138" spans="1:21" s="109" customFormat="1" ht="25" customHeight="1" x14ac:dyDescent="0.35">
      <c r="A138" s="1023"/>
      <c r="B138" s="17"/>
      <c r="C138" s="1027" t="s">
        <v>1001</v>
      </c>
      <c r="E138" s="1009"/>
      <c r="F138" s="1010"/>
      <c r="G138" s="1011"/>
      <c r="H138" s="1012"/>
      <c r="I138" s="1011"/>
      <c r="J138" s="1011"/>
      <c r="K138" s="1011"/>
      <c r="L138" s="1006" t="s">
        <v>1002</v>
      </c>
      <c r="M138" s="1011"/>
      <c r="N138" s="1011"/>
      <c r="O138" s="1013"/>
      <c r="P138" s="1013"/>
      <c r="Q138" s="1013"/>
      <c r="S138" s="1014"/>
      <c r="T138" s="1028" t="s">
        <v>1000</v>
      </c>
      <c r="U138" s="1337"/>
    </row>
    <row r="139" spans="1:21" s="109" customFormat="1" ht="25" customHeight="1" x14ac:dyDescent="0.35">
      <c r="A139" s="1023"/>
      <c r="B139" s="17"/>
      <c r="C139" s="1010"/>
      <c r="E139" s="1009"/>
      <c r="F139" s="1010"/>
      <c r="G139" s="1011"/>
      <c r="H139" s="1012"/>
      <c r="I139" s="1011"/>
      <c r="J139" s="1011"/>
      <c r="K139" s="1011"/>
      <c r="L139" s="1011"/>
      <c r="M139" s="1011"/>
      <c r="N139" s="1011"/>
      <c r="O139" s="1013"/>
      <c r="P139" s="1013"/>
      <c r="Q139" s="1013"/>
      <c r="R139" s="1014"/>
      <c r="S139" s="1014"/>
      <c r="U139" s="1337"/>
    </row>
    <row r="140" spans="1:21" s="109" customFormat="1" ht="25" customHeight="1" x14ac:dyDescent="0.35">
      <c r="A140" s="1043"/>
      <c r="B140" s="17"/>
      <c r="C140" s="1010"/>
      <c r="E140" s="1009"/>
      <c r="F140" s="1010"/>
      <c r="G140" s="1011"/>
      <c r="H140" s="1012"/>
      <c r="I140" s="1011"/>
      <c r="J140" s="1011"/>
      <c r="K140" s="1011"/>
      <c r="L140" s="1044"/>
      <c r="M140" s="1011"/>
      <c r="N140" s="1011"/>
      <c r="O140" s="1013"/>
      <c r="P140" s="1013"/>
      <c r="Q140" s="1013"/>
      <c r="R140" s="1014"/>
      <c r="S140" s="1014"/>
      <c r="U140" s="1337"/>
    </row>
    <row r="141" spans="1:21" s="109" customFormat="1" ht="25" customHeight="1" x14ac:dyDescent="0.35">
      <c r="A141" s="1023"/>
      <c r="B141" s="17"/>
      <c r="C141" s="1039" t="s">
        <v>1016</v>
      </c>
      <c r="E141" s="1009"/>
      <c r="F141" s="1010"/>
      <c r="G141" s="1011"/>
      <c r="H141" s="1012"/>
      <c r="I141" s="1011"/>
      <c r="J141" s="1011"/>
      <c r="K141" s="1011"/>
      <c r="L141" s="1007" t="s">
        <v>1015</v>
      </c>
      <c r="M141" s="1011"/>
      <c r="N141" s="1011"/>
      <c r="O141" s="1013"/>
      <c r="P141" s="1013"/>
      <c r="Q141" s="1013"/>
      <c r="T141" s="1038" t="s">
        <v>1017</v>
      </c>
      <c r="U141" s="1337"/>
    </row>
    <row r="142" spans="1:21" s="109" customFormat="1" ht="25" customHeight="1" x14ac:dyDescent="0.35">
      <c r="A142" s="1023"/>
      <c r="B142" s="17"/>
      <c r="C142" s="1027"/>
      <c r="E142" s="1009"/>
      <c r="F142" s="1010"/>
      <c r="G142" s="1011"/>
      <c r="H142" s="1012"/>
      <c r="I142" s="1011"/>
      <c r="J142" s="1011"/>
      <c r="K142" s="1011"/>
      <c r="L142" s="1011"/>
      <c r="M142" s="1011"/>
      <c r="N142" s="1011"/>
      <c r="O142" s="1013"/>
      <c r="P142" s="1013"/>
      <c r="Q142" s="1013"/>
      <c r="T142" s="1028"/>
      <c r="U142" s="1337"/>
    </row>
    <row r="143" spans="1:21" s="109" customFormat="1" ht="25" customHeight="1" x14ac:dyDescent="0.35">
      <c r="A143" s="1023"/>
      <c r="B143" s="17"/>
      <c r="C143" s="1027"/>
      <c r="E143" s="1009"/>
      <c r="F143" s="1010"/>
      <c r="G143" s="1011"/>
      <c r="H143" s="1012"/>
      <c r="I143" s="1011"/>
      <c r="J143" s="1011"/>
      <c r="K143" s="1011"/>
      <c r="L143" s="1011"/>
      <c r="M143" s="1011"/>
      <c r="N143" s="1011"/>
      <c r="O143" s="1013"/>
      <c r="P143" s="1013"/>
      <c r="Q143" s="1013"/>
      <c r="T143" s="1028"/>
      <c r="U143" s="1337"/>
    </row>
    <row r="144" spans="1:21" s="109" customFormat="1" ht="25" customHeight="1" x14ac:dyDescent="0.35">
      <c r="A144" s="1023"/>
      <c r="B144" s="17"/>
      <c r="C144" s="1027"/>
      <c r="E144" s="1009"/>
      <c r="F144" s="1010"/>
      <c r="G144" s="1011"/>
      <c r="H144" s="1012"/>
      <c r="I144" s="1011"/>
      <c r="J144" s="1011"/>
      <c r="K144" s="1011"/>
      <c r="L144" s="1011"/>
      <c r="M144" s="1011"/>
      <c r="N144" s="1011"/>
      <c r="O144" s="1013"/>
      <c r="P144" s="1013"/>
      <c r="Q144" s="1013"/>
      <c r="T144" s="1028"/>
      <c r="U144" s="1337"/>
    </row>
    <row r="145" spans="1:21" s="109" customFormat="1" ht="25" customHeight="1" x14ac:dyDescent="0.35">
      <c r="A145" s="1023"/>
      <c r="B145" s="17"/>
      <c r="C145" s="1027" t="s">
        <v>1049</v>
      </c>
      <c r="E145" s="1009"/>
      <c r="F145" s="1010"/>
      <c r="G145" s="1011"/>
      <c r="H145" s="1012"/>
      <c r="I145" s="1011"/>
      <c r="J145" s="1118" t="s">
        <v>1040</v>
      </c>
      <c r="K145" s="1018"/>
      <c r="L145" s="1118"/>
      <c r="M145" s="1018"/>
      <c r="N145" s="1018"/>
      <c r="O145" s="1013"/>
      <c r="P145" s="1013"/>
      <c r="Q145" s="1013"/>
      <c r="T145" s="1028" t="s">
        <v>1037</v>
      </c>
      <c r="U145" s="1337"/>
    </row>
    <row r="146" spans="1:21" s="109" customFormat="1" ht="25" customHeight="1" x14ac:dyDescent="0.35">
      <c r="A146" s="1023"/>
      <c r="B146" s="17"/>
      <c r="C146" s="1009"/>
      <c r="D146" s="1010"/>
      <c r="E146" s="1009"/>
      <c r="F146" s="1010"/>
      <c r="G146" s="1011"/>
      <c r="H146" s="1012"/>
      <c r="I146" s="1011"/>
      <c r="J146" s="1011"/>
      <c r="K146" s="1011"/>
      <c r="L146" s="1011"/>
      <c r="M146" s="1011"/>
      <c r="N146" s="1011"/>
      <c r="O146" s="1013"/>
      <c r="P146" s="1013"/>
      <c r="Q146" s="1013"/>
      <c r="R146" s="1014"/>
      <c r="S146" s="1014"/>
      <c r="U146" s="1337"/>
    </row>
    <row r="147" spans="1:21" s="109" customFormat="1" ht="25" customHeight="1" x14ac:dyDescent="0.35">
      <c r="A147" s="1023"/>
      <c r="B147" s="17"/>
      <c r="C147" s="1009"/>
      <c r="D147" s="1010"/>
      <c r="E147" s="1009"/>
      <c r="F147" s="1010"/>
      <c r="G147" s="1011"/>
      <c r="H147" s="1012"/>
      <c r="I147" s="1011"/>
      <c r="J147" s="1011"/>
      <c r="K147" s="1011"/>
      <c r="L147" s="1011"/>
      <c r="M147" s="1011"/>
      <c r="N147" s="1011"/>
      <c r="O147" s="1013"/>
      <c r="P147" s="1013"/>
      <c r="Q147" s="1013"/>
      <c r="R147" s="1014"/>
      <c r="S147" s="1014"/>
      <c r="U147" s="1337"/>
    </row>
    <row r="148" spans="1:21" s="109" customFormat="1" ht="25" customHeight="1" x14ac:dyDescent="0.35">
      <c r="A148" s="1023"/>
      <c r="B148" s="17"/>
      <c r="C148" s="1009"/>
      <c r="D148" s="1010"/>
      <c r="E148" s="1009"/>
      <c r="F148" s="1010"/>
      <c r="G148" s="1011"/>
      <c r="H148" s="1012"/>
      <c r="I148" s="1011"/>
      <c r="J148" s="1011"/>
      <c r="K148" s="1011"/>
      <c r="L148" s="1011"/>
      <c r="M148" s="1011"/>
      <c r="N148" s="1011"/>
      <c r="O148" s="1013"/>
      <c r="P148" s="1013"/>
      <c r="Q148" s="1013"/>
      <c r="R148" s="1014"/>
      <c r="S148" s="1014"/>
      <c r="U148" s="1337"/>
    </row>
    <row r="149" spans="1:21" s="109" customFormat="1" ht="25" customHeight="1" x14ac:dyDescent="0.35">
      <c r="A149" s="1023"/>
      <c r="B149" s="17"/>
      <c r="C149" s="1009"/>
      <c r="D149" s="1010"/>
      <c r="E149" s="1009"/>
      <c r="F149" s="1010"/>
      <c r="G149" s="1011"/>
      <c r="H149" s="1012"/>
      <c r="I149" s="1011"/>
      <c r="J149" s="1011"/>
      <c r="K149" s="1011"/>
      <c r="L149" s="1011"/>
      <c r="M149" s="1011"/>
      <c r="N149" s="1011"/>
      <c r="O149" s="1013"/>
      <c r="P149" s="1013"/>
      <c r="Q149" s="1013"/>
      <c r="R149" s="1014"/>
      <c r="S149" s="1014"/>
      <c r="U149" s="1337"/>
    </row>
    <row r="150" spans="1:21" s="109" customFormat="1" ht="25" customHeight="1" x14ac:dyDescent="0.35">
      <c r="A150" s="1023"/>
      <c r="B150" s="17"/>
      <c r="C150" s="1030"/>
      <c r="D150" s="1031"/>
      <c r="E150" s="1030"/>
      <c r="F150" s="1031"/>
      <c r="G150" s="1011"/>
      <c r="H150" s="1032"/>
      <c r="I150" s="1011"/>
      <c r="J150" s="1011"/>
      <c r="K150" s="1011"/>
      <c r="L150" s="1011"/>
      <c r="M150" s="1011"/>
      <c r="N150" s="1011"/>
      <c r="O150" s="1013"/>
      <c r="P150" s="1013"/>
      <c r="Q150" s="1013"/>
      <c r="R150" s="1014"/>
      <c r="S150" s="1014"/>
      <c r="U150" s="1337"/>
    </row>
    <row r="151" spans="1:21" s="109" customFormat="1" ht="25" customHeight="1" x14ac:dyDescent="0.35">
      <c r="A151" s="1023"/>
      <c r="B151" s="17"/>
      <c r="C151" s="1009"/>
      <c r="D151" s="1010"/>
      <c r="E151" s="1009"/>
      <c r="F151" s="1010"/>
      <c r="G151" s="1011"/>
      <c r="H151" s="1012"/>
      <c r="I151" s="1011"/>
      <c r="J151" s="1011"/>
      <c r="K151" s="1011"/>
      <c r="L151" s="1011"/>
      <c r="M151" s="1011"/>
      <c r="N151" s="1011"/>
      <c r="O151" s="1013"/>
      <c r="P151" s="1013"/>
      <c r="Q151" s="1013"/>
      <c r="R151" s="1014"/>
      <c r="S151" s="1014"/>
      <c r="U151" s="1337"/>
    </row>
    <row r="152" spans="1:21" s="109" customFormat="1" ht="25" customHeight="1" x14ac:dyDescent="0.35">
      <c r="A152" s="1023"/>
      <c r="B152" s="17"/>
      <c r="C152" s="1009"/>
      <c r="D152" s="1010"/>
      <c r="E152" s="1009"/>
      <c r="F152" s="1010"/>
      <c r="G152" s="1011"/>
      <c r="H152" s="1012"/>
      <c r="I152" s="1011"/>
      <c r="J152" s="1011"/>
      <c r="K152" s="1011"/>
      <c r="L152" s="1011"/>
      <c r="M152" s="1011"/>
      <c r="N152" s="1011"/>
      <c r="O152" s="1013"/>
      <c r="P152" s="1013"/>
      <c r="Q152" s="1013"/>
      <c r="R152" s="1014"/>
      <c r="S152" s="1014"/>
      <c r="U152" s="1337"/>
    </row>
    <row r="153" spans="1:21" s="109" customFormat="1" ht="25" customHeight="1" x14ac:dyDescent="0.35">
      <c r="A153" s="1023"/>
      <c r="B153" s="17"/>
      <c r="C153" s="1009"/>
      <c r="D153" s="1010"/>
      <c r="E153" s="1009"/>
      <c r="F153" s="1010"/>
      <c r="G153" s="1011"/>
      <c r="H153" s="1012"/>
      <c r="I153" s="1011"/>
      <c r="J153" s="1011"/>
      <c r="K153" s="1011"/>
      <c r="L153" s="1011"/>
      <c r="M153" s="1011"/>
      <c r="N153" s="1011"/>
      <c r="O153" s="1013"/>
      <c r="P153" s="1013"/>
      <c r="Q153" s="1013"/>
      <c r="R153" s="1014"/>
      <c r="S153" s="1014"/>
      <c r="U153" s="1337"/>
    </row>
    <row r="154" spans="1:21" s="109" customFormat="1" ht="25" customHeight="1" x14ac:dyDescent="0.35">
      <c r="A154" s="1023"/>
      <c r="B154" s="17"/>
      <c r="C154" s="1009"/>
      <c r="D154" s="1010"/>
      <c r="E154" s="1009"/>
      <c r="F154" s="1010"/>
      <c r="G154" s="1011"/>
      <c r="H154" s="1012"/>
      <c r="I154" s="1011"/>
      <c r="J154" s="1011"/>
      <c r="K154" s="1011"/>
      <c r="L154" s="1011"/>
      <c r="M154" s="1011"/>
      <c r="N154" s="1011"/>
      <c r="O154" s="1013"/>
      <c r="P154" s="1013"/>
      <c r="Q154" s="1013"/>
      <c r="R154" s="1014"/>
      <c r="S154" s="1014"/>
      <c r="U154" s="1337"/>
    </row>
    <row r="155" spans="1:21" s="109" customFormat="1" ht="25" customHeight="1" x14ac:dyDescent="0.35">
      <c r="A155" s="1023"/>
      <c r="B155" s="17"/>
      <c r="C155" s="1009"/>
      <c r="D155" s="1010"/>
      <c r="E155" s="1009"/>
      <c r="F155" s="1010"/>
      <c r="G155" s="1011"/>
      <c r="H155" s="1012"/>
      <c r="I155" s="1011"/>
      <c r="J155" s="1011"/>
      <c r="K155" s="1011"/>
      <c r="L155" s="1011"/>
      <c r="M155" s="1011"/>
      <c r="N155" s="1011"/>
      <c r="O155" s="1013"/>
      <c r="P155" s="1013"/>
      <c r="Q155" s="1013"/>
      <c r="R155" s="1014"/>
      <c r="S155" s="1014"/>
      <c r="U155" s="1337"/>
    </row>
    <row r="156" spans="1:21" s="1033" customFormat="1" ht="25" customHeight="1" x14ac:dyDescent="0.35">
      <c r="A156" s="1023"/>
      <c r="B156" s="17"/>
      <c r="C156" s="1009"/>
      <c r="D156" s="1010"/>
      <c r="E156" s="1009"/>
      <c r="F156" s="1010"/>
      <c r="G156" s="1011"/>
      <c r="H156" s="1012"/>
      <c r="I156" s="1011"/>
      <c r="J156" s="1011"/>
      <c r="K156" s="1011"/>
      <c r="L156" s="1011"/>
      <c r="M156" s="1011"/>
      <c r="N156" s="1011"/>
      <c r="O156" s="1013"/>
      <c r="P156" s="1013"/>
      <c r="Q156" s="1013"/>
      <c r="R156" s="1014"/>
      <c r="S156" s="1014"/>
      <c r="U156" s="1339"/>
    </row>
    <row r="157" spans="1:21" s="1033" customFormat="1" ht="25" customHeight="1" x14ac:dyDescent="0.35">
      <c r="A157" s="1023"/>
      <c r="B157" s="17"/>
      <c r="C157" s="1030"/>
      <c r="D157" s="1031"/>
      <c r="E157" s="1030"/>
      <c r="F157" s="1031"/>
      <c r="G157" s="1011"/>
      <c r="H157" s="1032"/>
      <c r="I157" s="1011"/>
      <c r="J157" s="1011"/>
      <c r="K157" s="1011"/>
      <c r="L157" s="1011"/>
      <c r="M157" s="1011"/>
      <c r="N157" s="1011"/>
      <c r="O157" s="1013"/>
      <c r="P157" s="1013"/>
      <c r="Q157" s="1013"/>
      <c r="R157" s="1014"/>
      <c r="S157" s="1014"/>
      <c r="U157" s="1339"/>
    </row>
    <row r="158" spans="1:21" s="1033" customFormat="1" ht="25" customHeight="1" x14ac:dyDescent="0.35">
      <c r="A158" s="1023"/>
      <c r="B158" s="17"/>
      <c r="C158" s="1009"/>
      <c r="D158" s="1010"/>
      <c r="E158" s="1009"/>
      <c r="F158" s="1010"/>
      <c r="G158" s="1011"/>
      <c r="H158" s="1035"/>
      <c r="I158" s="1011"/>
      <c r="J158" s="1011"/>
      <c r="K158" s="1011"/>
      <c r="L158" s="1011"/>
      <c r="M158" s="1011"/>
      <c r="N158" s="1011"/>
      <c r="O158" s="1013"/>
      <c r="P158" s="1013"/>
      <c r="Q158" s="1013"/>
      <c r="R158" s="1014"/>
      <c r="S158" s="1014"/>
      <c r="U158" s="1339"/>
    </row>
    <row r="159" spans="1:21" s="1033" customFormat="1" ht="25" customHeight="1" x14ac:dyDescent="0.35">
      <c r="A159" s="1023"/>
      <c r="B159" s="17"/>
      <c r="C159" s="1036"/>
      <c r="D159" s="1010"/>
      <c r="E159" s="1036"/>
      <c r="F159" s="1010"/>
      <c r="G159" s="1011"/>
      <c r="H159" s="1035"/>
      <c r="I159" s="1011"/>
      <c r="J159" s="1011"/>
      <c r="K159" s="1011"/>
      <c r="L159" s="1011"/>
      <c r="M159" s="1011"/>
      <c r="N159" s="1011"/>
      <c r="O159" s="1013"/>
      <c r="P159" s="1013"/>
      <c r="Q159" s="1013"/>
      <c r="R159" s="1014"/>
      <c r="S159" s="1014"/>
      <c r="U159" s="1339"/>
    </row>
    <row r="160" spans="1:21" s="1033" customFormat="1" x14ac:dyDescent="0.35">
      <c r="A160" s="1023"/>
      <c r="B160" s="17"/>
      <c r="C160" s="1036"/>
      <c r="D160" s="1010"/>
      <c r="E160" s="1036"/>
      <c r="F160" s="1010"/>
      <c r="G160" s="1011"/>
      <c r="H160" s="1035"/>
      <c r="I160" s="1011"/>
      <c r="J160" s="1011"/>
      <c r="K160" s="1011"/>
      <c r="L160" s="1011"/>
      <c r="M160" s="1011"/>
      <c r="N160" s="1011"/>
      <c r="O160" s="1013"/>
      <c r="P160" s="1013"/>
      <c r="Q160" s="1013"/>
      <c r="R160" s="1014"/>
      <c r="S160" s="1014"/>
      <c r="U160" s="1339"/>
    </row>
    <row r="161" spans="1:21" s="1033" customFormat="1" x14ac:dyDescent="0.35">
      <c r="A161" s="1023"/>
      <c r="B161" s="17"/>
      <c r="C161" s="1036"/>
      <c r="D161" s="1010"/>
      <c r="E161" s="1036"/>
      <c r="F161" s="1010"/>
      <c r="G161" s="1011"/>
      <c r="H161" s="1012"/>
      <c r="I161" s="1011"/>
      <c r="J161" s="1011"/>
      <c r="K161" s="1011"/>
      <c r="L161" s="1011"/>
      <c r="M161" s="1011"/>
      <c r="N161" s="1011"/>
      <c r="O161" s="1013"/>
      <c r="P161" s="1013"/>
      <c r="Q161" s="1013"/>
      <c r="R161" s="1014"/>
      <c r="S161" s="1014"/>
      <c r="U161" s="1339"/>
    </row>
    <row r="162" spans="1:21" s="1033" customFormat="1" x14ac:dyDescent="0.35">
      <c r="A162" s="1023"/>
      <c r="B162" s="17"/>
      <c r="C162" s="1030"/>
      <c r="D162" s="1031"/>
      <c r="E162" s="1030"/>
      <c r="F162" s="1031"/>
      <c r="G162" s="1011"/>
      <c r="H162" s="1032"/>
      <c r="I162" s="1011"/>
      <c r="J162" s="1011"/>
      <c r="K162" s="1011"/>
      <c r="L162" s="1011"/>
      <c r="M162" s="1011"/>
      <c r="N162" s="1011"/>
      <c r="O162" s="1013"/>
      <c r="P162" s="1013"/>
      <c r="Q162" s="1013"/>
      <c r="R162" s="1014"/>
      <c r="S162" s="1014"/>
      <c r="U162" s="1339"/>
    </row>
    <row r="163" spans="1:21" s="1033" customFormat="1" x14ac:dyDescent="0.35">
      <c r="A163" s="1023"/>
      <c r="B163" s="17"/>
      <c r="C163" s="1009"/>
      <c r="D163" s="1010"/>
      <c r="E163" s="1009"/>
      <c r="F163" s="1010"/>
      <c r="G163" s="1011"/>
      <c r="H163" s="1012"/>
      <c r="I163" s="1011"/>
      <c r="J163" s="1011"/>
      <c r="K163" s="1011"/>
      <c r="L163" s="1011"/>
      <c r="M163" s="1011"/>
      <c r="N163" s="1011"/>
      <c r="O163" s="1013"/>
      <c r="P163" s="1013"/>
      <c r="Q163" s="1013"/>
      <c r="R163" s="1014"/>
      <c r="S163" s="1014"/>
      <c r="U163" s="1339"/>
    </row>
    <row r="164" spans="1:21" s="1033" customFormat="1" x14ac:dyDescent="0.35">
      <c r="A164" s="1023"/>
      <c r="B164" s="17"/>
      <c r="C164" s="1009"/>
      <c r="D164" s="1010"/>
      <c r="E164" s="1009"/>
      <c r="F164" s="1010"/>
      <c r="G164" s="1011"/>
      <c r="H164" s="1012"/>
      <c r="I164" s="1011"/>
      <c r="J164" s="1011"/>
      <c r="K164" s="1011"/>
      <c r="L164" s="1011"/>
      <c r="M164" s="1011"/>
      <c r="N164" s="1011"/>
      <c r="O164" s="1013"/>
      <c r="P164" s="1013"/>
      <c r="Q164" s="1013"/>
      <c r="R164" s="1014"/>
      <c r="S164" s="1014"/>
      <c r="U164" s="1339"/>
    </row>
    <row r="165" spans="1:21" s="1033" customFormat="1" x14ac:dyDescent="0.35">
      <c r="A165" s="1023"/>
      <c r="B165" s="17"/>
      <c r="C165" s="1030"/>
      <c r="D165" s="1031"/>
      <c r="E165" s="1030"/>
      <c r="F165" s="1031"/>
      <c r="G165" s="1011"/>
      <c r="H165" s="1032"/>
      <c r="I165" s="1011"/>
      <c r="J165" s="1011"/>
      <c r="K165" s="1011"/>
      <c r="L165" s="1011"/>
      <c r="M165" s="1011"/>
      <c r="N165" s="1011"/>
      <c r="O165" s="1013"/>
      <c r="P165" s="1013"/>
      <c r="Q165" s="1013"/>
      <c r="R165" s="1014"/>
      <c r="S165" s="1014"/>
      <c r="U165" s="1339"/>
    </row>
    <row r="166" spans="1:21" s="1033" customFormat="1" x14ac:dyDescent="0.35">
      <c r="A166" s="1023"/>
      <c r="B166" s="17"/>
      <c r="C166" s="1009"/>
      <c r="D166" s="1010"/>
      <c r="E166" s="1009"/>
      <c r="F166" s="1010"/>
      <c r="G166" s="1011"/>
      <c r="H166" s="1012"/>
      <c r="I166" s="1011"/>
      <c r="J166" s="1011"/>
      <c r="K166" s="1011"/>
      <c r="L166" s="1011"/>
      <c r="M166" s="1011"/>
      <c r="N166" s="1011"/>
      <c r="O166" s="1013"/>
      <c r="P166" s="1013"/>
      <c r="Q166" s="1013"/>
      <c r="R166" s="1014"/>
      <c r="S166" s="1014"/>
      <c r="U166" s="1339"/>
    </row>
    <row r="167" spans="1:21" s="9" customFormat="1" x14ac:dyDescent="0.35">
      <c r="A167" s="359"/>
      <c r="B167" s="17"/>
      <c r="C167" s="19"/>
      <c r="D167" s="196"/>
      <c r="E167" s="19"/>
      <c r="F167" s="196"/>
      <c r="G167" s="100"/>
      <c r="H167" s="18"/>
      <c r="I167" s="100"/>
      <c r="J167" s="100"/>
      <c r="K167" s="100"/>
      <c r="L167" s="100"/>
      <c r="M167" s="100"/>
      <c r="N167" s="100"/>
      <c r="O167" s="105"/>
      <c r="P167" s="105"/>
      <c r="Q167" s="105"/>
      <c r="R167" s="3"/>
      <c r="S167" s="3"/>
      <c r="U167" s="1340"/>
    </row>
    <row r="168" spans="1:21" s="9" customFormat="1" x14ac:dyDescent="0.35">
      <c r="A168" s="359"/>
      <c r="B168" s="17"/>
      <c r="C168" s="13"/>
      <c r="D168" s="195"/>
      <c r="E168" s="13"/>
      <c r="F168" s="195"/>
      <c r="G168" s="100"/>
      <c r="H168" s="12"/>
      <c r="I168" s="100"/>
      <c r="J168" s="100"/>
      <c r="K168" s="100"/>
      <c r="L168" s="100"/>
      <c r="M168" s="100"/>
      <c r="N168" s="100"/>
      <c r="O168" s="105"/>
      <c r="P168" s="105"/>
      <c r="Q168" s="105"/>
      <c r="R168" s="3"/>
      <c r="S168" s="3"/>
      <c r="U168" s="1340"/>
    </row>
    <row r="169" spans="1:21" s="9" customFormat="1" x14ac:dyDescent="0.35">
      <c r="A169" s="359"/>
      <c r="B169" s="17"/>
      <c r="C169" s="13"/>
      <c r="D169" s="195"/>
      <c r="E169" s="13"/>
      <c r="F169" s="195"/>
      <c r="G169" s="100"/>
      <c r="H169" s="12"/>
      <c r="I169" s="100"/>
      <c r="J169" s="100"/>
      <c r="K169" s="100"/>
      <c r="L169" s="100"/>
      <c r="M169" s="100"/>
      <c r="N169" s="100"/>
      <c r="O169" s="105"/>
      <c r="P169" s="105"/>
      <c r="Q169" s="105"/>
      <c r="R169" s="3"/>
      <c r="S169" s="3"/>
      <c r="U169" s="1340"/>
    </row>
    <row r="170" spans="1:21" s="9" customFormat="1" x14ac:dyDescent="0.35">
      <c r="A170" s="359"/>
      <c r="B170" s="17"/>
      <c r="C170" s="13"/>
      <c r="D170" s="195"/>
      <c r="E170" s="13"/>
      <c r="F170" s="195"/>
      <c r="G170" s="100"/>
      <c r="H170" s="12"/>
      <c r="I170" s="100"/>
      <c r="J170" s="100"/>
      <c r="K170" s="100"/>
      <c r="L170" s="100"/>
      <c r="M170" s="100"/>
      <c r="N170" s="100"/>
      <c r="O170" s="105"/>
      <c r="P170" s="105"/>
      <c r="Q170" s="105"/>
      <c r="R170" s="3"/>
      <c r="S170" s="3"/>
      <c r="U170" s="1340"/>
    </row>
    <row r="171" spans="1:21" s="9" customFormat="1" x14ac:dyDescent="0.35">
      <c r="A171" s="359"/>
      <c r="B171" s="17"/>
      <c r="C171" s="13"/>
      <c r="D171" s="195"/>
      <c r="E171" s="13"/>
      <c r="F171" s="195"/>
      <c r="G171" s="100"/>
      <c r="H171" s="12"/>
      <c r="I171" s="100"/>
      <c r="J171" s="100"/>
      <c r="K171" s="100"/>
      <c r="L171" s="100"/>
      <c r="M171" s="100"/>
      <c r="N171" s="100"/>
      <c r="O171" s="105"/>
      <c r="P171" s="105"/>
      <c r="Q171" s="105"/>
      <c r="R171" s="3"/>
      <c r="S171" s="3"/>
      <c r="U171" s="1340"/>
    </row>
    <row r="172" spans="1:21" s="9" customFormat="1" x14ac:dyDescent="0.35">
      <c r="A172" s="359"/>
      <c r="B172" s="17"/>
      <c r="C172" s="13"/>
      <c r="D172" s="195"/>
      <c r="E172" s="13"/>
      <c r="F172" s="195"/>
      <c r="G172" s="100"/>
      <c r="H172" s="12"/>
      <c r="I172" s="100"/>
      <c r="J172" s="100"/>
      <c r="K172" s="100"/>
      <c r="L172" s="100"/>
      <c r="M172" s="100"/>
      <c r="N172" s="100"/>
      <c r="O172" s="105"/>
      <c r="P172" s="105"/>
      <c r="Q172" s="105"/>
      <c r="R172" s="3"/>
      <c r="S172" s="3"/>
      <c r="U172" s="1340"/>
    </row>
    <row r="173" spans="1:21" s="9" customFormat="1" x14ac:dyDescent="0.35">
      <c r="A173" s="359"/>
      <c r="B173" s="17"/>
      <c r="C173" s="13"/>
      <c r="D173" s="195"/>
      <c r="E173" s="13"/>
      <c r="F173" s="195"/>
      <c r="G173" s="100"/>
      <c r="H173" s="12"/>
      <c r="I173" s="100"/>
      <c r="J173" s="100"/>
      <c r="K173" s="100"/>
      <c r="L173" s="100"/>
      <c r="M173" s="100"/>
      <c r="N173" s="100"/>
      <c r="O173" s="105"/>
      <c r="P173" s="105"/>
      <c r="Q173" s="105"/>
      <c r="R173" s="3"/>
      <c r="S173" s="3"/>
      <c r="U173" s="1340"/>
    </row>
    <row r="174" spans="1:21" s="9" customFormat="1" x14ac:dyDescent="0.35">
      <c r="A174" s="359"/>
      <c r="B174" s="17"/>
      <c r="C174" s="13"/>
      <c r="D174" s="195"/>
      <c r="E174" s="13"/>
      <c r="F174" s="195"/>
      <c r="G174" s="100"/>
      <c r="H174" s="12"/>
      <c r="I174" s="100"/>
      <c r="J174" s="100"/>
      <c r="K174" s="100"/>
      <c r="L174" s="100"/>
      <c r="M174" s="100"/>
      <c r="N174" s="100"/>
      <c r="O174" s="105"/>
      <c r="P174" s="105"/>
      <c r="Q174" s="105"/>
      <c r="R174" s="3"/>
      <c r="S174" s="3"/>
      <c r="U174" s="1340"/>
    </row>
    <row r="175" spans="1:21" s="9" customFormat="1" x14ac:dyDescent="0.35">
      <c r="A175" s="359"/>
      <c r="B175" s="17"/>
      <c r="C175" s="13"/>
      <c r="D175" s="195"/>
      <c r="E175" s="13"/>
      <c r="F175" s="195"/>
      <c r="G175" s="100"/>
      <c r="H175" s="12"/>
      <c r="I175" s="100"/>
      <c r="J175" s="100"/>
      <c r="K175" s="100"/>
      <c r="L175" s="100"/>
      <c r="M175" s="100"/>
      <c r="N175" s="100"/>
      <c r="O175" s="105"/>
      <c r="P175" s="105"/>
      <c r="Q175" s="105"/>
      <c r="R175" s="3"/>
      <c r="S175" s="3"/>
      <c r="U175" s="1340"/>
    </row>
    <row r="176" spans="1:21" s="9" customFormat="1" x14ac:dyDescent="0.35">
      <c r="A176" s="359"/>
      <c r="B176" s="17"/>
      <c r="C176" s="13"/>
      <c r="D176" s="195"/>
      <c r="E176" s="13"/>
      <c r="F176" s="195"/>
      <c r="G176" s="100"/>
      <c r="H176" s="14"/>
      <c r="I176" s="100"/>
      <c r="J176" s="100"/>
      <c r="K176" s="100"/>
      <c r="L176" s="100"/>
      <c r="M176" s="100"/>
      <c r="N176" s="100"/>
      <c r="O176" s="105"/>
      <c r="P176" s="105"/>
      <c r="Q176" s="105"/>
      <c r="R176" s="3"/>
      <c r="S176" s="3"/>
      <c r="U176" s="1340"/>
    </row>
    <row r="177" spans="1:21" s="9" customFormat="1" x14ac:dyDescent="0.35">
      <c r="A177" s="359"/>
      <c r="B177" s="17"/>
      <c r="C177" s="13"/>
      <c r="D177" s="195"/>
      <c r="E177" s="13"/>
      <c r="F177" s="195"/>
      <c r="G177" s="100"/>
      <c r="H177" s="12"/>
      <c r="I177" s="100"/>
      <c r="J177" s="100"/>
      <c r="K177" s="100"/>
      <c r="L177" s="100"/>
      <c r="M177" s="100"/>
      <c r="N177" s="100"/>
      <c r="O177" s="105"/>
      <c r="P177" s="105"/>
      <c r="Q177" s="105"/>
      <c r="R177" s="3"/>
      <c r="S177" s="3"/>
      <c r="U177" s="1340"/>
    </row>
    <row r="178" spans="1:21" s="9" customFormat="1" x14ac:dyDescent="0.35">
      <c r="A178" s="359"/>
      <c r="B178" s="17"/>
      <c r="C178" s="20"/>
      <c r="D178" s="195"/>
      <c r="E178" s="20"/>
      <c r="F178" s="195"/>
      <c r="G178" s="100"/>
      <c r="H178" s="650"/>
      <c r="I178" s="100"/>
      <c r="J178" s="100"/>
      <c r="K178" s="100"/>
      <c r="L178" s="100"/>
      <c r="M178" s="100"/>
      <c r="N178" s="100"/>
      <c r="O178" s="105"/>
      <c r="P178" s="105"/>
      <c r="Q178" s="105"/>
      <c r="R178" s="3"/>
      <c r="S178" s="3"/>
      <c r="U178" s="1340"/>
    </row>
  </sheetData>
  <autoFilter ref="A6:X168">
    <filterColumn colId="3" showButton="0"/>
    <filterColumn colId="4" showButton="0"/>
    <filterColumn colId="6" showButton="0"/>
    <filterColumn colId="7" showButton="0"/>
  </autoFilter>
  <mergeCells count="4">
    <mergeCell ref="A6:A7"/>
    <mergeCell ref="C6:C7"/>
    <mergeCell ref="D6:F6"/>
    <mergeCell ref="G6:H6"/>
  </mergeCells>
  <printOptions horizontalCentered="1"/>
  <pageMargins left="0.4" right="0.4" top="0.3" bottom="0.3" header="0.3" footer="0.2"/>
  <pageSetup paperSize="8" scale="60" firstPageNumber="10" fitToHeight="3" orientation="landscape" useFirstPageNumber="1" r:id="rId1"/>
  <headerFooter>
    <oddFooter>&amp;L&amp;F, &amp;A&amp;RPage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29</vt:i4>
      </vt:variant>
    </vt:vector>
  </HeadingPairs>
  <TitlesOfParts>
    <vt:vector size="51" baseType="lpstr">
      <vt:lpstr>AB</vt:lpstr>
      <vt:lpstr>A</vt:lpstr>
      <vt:lpstr>Summary 2018 - MF</vt:lpstr>
      <vt:lpstr>General-Budget 2018 - MF (2)</vt:lpstr>
      <vt:lpstr>Reconciliation</vt:lpstr>
      <vt:lpstr>General-Budget 2018 - MF</vt:lpstr>
      <vt:lpstr>Depreciation - MF</vt:lpstr>
      <vt:lpstr>2018-2022</vt:lpstr>
      <vt:lpstr>In Cash - Out Cash - MF</vt:lpstr>
      <vt:lpstr>Cashflow - MF</vt:lpstr>
      <vt:lpstr>Engineering - Breakdown - MF</vt:lpstr>
      <vt:lpstr>2017- APPROVED STAFF COST</vt:lpstr>
      <vt:lpstr>Pending not yet paid</vt:lpstr>
      <vt:lpstr>HSBC</vt:lpstr>
      <vt:lpstr>Engineering - Breakdown - SF</vt:lpstr>
      <vt:lpstr>2018-2022 SF</vt:lpstr>
      <vt:lpstr>B</vt:lpstr>
      <vt:lpstr>General-Budget 2018 - SF</vt:lpstr>
      <vt:lpstr>Allocation - SF</vt:lpstr>
      <vt:lpstr>Social Relationship</vt:lpstr>
      <vt:lpstr>Training Staffs</vt:lpstr>
      <vt:lpstr>Detail Revenue</vt:lpstr>
      <vt:lpstr>'2017- APPROVED STAFF COST'!Print_Area</vt:lpstr>
      <vt:lpstr>'2018-2022'!Print_Area</vt:lpstr>
      <vt:lpstr>'2018-2022 SF'!Print_Area</vt:lpstr>
      <vt:lpstr>A!Print_Area</vt:lpstr>
      <vt:lpstr>AB!Print_Area</vt:lpstr>
      <vt:lpstr>B!Print_Area</vt:lpstr>
      <vt:lpstr>'Cashflow - MF'!Print_Area</vt:lpstr>
      <vt:lpstr>'Depreciation - MF'!Print_Area</vt:lpstr>
      <vt:lpstr>'Engineering - Breakdown - MF'!Print_Area</vt:lpstr>
      <vt:lpstr>'Engineering - Breakdown - SF'!Print_Area</vt:lpstr>
      <vt:lpstr>'General-Budget 2018 - MF'!Print_Area</vt:lpstr>
      <vt:lpstr>'General-Budget 2018 - MF (2)'!Print_Area</vt:lpstr>
      <vt:lpstr>'General-Budget 2018 - SF'!Print_Area</vt:lpstr>
      <vt:lpstr>'In Cash - Out Cash - MF'!Print_Area</vt:lpstr>
      <vt:lpstr>'Pending not yet paid'!Print_Area</vt:lpstr>
      <vt:lpstr>Reconciliation!Print_Area</vt:lpstr>
      <vt:lpstr>'Summary 2018 - MF'!Print_Area</vt:lpstr>
      <vt:lpstr>'2018-2022'!Print_Titles</vt:lpstr>
      <vt:lpstr>'2018-2022 SF'!Print_Titles</vt:lpstr>
      <vt:lpstr>'Allocation - SF'!Print_Titles</vt:lpstr>
      <vt:lpstr>'Cashflow - MF'!Print_Titles</vt:lpstr>
      <vt:lpstr>'Depreciation - MF'!Print_Titles</vt:lpstr>
      <vt:lpstr>'Engineering - Breakdown - MF'!Print_Titles</vt:lpstr>
      <vt:lpstr>'Engineering - Breakdown - SF'!Print_Titles</vt:lpstr>
      <vt:lpstr>'General-Budget 2018 - MF'!Print_Titles</vt:lpstr>
      <vt:lpstr>'General-Budget 2018 - MF (2)'!Print_Titles</vt:lpstr>
      <vt:lpstr>'General-Budget 2018 - SF'!Print_Titles</vt:lpstr>
      <vt:lpstr>HSBC!Print_Titles</vt:lpstr>
      <vt:lpstr>'In Cash - Out Cash - MF'!Print_Titles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cp:lastPrinted>2018-02-09T02:42:46Z</cp:lastPrinted>
  <dcterms:created xsi:type="dcterms:W3CDTF">2017-10-13T11:07:52Z</dcterms:created>
  <dcterms:modified xsi:type="dcterms:W3CDTF">2018-02-13T08:13:22Z</dcterms:modified>
</cp:coreProperties>
</file>