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lsrv1\man$\Thiago\APIs_OMIE_ICLASS\FATURAMENTO\OUTPUT\CONTAS A RECEBER\"/>
    </mc:Choice>
  </mc:AlternateContent>
  <bookViews>
    <workbookView minimized="1" xWindow="240" yWindow="108" windowWidth="14808" windowHeight="8016" activeTab="1"/>
  </bookViews>
  <sheets>
    <sheet name="MODEL" sheetId="1" r:id="rId1"/>
    <sheet name="Fevereiro 2022" sheetId="2" r:id="rId2"/>
    <sheet name="Março 2022" sheetId="3" r:id="rId3"/>
    <sheet name="Abril 2022" sheetId="4" r:id="rId4"/>
    <sheet name="Maio 2022" sheetId="5" r:id="rId5"/>
  </sheets>
  <calcPr calcId="152511"/>
</workbook>
</file>

<file path=xl/calcChain.xml><?xml version="1.0" encoding="utf-8"?>
<calcChain xmlns="http://schemas.openxmlformats.org/spreadsheetml/2006/main">
  <c r="O35" i="2" l="1"/>
  <c r="AF5" i="5" l="1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G4" i="5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H16" i="4"/>
  <c r="G16" i="4"/>
  <c r="F16" i="4"/>
  <c r="D16" i="4"/>
  <c r="C16" i="4"/>
  <c r="AF15" i="4"/>
  <c r="E14" i="4"/>
  <c r="E16" i="4" s="1"/>
  <c r="AF13" i="4"/>
  <c r="F13" i="4"/>
  <c r="AF12" i="4"/>
  <c r="B12" i="4"/>
  <c r="K11" i="4"/>
  <c r="AF11" i="4" s="1"/>
  <c r="I10" i="4"/>
  <c r="I16" i="4" s="1"/>
  <c r="AF9" i="4"/>
  <c r="B9" i="4"/>
  <c r="AF8" i="4"/>
  <c r="E8" i="4"/>
  <c r="B7" i="4"/>
  <c r="AF7" i="4" s="1"/>
  <c r="F6" i="4"/>
  <c r="AF6" i="4" s="1"/>
  <c r="AF5" i="4"/>
  <c r="B5" i="4"/>
  <c r="B16" i="4" s="1"/>
  <c r="AF4" i="4"/>
  <c r="H4" i="4"/>
  <c r="AF42" i="3"/>
  <c r="AC42" i="3"/>
  <c r="AB42" i="3"/>
  <c r="AA42" i="3"/>
  <c r="Z42" i="3"/>
  <c r="V42" i="3"/>
  <c r="U42" i="3"/>
  <c r="P42" i="3"/>
  <c r="N42" i="3"/>
  <c r="M42" i="3"/>
  <c r="G42" i="3"/>
  <c r="F42" i="3"/>
  <c r="E42" i="3"/>
  <c r="D42" i="3"/>
  <c r="B42" i="3"/>
  <c r="AG41" i="3"/>
  <c r="O40" i="3"/>
  <c r="AG40" i="3" s="1"/>
  <c r="AH39" i="3"/>
  <c r="AG39" i="3"/>
  <c r="AG38" i="3"/>
  <c r="H38" i="3"/>
  <c r="AD37" i="3"/>
  <c r="AG37" i="3" s="1"/>
  <c r="S36" i="3"/>
  <c r="AG36" i="3" s="1"/>
  <c r="K35" i="3"/>
  <c r="AG35" i="3" s="1"/>
  <c r="AG34" i="3"/>
  <c r="S34" i="3"/>
  <c r="K34" i="3"/>
  <c r="AG33" i="3"/>
  <c r="AE33" i="3"/>
  <c r="J33" i="3"/>
  <c r="H33" i="3"/>
  <c r="E32" i="3"/>
  <c r="AG32" i="3" s="1"/>
  <c r="AH31" i="3"/>
  <c r="X31" i="3"/>
  <c r="AG31" i="3" s="1"/>
  <c r="L31" i="3"/>
  <c r="AH30" i="3"/>
  <c r="AE30" i="3"/>
  <c r="H30" i="3"/>
  <c r="AG30" i="3" s="1"/>
  <c r="AG29" i="3"/>
  <c r="S29" i="3"/>
  <c r="AG28" i="3"/>
  <c r="H28" i="3"/>
  <c r="AH27" i="3"/>
  <c r="Y27" i="3"/>
  <c r="Y42" i="3" s="1"/>
  <c r="AH26" i="3"/>
  <c r="AG26" i="3"/>
  <c r="E26" i="3"/>
  <c r="AG25" i="3"/>
  <c r="Q25" i="3"/>
  <c r="AB24" i="3"/>
  <c r="AG24" i="3" s="1"/>
  <c r="X23" i="3"/>
  <c r="AG23" i="3" s="1"/>
  <c r="AG22" i="3"/>
  <c r="H22" i="3"/>
  <c r="AG21" i="3"/>
  <c r="H21" i="3"/>
  <c r="W20" i="3"/>
  <c r="W42" i="3" s="1"/>
  <c r="AH19" i="3"/>
  <c r="AG19" i="3"/>
  <c r="AD19" i="3"/>
  <c r="AD42" i="3" s="1"/>
  <c r="H18" i="3"/>
  <c r="AG18" i="3" s="1"/>
  <c r="O17" i="3"/>
  <c r="AG17" i="3" s="1"/>
  <c r="AH16" i="3"/>
  <c r="AG16" i="3"/>
  <c r="AG15" i="3"/>
  <c r="AB15" i="3"/>
  <c r="AC14" i="3"/>
  <c r="AG14" i="3" s="1"/>
  <c r="D14" i="3"/>
  <c r="Q13" i="3"/>
  <c r="Q42" i="3" s="1"/>
  <c r="H13" i="3"/>
  <c r="C13" i="3"/>
  <c r="C42" i="3" s="1"/>
  <c r="AG12" i="3"/>
  <c r="X12" i="3"/>
  <c r="X42" i="3" s="1"/>
  <c r="AG11" i="3"/>
  <c r="Q11" i="3"/>
  <c r="AE10" i="3"/>
  <c r="AE42" i="3" s="1"/>
  <c r="C10" i="3"/>
  <c r="AG10" i="3" s="1"/>
  <c r="AG9" i="3"/>
  <c r="S9" i="3"/>
  <c r="S42" i="3" s="1"/>
  <c r="R9" i="3"/>
  <c r="R42" i="3" s="1"/>
  <c r="J9" i="3"/>
  <c r="J42" i="3" s="1"/>
  <c r="E9" i="3"/>
  <c r="D9" i="3"/>
  <c r="C9" i="3"/>
  <c r="K8" i="3"/>
  <c r="K42" i="3" s="1"/>
  <c r="H8" i="3"/>
  <c r="AG8" i="3" s="1"/>
  <c r="O7" i="3"/>
  <c r="AG7" i="3" s="1"/>
  <c r="AD6" i="3"/>
  <c r="D6" i="3"/>
  <c r="AG6" i="3" s="1"/>
  <c r="T5" i="3"/>
  <c r="T42" i="3" s="1"/>
  <c r="L5" i="3"/>
  <c r="L42" i="3" s="1"/>
  <c r="I5" i="3"/>
  <c r="I42" i="3" s="1"/>
  <c r="H5" i="3"/>
  <c r="H4" i="3"/>
  <c r="H42" i="3" s="1"/>
  <c r="AC41" i="2"/>
  <c r="AB41" i="2"/>
  <c r="AA41" i="2"/>
  <c r="Y41" i="2"/>
  <c r="U41" i="2"/>
  <c r="T41" i="2"/>
  <c r="R41" i="2"/>
  <c r="Q41" i="2"/>
  <c r="N41" i="2"/>
  <c r="M41" i="2"/>
  <c r="G41" i="2"/>
  <c r="F41" i="2"/>
  <c r="D41" i="2"/>
  <c r="C41" i="2"/>
  <c r="B41" i="2"/>
  <c r="AD40" i="2"/>
  <c r="AD39" i="2"/>
  <c r="I39" i="2"/>
  <c r="AE38" i="2"/>
  <c r="O38" i="2"/>
  <c r="H38" i="2"/>
  <c r="AD38" i="2" s="1"/>
  <c r="AE37" i="2"/>
  <c r="H37" i="2"/>
  <c r="AD37" i="2" s="1"/>
  <c r="AE36" i="2"/>
  <c r="Z36" i="2"/>
  <c r="AD36" i="2" s="1"/>
  <c r="AD35" i="2"/>
  <c r="K35" i="2"/>
  <c r="K41" i="2" s="1"/>
  <c r="V34" i="2"/>
  <c r="AD34" i="2" s="1"/>
  <c r="R34" i="2"/>
  <c r="I34" i="2"/>
  <c r="AE33" i="2"/>
  <c r="S33" i="2"/>
  <c r="S41" i="2" s="1"/>
  <c r="O33" i="2"/>
  <c r="AD33" i="2" s="1"/>
  <c r="H33" i="2"/>
  <c r="AD32" i="2"/>
  <c r="D32" i="2"/>
  <c r="I31" i="2"/>
  <c r="I41" i="2" s="1"/>
  <c r="O30" i="2"/>
  <c r="H30" i="2"/>
  <c r="AD30" i="2" s="1"/>
  <c r="AD29" i="2"/>
  <c r="AE28" i="2"/>
  <c r="AD28" i="2"/>
  <c r="X27" i="2"/>
  <c r="AD27" i="2" s="1"/>
  <c r="H26" i="2"/>
  <c r="AD26" i="2" s="1"/>
  <c r="H25" i="2"/>
  <c r="AD25" i="2" s="1"/>
  <c r="L24" i="2"/>
  <c r="AD24" i="2" s="1"/>
  <c r="E23" i="2"/>
  <c r="E41" i="2" s="1"/>
  <c r="V22" i="2"/>
  <c r="AD22" i="2" s="1"/>
  <c r="S22" i="2"/>
  <c r="D22" i="2"/>
  <c r="H21" i="2"/>
  <c r="AD21" i="2" s="1"/>
  <c r="AE20" i="2"/>
  <c r="X20" i="2"/>
  <c r="X41" i="2" s="1"/>
  <c r="AD19" i="2"/>
  <c r="W19" i="2"/>
  <c r="AD18" i="2"/>
  <c r="V18" i="2"/>
  <c r="D17" i="2"/>
  <c r="B17" i="2"/>
  <c r="AD17" i="2" s="1"/>
  <c r="Z16" i="2"/>
  <c r="Z41" i="2" s="1"/>
  <c r="D16" i="2"/>
  <c r="AD15" i="2"/>
  <c r="H15" i="2"/>
  <c r="H14" i="2"/>
  <c r="AD14" i="2" s="1"/>
  <c r="J13" i="2"/>
  <c r="J41" i="2" s="1"/>
  <c r="AD12" i="2"/>
  <c r="B12" i="2"/>
  <c r="AE11" i="2"/>
  <c r="W11" i="2"/>
  <c r="W41" i="2" s="1"/>
  <c r="S11" i="2"/>
  <c r="R11" i="2"/>
  <c r="O11" i="2"/>
  <c r="L11" i="2"/>
  <c r="L41" i="2" s="1"/>
  <c r="J11" i="2"/>
  <c r="E11" i="2"/>
  <c r="AD11" i="2" s="1"/>
  <c r="AE10" i="2"/>
  <c r="P10" i="2"/>
  <c r="P41" i="2" s="1"/>
  <c r="O10" i="2"/>
  <c r="O41" i="2" s="1"/>
  <c r="H10" i="2"/>
  <c r="AD10" i="2" s="1"/>
  <c r="AD9" i="2"/>
  <c r="H9" i="2"/>
  <c r="AD8" i="2"/>
  <c r="H8" i="2"/>
  <c r="L7" i="2"/>
  <c r="AD7" i="2" s="1"/>
  <c r="V6" i="2"/>
  <c r="V41" i="2" s="1"/>
  <c r="H6" i="2"/>
  <c r="H41" i="2" s="1"/>
  <c r="C5" i="2"/>
  <c r="AD5" i="2" s="1"/>
  <c r="R4" i="2"/>
  <c r="AD4" i="2" s="1"/>
  <c r="AG27" i="3" l="1"/>
  <c r="AF10" i="4"/>
  <c r="AF14" i="4"/>
  <c r="AD31" i="2"/>
  <c r="AG13" i="3"/>
  <c r="AG20" i="3"/>
  <c r="O42" i="3"/>
  <c r="AG4" i="3"/>
  <c r="AD16" i="2"/>
  <c r="AD6" i="2"/>
  <c r="AD13" i="2"/>
  <c r="AD20" i="2"/>
  <c r="AG5" i="3"/>
  <c r="AD23" i="2"/>
</calcChain>
</file>

<file path=xl/comments1.xml><?xml version="1.0" encoding="utf-8"?>
<comments xmlns="http://schemas.openxmlformats.org/spreadsheetml/2006/main">
  <authors>
    <author>Thiago Martins</author>
  </authors>
  <commentList>
    <comment ref="R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N°8394: R$502.72 - Recebido
</t>
        </r>
      </text>
    </comment>
    <comment ref="C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N°8327: R$2424.93 - Recebido
</t>
        </r>
      </text>
    </comment>
    <comment ref="H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N°1890: R$180.00 - Recebido
N°1891: R$180.00 - Recebido
N°1892: R$150.00 - Recebido
N°1893: R$180.00 - Recebido
N°1894: R$300.00 - Recebido
N°1895: R$90.00 - Recebido
N°1896: R$140.00 - Recebido
N°1897: R$180.00 - Recebido
N°1899: R$180.00 - Recebido
N°8340: R$2050.03 - Recebido
N°8341: R$1420.71 - Recebido
N°8342: R$1048.85 - Recebido
N°8343: R$1420.71 - Recebido
N°8344: R$1144.20 - Recebido
N°8345: R$943.97 - Recebido
N°8346: R$562.57 - Recebido
N°8347: R$762.80 - Recebido
N°8348: R$557.80 - Recebido
N°8349: R$943.97 - Recebido
N°8350: R$1716.30 - Recebido
N°8351: R$810.48 - Recebido
N°8352: R$943.97 - Recebido
N°8353: R$1420.71 - Recebido
</t>
        </r>
      </text>
    </comment>
    <comment ref="V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N°8429: R$11543.65 - Recebido
N°8430: R$7675.68 - Recebido
</t>
        </r>
      </text>
    </comment>
    <comment ref="L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N°8389: R$3985.10 - Recebido
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N°1810: R$16400.00 - Recebido
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N°8306: R$419.54 - Recebido
</t>
        </r>
      </text>
    </comment>
    <comment ref="H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N°8360: R$2595.43 - Recebido
</t>
        </r>
      </text>
    </comment>
    <comment ref="O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N°8336: R$1349.21 - Recebido
</t>
        </r>
      </text>
    </comment>
    <comment ref="P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N°8442: R$42.66 - Recebido
</t>
        </r>
      </text>
    </comment>
    <comment ref="AE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N°8390: R$282.96 - Vencimento: 19/02/2022
</t>
        </r>
      </text>
    </comment>
    <comment ref="E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N°8277: R$1242.96 - Antecipado
N°8278: R$4326.67 - Antecipado
N°8279: R$1887.10 - Antecipado
N°8280: R$599.88 - Antecipado
N°8288: R$839.88 - Antecipado
N°8290: R$756.90 - Antecipado
N°8295: R$692.58 - Antecipado
N°8314: R$3473.00 - Antecipado
N°8316: R$9256.05 - Antecipado
N°8319: R$1732.66 - Antecipado
N°8334: R$801.19 - Antecipado
N°8335: R$693.06 - Antecipado
N°8339: R$745.30 - Antecipado
N°8362: R$683.94 - Antecipado
N°8363: R$455.96 - Antecipado
N°8364: R$2963.76 - Antecipado
N°8365: R$455.96 - Antecipado
N°8366: R$2051.83 - Antecipado
N°8367: R$911.93 - Antecipado
N°8368: R$1823.85 - Antecipado
N°8369: R$911.93 - Antecipado
N°8370: R$227.98 - Antecipado
N°8371: R$906.93 - Antecipado
N°8372: R$906.93 - Antecipado
N°8373: R$906.93 - Antecipado
N°8401: R$1185.50 - Antecipado
N°8402: R$944.83 - Antecipado
N°8403: R$4878.81 - Antecipado
N°8404: R$3447.34 - Antecipado
N°8405: R$949.03 - Antecipado
N°8406: R$2238.78 - Antecipado
N°8407: R$1076.07 - Antecipado
N°8408: R$2501.58 - Antecipado
N°8409: R$1076.07 - Antecipado
N°8410: R$3738.90 - Antecipado
N°8411: R$1269.40 - Antecipado
N°8412: R$479.23 - Antecipado
N°8413: R$3592.99 - Antecipado
N°8414: R$1036.11 - Antecipado
N°8415: R$3353.13 - Antecipado
N°8416: R$6088.02 - Antecipado
N°8420: R$5715.95 - Antecipado
N°8423: R$1942.12 - Antecipado
N°8433: R$501.56 - Antecipado
N°8434: R$501.56 - Antecipado
N°8435: R$2051.83 - Antecipado
N°8436: R$683.94 - Antecipado
N°8437: R$227.98 - Antecipado
N°8438: R$906.93 - Antecipado
N°8439: R$501.56 - Antecipado
N°8443: R$2028.12 - Antecipado
N°8112: R$517.27 - Recebido
N°8123: R$2288.40 - Recebido
N°8124: R$838.03 - Recebido
N°8125: R$1883.16 - Recebido
N°8126: R$2822.36 - Recebido
N°8133: R$1641.93 - Recebido
</t>
        </r>
      </text>
    </comment>
    <comment ref="J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N°8013: R$536.35 - Recebido
N°8180: R$2764.52 - Recebido
N°8186: R$1230.01 - Recebido
N°8189: R$1306.30 - Recebido
</t>
        </r>
      </text>
    </comment>
    <comment ref="L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N°8147: R$858.15 - Recebido
N°8169: R$5352.96 - Recebido
N°8170: R$754.43 - Recebido
N°8181: R$5439.72 - Recebido
N°8182: R$858.15 - Recebido
N°8184: R$553.03 - Recebido
N°8185: R$553.03 - Recebido
N°8194: R$9233.89 - Recebido
N°8195: R$9233.90 - Recebido
N°8198: R$371.86 - Recebido
N°8199: R$3432.60 - Recebido
N°8206: R$190.70 - Recebido
N°8207: R$5972.72 - Recebido
N°8208: R$2620.58 - Recebido
N°8210: R$3262.98 - Recebido
</t>
        </r>
      </text>
    </comment>
    <comment ref="O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N°8196: R$10753.57 - Recebido
N°8197: R$10753.58 - Recebido
</t>
        </r>
      </text>
    </comment>
    <comment ref="R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N°8227: R$10238.68 - Recebido
</t>
        </r>
      </text>
    </comment>
    <comment ref="S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N°8460: R$4349.74 - Antecipado
N°8461: R$429.52 - Antecipado
N°8462: R$1651.09 - Antecipado
N°8464: R$1011.28 - Antecipado
N°8465: R$1946.90 - Antecipado
N°8466: R$1555.69 - Antecipado
N°8467: R$207.00 - Antecipado
N°8468: R$828.00 - Antecipado
N°8469: R$828.00 - Antecipado
N°8470: R$207.00 - Antecipado
N°8471: R$907.33 - Antecipado
N°8472: R$1863.00 - Antecipado
N°8473: R$621.00 - Antecipado
N°8474: R$596.38 - Antecipado
N°8475: R$1641.41 - Antecipado
N°8476: R$907.33 - Antecipado
N°8477: R$414.00 - Antecipado
N°8478: R$1656.00 - Antecipado
N°8479: R$907.33 - Antecipado
N°8480: R$2873.38 - Antecipado
N°8481: R$3860.05 - Antecipado
N°8482: R$547.14 - Antecipado
N°8483: R$410.35 - Antecipado
N°8484: R$3422.34 - Antecipado
N°8221: R$2400.91 - Recebido
N°8222: R$2693.64 - Recebido
N°8225: R$909.59 - Recebido
N°8229: R$1956.99 - Recebido
N°8230: R$2728.57 - Recebido
</t>
        </r>
      </text>
    </comment>
    <comment ref="W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N°8045: R$3051.20 - Recebido
N°8213: R$2007.12 - Recebido
</t>
        </r>
      </text>
    </comment>
    <comment ref="AE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N°8228: R$6575.33 - Vencimento: 17/02/2022
</t>
        </r>
      </text>
    </comment>
    <comment ref="B1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N°8281: R$9535 - Recebido
</t>
        </r>
      </text>
    </comment>
    <comment ref="J1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N°8422: R$25760 - Recebido
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N°7849: R$170880 - Recebido
</t>
        </r>
      </text>
    </comment>
    <comment ref="H1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N°8397: R$3817.81 - Recebido
</t>
        </r>
      </text>
    </comment>
    <comment ref="D1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N°8293: R$1678.16 - Recebido
</t>
        </r>
      </text>
    </comment>
    <comment ref="Z1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N°8424: R$1678.16 - Recebido
</t>
        </r>
      </text>
    </comment>
    <comment ref="B1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N°8283: R$2180.50 - Recebido
</t>
        </r>
      </text>
    </comment>
    <comment ref="D1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N°8421: R$25535.85 - Antecipado
</t>
        </r>
      </text>
    </comment>
    <comment ref="V1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N°8447: R$836.57 - Recebido
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N°8400: R$1340.29 - Recebido
</t>
        </r>
      </text>
    </comment>
    <comment ref="X2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N°8425: R$1360 - Recebido
</t>
        </r>
      </text>
    </comment>
    <comment ref="AE2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N°8361: R$1360.00 - Vencimento: 15/02/2022
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N°8426: R$1260 - Recebido
</t>
        </r>
      </text>
    </comment>
    <comment ref="D2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N°8431: R$22615.77 - Antecipado
</t>
        </r>
      </text>
    </comment>
    <comment ref="S2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N°8257: R$3080.96 - Recebido
N°8258: R$1763.54 - Recebido
N°8333: R$1516.07 - Recebido
</t>
        </r>
      </text>
    </comment>
    <comment ref="V2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N°8258: R$1763.53 - Recebido
</t>
        </r>
      </text>
    </comment>
    <comment ref="E2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N°8329: R$1420.71 - Recebido
</t>
        </r>
      </text>
    </comment>
    <comment ref="L2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N°4356: R$844.95 - Recebido
</t>
        </r>
      </text>
    </comment>
    <comment ref="H2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N°8356: R$750.75 - Recebido
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N°8357: R$467.21 - Recebido
</t>
        </r>
      </text>
    </comment>
    <comment ref="X2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N°8427: R$2342.27 - Recebido
</t>
        </r>
      </text>
    </comment>
    <comment ref="AE2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N°4342: R$634.19 - Vencimento: 05/02/2022
N°4355: R$634.19 - Vencimento: 05/02/2022
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N°8320: R$1269.11 - Recebido
</t>
        </r>
      </text>
    </comment>
    <comment ref="O3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N°8432: R$1685.97 - Recebido
</t>
        </r>
      </text>
    </comment>
    <comment ref="I3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N°8292: R$6930 - Recebido
</t>
        </r>
      </text>
    </comment>
    <comment ref="D3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N°8337: R$98092.82 - Recebido
N°8338: R$100651.26 - Recebido
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N°8308: R$3470.74 - Recebido
N°8309: R$4011.41 - Recebido
N°8310: R$2217.55 - Recebido
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N°8322: R$2717.47 - Recebido
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N°8486: R$57874.86 - Antecipado
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N°8311: R$4011.41 - Vencimento: 06/02/2022
</t>
        </r>
      </text>
    </comment>
    <comment ref="I3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N°4357: R$34413.53 - Antecipado
N°4358: R$297.23 - Antecipado
N°4359: R$2136.09 - Antecipado
N°4360: R$2136.09 - Antecipado
N°4361: R$1868.43 - Antecipado
N°4362: R$861.00 - Antecipado
N°4364: R$987.79 - Antecipado
N°4365: R$1722.17 - Antecipado
N°4366: R$816.84 - Antecipado
N°4367: R$2136.09 - Antecipado
N°4368: R$816.84 - Antecipado
N°4369: R$1669.64 - Antecipado
N°4370: R$2243.89 - Antecipado
N°4371: R$816.84 - Antecipado
N°4372: R$297.23 - Antecipado
N°4373: R$3534.32 - Antecipado
N°4374: R$297.23 - Antecipado
N°4375: R$297.23 - Antecipado
N°4376: R$2783.26 - Antecipado
N°4377: R$1669.64 - Antecipado
N°4378: R$2013.24 - Antecipado
N°4379: R$816.99 - Antecipado
N°4380: R$1831.33 - Antecipado
N°4381: R$2605.72 - Antecipado
N°4382: R$3377.72 - Antecipado
N°4383: R$297.23 - Antecipado
N°4384: R$2149.77 - Antecipado
N°4385: R$2697.26 - Antecipado
N°4386: R$2461.66 - Antecipado
N°4388: R$2227.44 - Antecipado
N°4389: R$1633.97 - Antecipado
N°4390: R$1739.98 - Antecipado
N°4391: R$2136.09 - Antecipado
N°4392: R$2290.65 - Antecipado
N°4393: R$297.23 - Antecipado
N°4394: R$2227.24 - Antecipado
N°4395: R$1005.63 - Antecipado
</t>
        </r>
      </text>
    </comment>
    <comment ref="R3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N°2689: R$920.12 - Antecipado
N°2691: R$43.35 - Antecipado
N°2692: R$116.28 - Antecipado
N°2693: R$108.37 - Antecipado
N°2694: R$58.14 - Antecipado
N°2699: R$333.01 - Antecipado
N°2703: R$595.01 - Antecipado
N°2707: R$811.75 - Antecipado
N°2708: R$58.14 - Antecipado
N°2709: R$159.11 - Antecipado
N°2710: R$29.07 - Antecipado
N°2712: R$101.49 - Antecipado
N°2713: R$58.14 - Antecipado
N°2714: R$58.14 - Antecipado
N°2715: R$58.14 - Antecipado
N°2717: R$57.88 - Antecipado
N°2718: R$237.26 - Antecipado
N°2719: R$29.07 - Antecipado
N°2720: R$263.25 - Antecipado
N°2721: R$305.83 - Antecipado
N°2722: R$466.28 - Antecipado
N°2724: R$453.02 - Antecipado
N°4363: R$3976.84 - Antecipado
N°4397: R$1883.43 - Antecipado
N°4398: R$1010.12 - Antecipado
N°4399: R$1010.12 - Antecipado
N°4401: R$1086.17 - Antecipado
N°4402: R$1086.17 - Antecipado
N°4403: R$1143.34 - Antecipado
N°4404: R$1113.51 - Antecipado
N°4405: R$1143.34 - Antecipado
N°4406: R$1143.34 - Antecipado
N°4407: R$1143.34 - Antecipado
N°4408: R$1143.34 - Antecipado
</t>
        </r>
      </text>
    </comment>
    <comment ref="V3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N°2687: R$266.44 - Antecipado
N°2705: R$58.21 - Antecipado
N°2723: R$150.62 - Antecipado
N°4414: R$38602.60 - Antecipado
N°4415: R$88532.03 - Antecipado
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N°4354: R$20909.05 - Recebido
</t>
        </r>
      </text>
    </comment>
    <comment ref="O3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N°8311: R$4011.41 - Vencimento: 06/02/2022
</t>
        </r>
      </text>
    </comment>
    <comment ref="AE3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N°4345: R$14250.00 - Vencimento: 18/02/2022
</t>
        </r>
      </text>
    </comment>
    <comment ref="Z3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N°8457: R$619.77 - Recebido
N°8458: R$619.77 - Recebido
</t>
        </r>
      </text>
    </comment>
    <comment ref="AE3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N°8330: R$619.77 - Vencimento: 02/02/2022
N°8331: R$619.77 - Vencimento: 02/02/2022
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N°8391: R$1716.30 - Recebido
</t>
        </r>
      </text>
    </comment>
    <comment ref="AE3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N°8398: R$1138.92 - Vencimento: 05/02/2022
</t>
        </r>
      </text>
    </comment>
    <comment ref="H3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N°8355: R$705.35 - Recebido
N°8380: R$758.03 - Recebido
N°8381: R$758.03 - Recebido
N°8382: R$758.03 - Recebido
</t>
        </r>
      </text>
    </comment>
    <comment ref="O3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N°8383: R$398.35 - Recebido
N°8384: R$6221.43 - Recebido
</t>
        </r>
      </text>
    </comment>
    <comment ref="AE3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N°8387: R$9535.00 - Vencimento: 14/02/2022
N°8388: R$2715.80 - Vencimento: 14/02/2022
</t>
        </r>
      </text>
    </comment>
    <comment ref="I3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N°8332: R$890 - Recebido
</t>
        </r>
      </text>
    </comment>
  </commentList>
</comments>
</file>

<file path=xl/comments2.xml><?xml version="1.0" encoding="utf-8"?>
<comments xmlns="http://schemas.openxmlformats.org/spreadsheetml/2006/main">
  <authors>
    <author>Thiago Martins</author>
  </authors>
  <commentList>
    <comment ref="H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N°8444: R$2424.93 - Recebido
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N°1925: R$140.00 - Recebido
N°1928: R$180.00 - Recebido
N°1929: R$180.00 - Recebido
N°1930: R$180.00 - Recebido
N°1931: R$180.00 - Recebido
N°1933: R$150.00 - Recebido
N°1934: R$180.00 - Recebido
N°1935: R$90.00 - Recebido
N°1936: R$180.00 - Recebido
N°1937: R$700.00 - Recebido
N°8501: R$2050.02 - Recebido
N°8502: R$1420.71 - Recebido
N°8503: R$1048.85 - Recebido
N°8504: R$1420.71 - Recebido
N°8505: R$1144.20 - Recebido
N°8511: R$1716.30 - Recebido
N°8514: R$1420.71 - Recebido
N°8515: R$1239.55 - Recebido
N°8520: R$943.96 - Recebido
N°8523: R$557.80 - Recebido
N°8525: R$810.47 - Recebido
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N°8521: R$562.57 - Recebido
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N°8524: R$943.97 - Recebido
N°8526: R$943.97 - Recebido
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N°8573: R$1239.55 - Pendente
</t>
        </r>
      </text>
    </comment>
    <comment ref="D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N°8528: R$1048.85 - Recebido
N°8529: R$1048.85 - Recebido
N°8530: R$1048.85 - Recebido
</t>
        </r>
      </text>
    </comment>
    <comment ref="AD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N°1948: R$4918.33 - Pendente
</t>
        </r>
      </text>
    </comment>
    <comment ref="O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N°8454: R$419.54 - Recebido
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N°8495: R$2595.43 - Recebido
</t>
        </r>
      </text>
    </comment>
    <comment ref="K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N°8517: R$5900 - Recebido
</t>
        </r>
      </text>
    </comment>
    <comment ref="C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N°8269: R$6865.20 - Recebido
N°8271: R$265.10 - Recebido
</t>
        </r>
      </text>
    </comment>
    <comment ref="D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N°8531: R$4032.16 - Antecipado
N°8532: R$1026.43 - Antecipado
N°8533: R$3767.78 - Antecipado
N°8534: R$2858.05 - Antecipado
N°8535: R$3673.58 - Antecipado
N°8536: R$1740.06 - Antecipado
N°8537: R$877.72 - Antecipado
N°8538: R$1026.35 - Antecipado
N°8539: R$1295.74 - Antecipado
N°8540: R$7202.79 - Antecipado
N°8541: R$728.24 - Antecipado
N°8551: R$2473.17 - Antecipado
N°8555: R$10150.21 - Antecipado
</t>
        </r>
      </text>
    </comment>
    <comment ref="E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N°8274: R$14799.32 - Recebido
N°8223: R$7518.35 - Recebido
N°8268: R$17720.80 - Recebido
N°8270: R$2879.12 - Recebido
N°8272: R$1341.42 - Recebido
N°8273: R$5727.64 - Recebido
N°8275: R$10154.77 - Recebido
</t>
        </r>
      </text>
    </comment>
    <comment ref="J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N°8557: R$1577.86 - Antecipado
N°8558: R$592.77 - Antecipado
N°8559: R$1903.63 - Antecipado
N°8560: R$1137.12 - Antecipado
N°8561: R$4110.70 - Antecipado
</t>
        </r>
      </text>
    </comment>
    <comment ref="R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N°8578: R$1375.55 - Antecipado
N°8579: R$2887.24 - Antecipado
N°8580: R$408.02 - Antecipado
N°8581: R$4602.17 - Antecipado
N°8582: R$1712.70 - Antecipado
N°8583: R$1035.05 - Antecipado
N°8586: R$4625.28 - Antecipado
N°8588: R$2237.62 - Antecipado
N°8589: R$8495.35 - Antecipado
N°8594: R$7403.49 - Antecipado
N°8595: R$1869.86 - Antecipado
N°8596: R$2097.56 - Antecipado
N°8597: R$1267.61 - Antecipado
N°8607: R$741.06 - Antecipado
N°8608: R$3280.95 - Antecipado
N°8609: R$743.95 - Antecipado
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N°8211: R$1222.39 - Recebido
</t>
        </r>
      </text>
    </comment>
    <comment ref="C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N°8418: R$2097.70 - Recebido
</t>
        </r>
      </text>
    </comment>
    <comment ref="AE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N°8553: R$3271.74 - Pendente
</t>
        </r>
      </text>
    </comment>
    <comment ref="Q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N°8587: R$13720.32 - Antecipado
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N°8527: R$1678.16 - Pendente
</t>
        </r>
      </text>
    </comment>
    <comment ref="C1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N°8417: R$2378.99 - Recebido
</t>
        </r>
      </text>
    </comment>
    <comment ref="H1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N°8449: R$6483.80 - Recebido
N°8450: R$2574.45 - Recebido
N°8451: R$7246.60 - Recebido
N°8452: R$2288.40 - Recebido
N°8453: R$1716.30 - Recebido
</t>
        </r>
      </text>
    </comment>
    <comment ref="Q1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N°8585: R$8543.93 - Antecipado
N°8598: R$6247.18 - Antecipado
N°8599: R$2480.50 - Antecipado
N°8600: R$6982.14 - Antecipado
N°8601: R$2204.89 - Antecipado
N°8602: R$1653.66 - Antecipado
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N°8440: R$88873.76 - Recebido
</t>
        </r>
      </text>
    </comment>
    <comment ref="AC1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N°8611: R$53222.00 - Pendente
</t>
        </r>
      </text>
    </comment>
    <comment ref="AB1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N°8544: R$1360.00 - Pendente
</t>
        </r>
      </text>
    </comment>
    <comment ref="AH1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N°8455: R$328.47 - Vencimento: 05/03/2022
</t>
        </r>
      </text>
    </comment>
    <comment ref="O1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N°8545: R$1260 - Recebido
</t>
        </r>
      </text>
    </comment>
    <comment ref="H1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N°8549: R$22593.22 - Antecipado
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N°8575: R$1993.74 - Pendente
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N°8456: R$1420.71 - Vencimento: 04/03/2022
</t>
        </r>
      </text>
    </comment>
    <comment ref="W2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N°4460: R$844.95 - Pendente
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N°8497: R$715.84 - Recebido
</t>
        </r>
      </text>
    </comment>
    <comment ref="H2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N°8498: R$467.21 - Recebido
</t>
        </r>
      </text>
    </comment>
    <comment ref="X2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N°8518: R$3482.35 - Pendente
N°8519: R$2235.22 - Pendente
</t>
        </r>
      </text>
    </comment>
    <comment ref="AB2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N°8616: R$1430.25 - Pendente
</t>
        </r>
      </text>
    </comment>
    <comment ref="Q2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N°8546: R$2342.26 - Recebido
</t>
        </r>
      </text>
    </comment>
    <comment ref="E2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N°4416: R$634.19 - Recebido
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N°4418: R$6886.97 - Vencimento: 15/03/2022
</t>
        </r>
      </text>
    </comment>
    <comment ref="Y2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N°8574: R$1180.18 - Pendente
</t>
        </r>
      </text>
    </comment>
    <comment ref="AH2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N°8499: R$909.64 - Vencimento: 05/03/2022
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N°8419: R$1269.10 - Recebido
</t>
        </r>
      </text>
    </comment>
    <comment ref="S2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N°1919: R$14256.00 - Recebido
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N°8428: R$6930 - Recebido
</t>
        </r>
      </text>
    </comment>
    <comment ref="AE3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N°8547: R$6930.00 - Pendente
</t>
        </r>
      </text>
    </comment>
    <comment ref="AH3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N°1940: R$7526.02 - Vencimento: 06/03/2022
</t>
        </r>
      </text>
    </comment>
    <comment ref="L3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N°8463: R$2074.45 - Recebido
</t>
        </r>
      </text>
    </comment>
    <comment ref="X3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N°8564: R$21796.37 - Pendente
N°8565: R$21796.37 - Pendente
N°8566: R$21796.37 - Pendente
N°8568: R$21796.37 - Pendente
N°8569: R$21796.37 - Pendente
</t>
        </r>
      </text>
    </comment>
    <comment ref="AH3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N°8554: R$21796.37 - Vencimento: 18/03/2022
</t>
        </r>
      </text>
    </comment>
    <comment ref="E3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N°8487: R$42567.40 - Recebido
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N°8441: R$2498.17 - Recebido
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N°8488: R$3319.30 - Antecipado
N°8494: R$3257.88 - Antecipado
N°8552: R$324.43 - Antecipado
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N°8584: R$940.67 - Pendente
</t>
        </r>
      </text>
    </comment>
    <comment ref="K3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N°2698: R$591.44 - Antecipado
N°2701: R$100.88 - Antecipado
N°2704: R$699.16 - Antecipado
N°2706: R$394.15 - Antecipado
N°2716: R$299.56 - Antecipado
N°2736: R$588.22 - Antecipado
N°2739: R$373.60 - Antecipado
N°2740: R$699.16 - Antecipado
N°2742: R$439.55 - Antecipado
N°2743: R$57.79 - Antecipado
N°2746: R$165.51 - Antecipado
N°2748: R$699.16 - Antecipado
N°2749: R$821.08 - Antecipado
N°4420: R$266.83 - Antecipado
N°4421: R$1917.60 - Antecipado
N°4422: R$1917.60 - Antecipado
N°4423: R$1677.32 - Antecipado
N°4424: R$772.92 - Antecipado
N°4425: R$3557.70 - Antecipado
N°4426: R$886.76 - Antecipado
N°4427: R$1546.02 - Antecipado
N°4428: R$733.29 - Antecipado
N°4429: R$1917.60 - Antecipado
N°4430: R$733.29 - Antecipado
N°4431: R$1498.86 - Antecipado
N°4432: R$2014.37 - Antecipado
N°4433: R$733.29 - Antecipado
N°4434: R$266.83 - Antecipado
N°4435: R$3275.09 - Antecipado
N°4436: R$266.83 - Antecipado
N°4437: R$266.83 - Antecipado
N°4438: R$2498.57 - Antecipado
N°4439: R$1498.86 - Antecipado
N°4440: R$1807.31 - Antecipado
N°4441: R$351.33 - Antecipado
N°4442: R$733.42 - Antecipado
N°4443: R$1644.02 - Antecipado
N°4444: R$2339.19 - Antecipado
N°4445: R$3032.23 - Antecipado
N°4446: R$266.83 - Antecipado
N°4447: R$1929.87 - Antecipado
N°4448: R$2421.37 - Antecipado
N°4449: R$2209.87 - Antecipado
N°4450: R$903.66 - Antecipado
N°4451: R$1999.61 - Antecipado
N°4452: R$1466.84 - Antecipado
N°4453: R$1562.01 - Antecipado
N°4454: R$1917.60 - Antecipado
N°4455: R$2056.35 - Antecipado
N°4456: R$266.83 - Antecipado
N°4457: R$1999.43 - Antecipado
N°4458: R$902.77 - Antecipado
N°4459: R$1775.29 - Antecipado
</t>
        </r>
      </text>
    </comment>
    <comment ref="S3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N°2688: R$628.40 - Pendente
N°2690: R$371.95 - Pendente
N°2695: R$463.95 - Pendente
N°2696: R$53.59 - Pendente
N°2697: R$351.16 - Pendente
N°2702: R$742.85 - Pendente
N°2711: R$30.70 - Pendente
N°2725: R$103.12 - Pendente
N°2726: R$1360.00 - Pendente
N°2727: R$237.64 - Pendente
N°2728: R$158.88 - Pendente
N°2729: R$742.85 - Pendente
N°2730: R$742.85 - Pendente
N°2731: R$643.48 - Pendente
N°2732: R$30.70 - Pendente
N°2733: R$30.70 - Pendente
N°2734: R$61.40 - Pendente
N°2735: R$61.40 - Pendente
N°2737: R$145.15 - Pendente
N°2741: R$61.40 - Pendente
N°2744: R$681.45 - Pendente
N°2745: R$742.85 - Pendente
N°2747: R$61.13 - Pendente
N°2750: R$257.50 - Pendente
N°2751: R$742.85 - Pendente
N°2752: R$431.68 - Pendente
N°2753: R$30.70 - Pendente
N°2755: R$61.40 - Pendente
N°2756: R$742.85 - Pendente
N°2757: R$379.15 - Pendente
N°2758: R$30.70 - Pendente
N°2759: R$92.10 - Pendente
N°2760: R$84.02 - Pendente
N°2761: R$544.46 - Pendente
N°2762: R$46.05 - Pendente
N°2763: R$110.52 - Pendente
N°2764: R$351.16 - Pendente
N°2765: R$175.85 - Pendente
N°2766: R$52.19 - Pendente
N°2767: R$413.10 - Pendente
N°2768: R$30.70 - Pendente
N°2769: R$61.40 - Pendente
N°2770: R$30.70 - Pendente
N°2771: R$175.85 - Pendente
N°2772: R$114.45 - Pendente
N°2773: R$18.42 - Pendente
N°2774: R$535.25 - Pendente
N°2775: R$206.55 - Pendente
N°2776: R$30.70 - Pendente
N°2777: R$30.70 - Pendente
N°2778: R$508.50 - Pendente
N°2779: R$175.85 - Pendente
N°2780: R$95.86 - Pendente
N°4400: R$1207.50 - Pendente
N°4410: R$1176.00 - Pendente
N°4411: R$1176.00 - Pendente
N°4412: R$1207.00 - Pendente
N°4413: R$16196.25 - Pendente
N°4417: R$93388.13 - Pendente
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N°4409: R$20909.05 - Recebido
</t>
        </r>
      </text>
    </comment>
    <comment ref="S3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N°8617: R$16586.69 - Pendente
</t>
        </r>
      </text>
    </comment>
    <comment ref="AD3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N°8604: R$619.77 - Pendente
N°8605: R$619.77 - Pendente
</t>
        </r>
      </text>
    </comment>
    <comment ref="H3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N°8500: R$1716.30 - Recebido
</t>
        </r>
      </text>
    </comment>
    <comment ref="AH3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N°8496: R$705.35 - Vencimento: 05/03/2022
N°8516: R$2037.11 - Vencimento: 15/03/2022
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N°8459: R$843.50 - Recebido
</t>
        </r>
      </text>
    </comment>
  </commentList>
</comments>
</file>

<file path=xl/comments3.xml><?xml version="1.0" encoding="utf-8"?>
<comments xmlns="http://schemas.openxmlformats.org/spreadsheetml/2006/main">
  <authors>
    <author>Thiago Martins</author>
  </authors>
  <commentList>
    <comment ref="H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N°8562: R$419.54 - Pendente
</t>
        </r>
      </text>
    </comment>
    <comment ref="B5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N°8614: R$750.00 - Pendente
</t>
        </r>
      </text>
    </comment>
    <comment ref="F6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N°8563: R$328.47 - Pendente
</t>
        </r>
      </text>
    </comment>
    <comment ref="B7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N°8612: R$5339.60 - Pendente
N°8613: R$1144.20 - Pendente
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N°8603: R$1420.71 - Pendente
</t>
        </r>
      </text>
    </comment>
    <comment ref="B9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N°8615: R$766.36 - Pendente
</t>
        </r>
      </text>
    </comment>
    <comment ref="I10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N°8570: R$3696.88 - Pendente
N°8571: R$17782.77 - Pendente
N°8572: R$1039.93 - Pendente
</t>
        </r>
      </text>
    </comment>
    <comment ref="K11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N°8592: R$13557.92 - Pendente
N°8593: R$12804.70 - Pendente
</t>
        </r>
      </text>
    </comment>
    <comment ref="B12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N°4419: R$4750.00 - Pendente
</t>
        </r>
      </text>
    </comment>
    <comment ref="F13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N°8548: R$758.03 - Pendente
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 xml:space="preserve">N°8606: R$843.50 - Pendente
</t>
        </r>
      </text>
    </comment>
  </commentList>
</comments>
</file>

<file path=xl/sharedStrings.xml><?xml version="1.0" encoding="utf-8"?>
<sst xmlns="http://schemas.openxmlformats.org/spreadsheetml/2006/main" count="408" uniqueCount="181">
  <si>
    <t>Março/2022</t>
  </si>
  <si>
    <t>Clientes/Fornecedores</t>
  </si>
  <si>
    <t>Ter.</t>
  </si>
  <si>
    <t>Qua.</t>
  </si>
  <si>
    <t>Qui.</t>
  </si>
  <si>
    <t>Sex.</t>
  </si>
  <si>
    <t>Sab.</t>
  </si>
  <si>
    <t>Dom.</t>
  </si>
  <si>
    <t>Seg.</t>
  </si>
  <si>
    <t>01/03</t>
  </si>
  <si>
    <t>02/03</t>
  </si>
  <si>
    <t>03/03</t>
  </si>
  <si>
    <t>04/03</t>
  </si>
  <si>
    <t>05/03</t>
  </si>
  <si>
    <t>06/03</t>
  </si>
  <si>
    <t>07/03</t>
  </si>
  <si>
    <t>08/03</t>
  </si>
  <si>
    <t>09/03</t>
  </si>
  <si>
    <t>10/03</t>
  </si>
  <si>
    <t>11/03</t>
  </si>
  <si>
    <t>12/03</t>
  </si>
  <si>
    <t>13/03</t>
  </si>
  <si>
    <t>14/03</t>
  </si>
  <si>
    <t>15/03</t>
  </si>
  <si>
    <t>16/03</t>
  </si>
  <si>
    <t>17/03</t>
  </si>
  <si>
    <t>18/03</t>
  </si>
  <si>
    <t>19/03</t>
  </si>
  <si>
    <t>20/03</t>
  </si>
  <si>
    <t>21/03</t>
  </si>
  <si>
    <t>22/03</t>
  </si>
  <si>
    <t>23/03</t>
  </si>
  <si>
    <t>24/03</t>
  </si>
  <si>
    <t>25/03</t>
  </si>
  <si>
    <t>26/03</t>
  </si>
  <si>
    <t>27/03</t>
  </si>
  <si>
    <t>28/03</t>
  </si>
  <si>
    <t>29/03</t>
  </si>
  <si>
    <t>30/03</t>
  </si>
  <si>
    <t>31/03</t>
  </si>
  <si>
    <t>Fevereiro/2022</t>
  </si>
  <si>
    <t>TOTAL</t>
  </si>
  <si>
    <t>01/02</t>
  </si>
  <si>
    <t>02/02</t>
  </si>
  <si>
    <t>03/02</t>
  </si>
  <si>
    <t>04/02</t>
  </si>
  <si>
    <t>05/02</t>
  </si>
  <si>
    <t>06/02</t>
  </si>
  <si>
    <t>07/02</t>
  </si>
  <si>
    <t>08/02</t>
  </si>
  <si>
    <t>09/02</t>
  </si>
  <si>
    <t>10/02</t>
  </si>
  <si>
    <t>11/02</t>
  </si>
  <si>
    <t>12/02</t>
  </si>
  <si>
    <t>13/02</t>
  </si>
  <si>
    <t>14/02</t>
  </si>
  <si>
    <t>15/02</t>
  </si>
  <si>
    <t>16/02</t>
  </si>
  <si>
    <t>17/02</t>
  </si>
  <si>
    <t>18/02</t>
  </si>
  <si>
    <t>19/02</t>
  </si>
  <si>
    <t>20/02</t>
  </si>
  <si>
    <t>21/02</t>
  </si>
  <si>
    <t>22/02</t>
  </si>
  <si>
    <t>23/02</t>
  </si>
  <si>
    <t>24/02</t>
  </si>
  <si>
    <t>25/02</t>
  </si>
  <si>
    <t>26/02</t>
  </si>
  <si>
    <t>27/02</t>
  </si>
  <si>
    <t>28/02</t>
  </si>
  <si>
    <t>AEJ</t>
  </si>
  <si>
    <t>ANATEL</t>
  </si>
  <si>
    <t>ANVEL - FILA</t>
  </si>
  <si>
    <t>ASF</t>
  </si>
  <si>
    <t>ATENTO</t>
  </si>
  <si>
    <t>BANCO HYUNDAI</t>
  </si>
  <si>
    <t>BIB</t>
  </si>
  <si>
    <t>BOTICARIO</t>
  </si>
  <si>
    <t>C&amp;C</t>
  </si>
  <si>
    <t>CARLOS VAZ</t>
  </si>
  <si>
    <t>CENCOSOUD</t>
  </si>
  <si>
    <t>CI&amp;T</t>
  </si>
  <si>
    <t>CIP</t>
  </si>
  <si>
    <t>CYMZ</t>
  </si>
  <si>
    <t>FAST SLOGAN</t>
  </si>
  <si>
    <t>FOL</t>
  </si>
  <si>
    <t>FRAMIL</t>
  </si>
  <si>
    <t>FUSSP</t>
  </si>
  <si>
    <t>HSV</t>
  </si>
  <si>
    <t>I9</t>
  </si>
  <si>
    <t>LDI CRISTAIS</t>
  </si>
  <si>
    <t>LFL</t>
  </si>
  <si>
    <t>LSR</t>
  </si>
  <si>
    <t>QUANTUM</t>
  </si>
  <si>
    <t>RESERVA ALPHASITIO</t>
  </si>
  <si>
    <t>RUNNER</t>
  </si>
  <si>
    <t xml:space="preserve">SANDVICK </t>
  </si>
  <si>
    <t>SEADE</t>
  </si>
  <si>
    <t>SESC</t>
  </si>
  <si>
    <t>TECBAN - TB FORTE</t>
  </si>
  <si>
    <t>TELHANORTE</t>
  </si>
  <si>
    <t>THOMAS GREG</t>
  </si>
  <si>
    <t>UNIP</t>
  </si>
  <si>
    <t>US3</t>
  </si>
  <si>
    <t>VBV</t>
  </si>
  <si>
    <t>VERTE LIMÃO</t>
  </si>
  <si>
    <t>OUTROS CRÉDITOS</t>
  </si>
  <si>
    <t>CREFISA - FAM</t>
  </si>
  <si>
    <t>FEBASP</t>
  </si>
  <si>
    <t>FSB COMUNICAÇÕES</t>
  </si>
  <si>
    <t>NET TELECON</t>
  </si>
  <si>
    <t>OPEN FERRAGENS</t>
  </si>
  <si>
    <t>SANTANDER</t>
  </si>
  <si>
    <t>SONDOTÉCNICA</t>
  </si>
  <si>
    <t>TJ SP</t>
  </si>
  <si>
    <t>Abril/2022</t>
  </si>
  <si>
    <t>01/04</t>
  </si>
  <si>
    <t>02/04</t>
  </si>
  <si>
    <t>03/04</t>
  </si>
  <si>
    <t>04/04</t>
  </si>
  <si>
    <t>05/04</t>
  </si>
  <si>
    <t>06/04</t>
  </si>
  <si>
    <t>07/04</t>
  </si>
  <si>
    <t>08/04</t>
  </si>
  <si>
    <t>09/04</t>
  </si>
  <si>
    <t>10/04</t>
  </si>
  <si>
    <t>11/04</t>
  </si>
  <si>
    <t>12/04</t>
  </si>
  <si>
    <t>13/04</t>
  </si>
  <si>
    <t>14/04</t>
  </si>
  <si>
    <t>15/04</t>
  </si>
  <si>
    <t>16/04</t>
  </si>
  <si>
    <t>17/04</t>
  </si>
  <si>
    <t>18/04</t>
  </si>
  <si>
    <t>19/04</t>
  </si>
  <si>
    <t>20/04</t>
  </si>
  <si>
    <t>21/04</t>
  </si>
  <si>
    <t>22/04</t>
  </si>
  <si>
    <t>23/04</t>
  </si>
  <si>
    <t>24/04</t>
  </si>
  <si>
    <t>25/04</t>
  </si>
  <si>
    <t>26/04</t>
  </si>
  <si>
    <t>27/04</t>
  </si>
  <si>
    <t>28/04</t>
  </si>
  <si>
    <t>29/04</t>
  </si>
  <si>
    <t>30/04</t>
  </si>
  <si>
    <t>CARLOS AROLD</t>
  </si>
  <si>
    <t>HOSPITAL NIPO</t>
  </si>
  <si>
    <t>METALNET</t>
  </si>
  <si>
    <t>Maio/2022</t>
  </si>
  <si>
    <t>01/05</t>
  </si>
  <si>
    <t>02/05</t>
  </si>
  <si>
    <t>03/05</t>
  </si>
  <si>
    <t>04/05</t>
  </si>
  <si>
    <t>05/05</t>
  </si>
  <si>
    <t>06/05</t>
  </si>
  <si>
    <t>07/05</t>
  </si>
  <si>
    <t>08/05</t>
  </si>
  <si>
    <t>09/05</t>
  </si>
  <si>
    <t>10/05</t>
  </si>
  <si>
    <t>11/05</t>
  </si>
  <si>
    <t>12/05</t>
  </si>
  <si>
    <t>13/05</t>
  </si>
  <si>
    <t>14/05</t>
  </si>
  <si>
    <t>15/05</t>
  </si>
  <si>
    <t>16/05</t>
  </si>
  <si>
    <t>17/05</t>
  </si>
  <si>
    <t>18/05</t>
  </si>
  <si>
    <t>19/05</t>
  </si>
  <si>
    <t>20/05</t>
  </si>
  <si>
    <t>21/05</t>
  </si>
  <si>
    <t>22/05</t>
  </si>
  <si>
    <t>23/05</t>
  </si>
  <si>
    <t>24/05</t>
  </si>
  <si>
    <t>25/05</t>
  </si>
  <si>
    <t>26/05</t>
  </si>
  <si>
    <t>27/05</t>
  </si>
  <si>
    <t>28/05</t>
  </si>
  <si>
    <t>29/05</t>
  </si>
  <si>
    <t>30/05</t>
  </si>
  <si>
    <t>31/05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</si>
</sst>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79646"/>
      </patternFill>
    </fill>
    <fill>
      <patternFill patternType="solid">
        <fgColor theme="0"/>
        <bgColor indexed="64"/>
      </patternFill>
    </fill>
    <fill>
      <patternFill patternType="solid">
        <fgColor rgb="FFF79646"/>
      </patternFill>
    </fill>
    <fill>
      <patternFill patternType="solid">
        <fgColor rgb="FFFFFFFF"/>
      </patternFill>
    </fill>
    <fill>
      <patternFill patternType="solid">
        <fgColor rgb="FF08080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0" borderId="0" xfId="0"/>
    <xf numFmtId="0" fontId="0" fillId="3" borderId="5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5" borderId="21" xfId="0" applyNumberFormat="1" applyFill="1" applyBorder="1"/>
    <xf numFmtId="164" fontId="0" fillId="4" borderId="23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64" fontId="0" fillId="4" borderId="25" xfId="0" applyNumberFormat="1" applyFill="1" applyBorder="1" applyAlignment="1">
      <alignment horizontal="center" vertical="center"/>
    </xf>
    <xf numFmtId="0" fontId="0" fillId="6" borderId="24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/>
    </xf>
    <xf numFmtId="0" fontId="0" fillId="0" borderId="6" xfId="0" applyBorder="1"/>
    <xf numFmtId="0" fontId="2" fillId="4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2" fillId="4" borderId="17" xfId="0" applyFont="1" applyFill="1" applyBorder="1" applyAlignment="1">
      <alignment horizontal="center" vertical="center"/>
    </xf>
    <xf numFmtId="0" fontId="0" fillId="4" borderId="18" xfId="0" applyFill="1" applyBorder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zoomScale="70" zoomScaleNormal="70" workbookViewId="0">
      <selection activeCell="C6" sqref="C6"/>
    </sheetView>
  </sheetViews>
  <sheetFormatPr defaultRowHeight="14.4" x14ac:dyDescent="0.3"/>
  <cols>
    <col min="1" max="1" width="23.44140625" style="5" bestFit="1" customWidth="1"/>
  </cols>
  <sheetData>
    <row r="1" spans="1:32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20"/>
    </row>
    <row r="2" spans="1:32" ht="15" customHeight="1" thickTop="1" x14ac:dyDescent="0.3">
      <c r="A2" s="2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2</v>
      </c>
      <c r="AE2" s="1" t="s">
        <v>3</v>
      </c>
      <c r="AF2" s="1" t="s">
        <v>4</v>
      </c>
    </row>
    <row r="3" spans="1:32" ht="15" customHeight="1" thickBot="1" x14ac:dyDescent="0.35">
      <c r="A3" s="22"/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32</v>
      </c>
      <c r="Z3" s="2" t="s">
        <v>33</v>
      </c>
      <c r="AA3" s="2" t="s">
        <v>34</v>
      </c>
      <c r="AB3" s="2" t="s">
        <v>35</v>
      </c>
      <c r="AC3" s="2" t="s">
        <v>36</v>
      </c>
      <c r="AD3" s="2" t="s">
        <v>37</v>
      </c>
      <c r="AE3" s="2" t="s">
        <v>38</v>
      </c>
      <c r="AF3" s="2" t="s">
        <v>39</v>
      </c>
    </row>
    <row r="4" spans="1:32" ht="15" customHeight="1" thickTop="1" x14ac:dyDescent="0.3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3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3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3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3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3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3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3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3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3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3">
      <c r="A24" s="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3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3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3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3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3">
      <c r="A29" s="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3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3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3">
      <c r="A32" s="6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3">
      <c r="A33" s="6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3">
      <c r="A34" s="6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3">
      <c r="A35" s="6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3">
      <c r="A36" s="6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3">
      <c r="A37" s="6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</sheetData>
  <mergeCells count="2">
    <mergeCell ref="A1:AF1"/>
    <mergeCell ref="A2: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1"/>
  <sheetViews>
    <sheetView tabSelected="1" workbookViewId="0">
      <pane xSplit="1" ySplit="3" topLeftCell="R15" activePane="bottomRight" state="frozen"/>
      <selection pane="topRight" activeCell="B1" sqref="B1"/>
      <selection pane="bottomLeft" activeCell="A4" sqref="A4"/>
      <selection pane="bottomRight" activeCell="AE28" sqref="AE28"/>
    </sheetView>
  </sheetViews>
  <sheetFormatPr defaultRowHeight="14.4" x14ac:dyDescent="0.3"/>
  <cols>
    <col min="1" max="1" width="22" style="5" customWidth="1"/>
    <col min="2" max="29" width="12.44140625" style="5" customWidth="1"/>
    <col min="30" max="30" width="13" style="5" customWidth="1"/>
  </cols>
  <sheetData>
    <row r="1" spans="1:31" x14ac:dyDescent="0.3">
      <c r="A1" s="23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</row>
    <row r="2" spans="1:31" x14ac:dyDescent="0.3">
      <c r="A2" s="26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2</v>
      </c>
      <c r="J2" s="10" t="s">
        <v>3</v>
      </c>
      <c r="K2" s="10" t="s">
        <v>4</v>
      </c>
      <c r="L2" s="10" t="s">
        <v>5</v>
      </c>
      <c r="M2" s="10" t="s">
        <v>6</v>
      </c>
      <c r="N2" s="10" t="s">
        <v>7</v>
      </c>
      <c r="O2" s="10" t="s">
        <v>8</v>
      </c>
      <c r="P2" s="10" t="s">
        <v>2</v>
      </c>
      <c r="Q2" s="10" t="s">
        <v>3</v>
      </c>
      <c r="R2" s="10" t="s">
        <v>4</v>
      </c>
      <c r="S2" s="10" t="s">
        <v>5</v>
      </c>
      <c r="T2" s="10" t="s">
        <v>6</v>
      </c>
      <c r="U2" s="10" t="s">
        <v>7</v>
      </c>
      <c r="V2" s="10" t="s">
        <v>8</v>
      </c>
      <c r="W2" s="10" t="s">
        <v>2</v>
      </c>
      <c r="X2" s="10" t="s">
        <v>3</v>
      </c>
      <c r="Y2" s="10" t="s">
        <v>4</v>
      </c>
      <c r="Z2" s="10" t="s">
        <v>5</v>
      </c>
      <c r="AA2" s="10" t="s">
        <v>6</v>
      </c>
      <c r="AB2" s="10" t="s">
        <v>7</v>
      </c>
      <c r="AC2" s="10" t="s">
        <v>8</v>
      </c>
      <c r="AD2" s="26" t="s">
        <v>41</v>
      </c>
    </row>
    <row r="3" spans="1:31" x14ac:dyDescent="0.3">
      <c r="A3" s="27"/>
      <c r="B3" s="11" t="s">
        <v>42</v>
      </c>
      <c r="C3" s="11" t="s">
        <v>43</v>
      </c>
      <c r="D3" s="11" t="s">
        <v>44</v>
      </c>
      <c r="E3" s="11" t="s">
        <v>45</v>
      </c>
      <c r="F3" s="11" t="s">
        <v>46</v>
      </c>
      <c r="G3" s="11" t="s">
        <v>47</v>
      </c>
      <c r="H3" s="11" t="s">
        <v>48</v>
      </c>
      <c r="I3" s="11" t="s">
        <v>49</v>
      </c>
      <c r="J3" s="11" t="s">
        <v>50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55</v>
      </c>
      <c r="P3" s="11" t="s">
        <v>56</v>
      </c>
      <c r="Q3" s="11" t="s">
        <v>57</v>
      </c>
      <c r="R3" s="11" t="s">
        <v>58</v>
      </c>
      <c r="S3" s="11" t="s">
        <v>59</v>
      </c>
      <c r="T3" s="11" t="s">
        <v>60</v>
      </c>
      <c r="U3" s="11" t="s">
        <v>61</v>
      </c>
      <c r="V3" s="11" t="s">
        <v>62</v>
      </c>
      <c r="W3" s="11" t="s">
        <v>63</v>
      </c>
      <c r="X3" s="11" t="s">
        <v>64</v>
      </c>
      <c r="Y3" s="11" t="s">
        <v>65</v>
      </c>
      <c r="Z3" s="11" t="s">
        <v>66</v>
      </c>
      <c r="AA3" s="11" t="s">
        <v>67</v>
      </c>
      <c r="AB3" s="11" t="s">
        <v>68</v>
      </c>
      <c r="AC3" s="11" t="s">
        <v>69</v>
      </c>
      <c r="AD3" s="27"/>
    </row>
    <row r="4" spans="1:31" x14ac:dyDescent="0.3">
      <c r="A4" s="12" t="s">
        <v>70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>
        <f>502.72</f>
        <v>502.72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4">
        <f t="shared" ref="AD4:AD40" si="0">SUM(B4:AC4)</f>
        <v>502.72</v>
      </c>
    </row>
    <row r="5" spans="1:31" x14ac:dyDescent="0.3">
      <c r="A5" s="12" t="s">
        <v>71</v>
      </c>
      <c r="B5" s="13"/>
      <c r="C5" s="13">
        <f>2424.929</f>
        <v>2424.9290000000001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4">
        <f t="shared" si="0"/>
        <v>2424.9290000000001</v>
      </c>
    </row>
    <row r="6" spans="1:31" x14ac:dyDescent="0.3">
      <c r="A6" s="12" t="s">
        <v>72</v>
      </c>
      <c r="B6" s="13"/>
      <c r="C6" s="13"/>
      <c r="D6" s="13"/>
      <c r="E6" s="13"/>
      <c r="F6" s="13"/>
      <c r="G6" s="13"/>
      <c r="H6" s="13">
        <f>180+180+150+180+300+90+140+180+180+2050.025+1420.715+1048.85+1420.715+1144.2+943.965+562.565+762.8+557.7975+943.965+1716.3+810.475+943.965+1420.715</f>
        <v>17327.052500000002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>
        <f>11543.65+7675.68</f>
        <v>19219.330000000002</v>
      </c>
      <c r="W6" s="13"/>
      <c r="X6" s="13"/>
      <c r="Y6" s="13"/>
      <c r="Z6" s="13"/>
      <c r="AA6" s="13"/>
      <c r="AB6" s="13"/>
      <c r="AC6" s="13"/>
      <c r="AD6" s="14">
        <f t="shared" si="0"/>
        <v>36546.382500000007</v>
      </c>
    </row>
    <row r="7" spans="1:31" x14ac:dyDescent="0.3">
      <c r="A7" s="12" t="s">
        <v>73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>
        <f>3985.1</f>
        <v>3985.1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4">
        <f t="shared" si="0"/>
        <v>3985.1</v>
      </c>
    </row>
    <row r="8" spans="1:31" x14ac:dyDescent="0.3">
      <c r="A8" s="12" t="s">
        <v>74</v>
      </c>
      <c r="B8" s="13"/>
      <c r="C8" s="13"/>
      <c r="D8" s="13"/>
      <c r="E8" s="13"/>
      <c r="F8" s="13"/>
      <c r="G8" s="13"/>
      <c r="H8" s="13">
        <f>16400</f>
        <v>16400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>
        <f t="shared" si="0"/>
        <v>16400</v>
      </c>
    </row>
    <row r="9" spans="1:31" x14ac:dyDescent="0.3">
      <c r="A9" s="12" t="s">
        <v>75</v>
      </c>
      <c r="B9" s="13"/>
      <c r="C9" s="13"/>
      <c r="D9" s="13"/>
      <c r="E9" s="13"/>
      <c r="F9" s="13"/>
      <c r="G9" s="13"/>
      <c r="H9" s="13">
        <f>419.54</f>
        <v>419.54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>
        <f t="shared" si="0"/>
        <v>419.54</v>
      </c>
    </row>
    <row r="10" spans="1:31" x14ac:dyDescent="0.3">
      <c r="A10" s="12" t="s">
        <v>76</v>
      </c>
      <c r="B10" s="13"/>
      <c r="C10" s="13"/>
      <c r="D10" s="13"/>
      <c r="E10" s="13"/>
      <c r="F10" s="13"/>
      <c r="G10" s="13"/>
      <c r="H10" s="13">
        <f>2595.427</f>
        <v>2595.4270000000001</v>
      </c>
      <c r="I10" s="13"/>
      <c r="J10" s="13"/>
      <c r="K10" s="13"/>
      <c r="L10" s="13"/>
      <c r="M10" s="13"/>
      <c r="N10" s="13"/>
      <c r="O10" s="13">
        <f>1349.21</f>
        <v>1349.21</v>
      </c>
      <c r="P10" s="13">
        <f>42.66</f>
        <v>42.66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4">
        <f t="shared" si="0"/>
        <v>3987.297</v>
      </c>
      <c r="AE10">
        <f>282.96066</f>
        <v>282.96066000000002</v>
      </c>
    </row>
    <row r="11" spans="1:31" x14ac:dyDescent="0.3">
      <c r="A11" s="12" t="s">
        <v>77</v>
      </c>
      <c r="B11" s="13"/>
      <c r="C11" s="13"/>
      <c r="D11" s="13"/>
      <c r="E11" s="13">
        <f>1242.95550888462+4326.67067507222+1887.10375045156+599.883340318769+839.884096612426+756.898805850504+692.580645878653+3472.99825322551+9256.05166190676+1732.65991700717+801.19106488684+693.063966802871+745.299103669277+683.94470408178+455.96313605452+2963.76038435438+455.96313605452+2051.83411224534+911.926272109041+1823.85254421808+911.926272109041+227.98156802726+906.928916137883+906.928916137883+906.928916137883+1185.50415374175+944.826391417432+4878.80555578336+3447.33953625279+949.032552121157+2238.77899802769+1076.07300108866+2501.57791112407+1076.07300108866+3738.89771564706+1269.40137077578+479.226375256022+3592.98951210962+1036.11239184485+3353.12554475678+6088.01979259995+5715.95387357946+1942.12043938168+501.559449659972+501.559449659972+2051.83411224534+683.94470408178+227.98156802726+906.928916137883+501.559449659972+2028.1240291705+517.27375+2288.4+838.03115+1883.1625+2822.36+1641.927</f>
        <v>103163.6838634742</v>
      </c>
      <c r="F11" s="13"/>
      <c r="G11" s="13"/>
      <c r="H11" s="13"/>
      <c r="I11" s="13"/>
      <c r="J11" s="13">
        <f>536.35+2764.52+1230.01+1306.3</f>
        <v>5837.18</v>
      </c>
      <c r="K11" s="13"/>
      <c r="L11" s="13">
        <f>858.15+5352.96+754.43+5439.72+858.15+553.03+553.03+9233.89+9233.9+371.86+3432.6+190.7+5972.72+2620.58+3262.98</f>
        <v>48688.700000000004</v>
      </c>
      <c r="M11" s="13"/>
      <c r="N11" s="13"/>
      <c r="O11" s="13">
        <f>10753.57+10753.58</f>
        <v>21507.15</v>
      </c>
      <c r="P11" s="13"/>
      <c r="Q11" s="13"/>
      <c r="R11" s="13">
        <f>10238.68</f>
        <v>10238.68</v>
      </c>
      <c r="S11" s="13">
        <f>4349.73657571929+429.520528699224+1651.08522879729+1011.28183754862+1946.89582041856+1555.69194930337+207.000042492301+828.000169969207+828.000169969207+207.000042492301+907.334988016917+1863.00038243071+621.000127476905+596.378977048305+1641.41002857331+907.334988016917+414.000084984603+1656.00033993841+907.334988016917+2873.37944446362+3860.04925052825+547.136676191106+410.352507143329+3422.33990957536+2400.91+2693.64+909.59+1956.99+2728.57</f>
        <v>44330.965057814028</v>
      </c>
      <c r="T11" s="13"/>
      <c r="U11" s="13"/>
      <c r="V11" s="13"/>
      <c r="W11" s="13">
        <f>3051.2+2007.12</f>
        <v>5058.32</v>
      </c>
      <c r="X11" s="13"/>
      <c r="Y11" s="13"/>
      <c r="Z11" s="13"/>
      <c r="AA11" s="13"/>
      <c r="AB11" s="13"/>
      <c r="AC11" s="13"/>
      <c r="AD11" s="14">
        <f t="shared" si="0"/>
        <v>238824.67892128823</v>
      </c>
      <c r="AE11">
        <f>6575.326465</f>
        <v>6575.3264650000001</v>
      </c>
    </row>
    <row r="12" spans="1:31" x14ac:dyDescent="0.3">
      <c r="A12" s="12" t="s">
        <v>78</v>
      </c>
      <c r="B12" s="13">
        <f>9535</f>
        <v>9535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4">
        <f t="shared" si="0"/>
        <v>9535</v>
      </c>
    </row>
    <row r="13" spans="1:31" x14ac:dyDescent="0.3">
      <c r="A13" s="12" t="s">
        <v>79</v>
      </c>
      <c r="B13" s="13"/>
      <c r="C13" s="13"/>
      <c r="D13" s="13"/>
      <c r="E13" s="13"/>
      <c r="F13" s="13"/>
      <c r="G13" s="13"/>
      <c r="H13" s="13"/>
      <c r="I13" s="13"/>
      <c r="J13" s="13">
        <f>25760</f>
        <v>25760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4">
        <f t="shared" si="0"/>
        <v>25760</v>
      </c>
    </row>
    <row r="14" spans="1:31" x14ac:dyDescent="0.3">
      <c r="A14" s="12" t="s">
        <v>80</v>
      </c>
      <c r="B14" s="13"/>
      <c r="C14" s="13"/>
      <c r="D14" s="13"/>
      <c r="E14" s="13"/>
      <c r="F14" s="13"/>
      <c r="G14" s="13"/>
      <c r="H14" s="13">
        <f>170880</f>
        <v>170880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4">
        <f t="shared" si="0"/>
        <v>170880</v>
      </c>
    </row>
    <row r="15" spans="1:31" x14ac:dyDescent="0.3">
      <c r="A15" s="12" t="s">
        <v>81</v>
      </c>
      <c r="B15" s="13"/>
      <c r="C15" s="13"/>
      <c r="D15" s="13"/>
      <c r="E15" s="13"/>
      <c r="F15" s="13"/>
      <c r="G15" s="13"/>
      <c r="H15" s="13">
        <f>3817.814</f>
        <v>3817.8139999999999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>
        <f t="shared" si="0"/>
        <v>3817.8139999999999</v>
      </c>
    </row>
    <row r="16" spans="1:31" x14ac:dyDescent="0.3">
      <c r="A16" s="12" t="s">
        <v>82</v>
      </c>
      <c r="B16" s="13"/>
      <c r="C16" s="13"/>
      <c r="D16" s="13">
        <f>1678.16</f>
        <v>1678.16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>
        <f>1678.16</f>
        <v>1678.16</v>
      </c>
      <c r="AA16" s="13"/>
      <c r="AB16" s="13"/>
      <c r="AC16" s="13"/>
      <c r="AD16" s="14">
        <f t="shared" si="0"/>
        <v>3356.32</v>
      </c>
    </row>
    <row r="17" spans="1:31" x14ac:dyDescent="0.3">
      <c r="A17" s="12" t="s">
        <v>83</v>
      </c>
      <c r="B17" s="13">
        <f>2180.5</f>
        <v>2180.5</v>
      </c>
      <c r="C17" s="13"/>
      <c r="D17" s="13">
        <f>25535.8484166873</f>
        <v>25535.848416687299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4">
        <f t="shared" si="0"/>
        <v>27716.348416687299</v>
      </c>
    </row>
    <row r="18" spans="1:31" x14ac:dyDescent="0.3">
      <c r="A18" s="12" t="s">
        <v>84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f>836.57</f>
        <v>836.57</v>
      </c>
      <c r="W18" s="13"/>
      <c r="X18" s="13"/>
      <c r="Y18" s="13"/>
      <c r="Z18" s="13"/>
      <c r="AA18" s="13"/>
      <c r="AB18" s="13"/>
      <c r="AC18" s="13"/>
      <c r="AD18" s="14">
        <f t="shared" si="0"/>
        <v>836.57</v>
      </c>
    </row>
    <row r="19" spans="1:31" x14ac:dyDescent="0.3">
      <c r="A19" s="12" t="s">
        <v>85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>
        <f>1340.29</f>
        <v>1340.29</v>
      </c>
      <c r="X19" s="13"/>
      <c r="Y19" s="13"/>
      <c r="Z19" s="13"/>
      <c r="AA19" s="13"/>
      <c r="AB19" s="13"/>
      <c r="AC19" s="13"/>
      <c r="AD19" s="14">
        <f t="shared" si="0"/>
        <v>1340.29</v>
      </c>
    </row>
    <row r="20" spans="1:31" x14ac:dyDescent="0.3">
      <c r="A20" s="12" t="s">
        <v>86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>
        <f>1360</f>
        <v>1360</v>
      </c>
      <c r="Y20" s="13"/>
      <c r="Z20" s="13"/>
      <c r="AA20" s="13"/>
      <c r="AB20" s="13"/>
      <c r="AC20" s="13"/>
      <c r="AD20" s="14">
        <f t="shared" si="0"/>
        <v>1360</v>
      </c>
      <c r="AE20" s="28">
        <f>1360</f>
        <v>1360</v>
      </c>
    </row>
    <row r="21" spans="1:31" x14ac:dyDescent="0.3">
      <c r="A21" s="12" t="s">
        <v>87</v>
      </c>
      <c r="B21" s="13"/>
      <c r="C21" s="13"/>
      <c r="D21" s="13"/>
      <c r="E21" s="13"/>
      <c r="F21" s="13"/>
      <c r="G21" s="13"/>
      <c r="H21" s="13">
        <f>1260</f>
        <v>1260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4">
        <f t="shared" si="0"/>
        <v>1260</v>
      </c>
    </row>
    <row r="22" spans="1:31" x14ac:dyDescent="0.3">
      <c r="A22" s="12" t="s">
        <v>88</v>
      </c>
      <c r="B22" s="13"/>
      <c r="C22" s="13"/>
      <c r="D22" s="13">
        <f>22615.7715483042</f>
        <v>22615.771548304201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P22" s="13"/>
      <c r="Q22" s="13"/>
      <c r="R22" s="13"/>
      <c r="S22" s="13">
        <f>3080.9575+1763.54+1516.07</f>
        <v>6360.5674999999992</v>
      </c>
      <c r="T22" s="13"/>
      <c r="U22" s="13"/>
      <c r="V22" s="13">
        <f>1763.53</f>
        <v>1763.53</v>
      </c>
      <c r="W22" s="13"/>
      <c r="X22" s="13"/>
      <c r="Y22" s="13"/>
      <c r="Z22" s="13"/>
      <c r="AA22" s="13"/>
      <c r="AB22" s="13"/>
      <c r="AC22" s="13"/>
      <c r="AD22" s="14">
        <f t="shared" si="0"/>
        <v>30739.869048304201</v>
      </c>
    </row>
    <row r="23" spans="1:31" x14ac:dyDescent="0.3">
      <c r="A23" s="12" t="s">
        <v>89</v>
      </c>
      <c r="B23" s="13"/>
      <c r="C23" s="13"/>
      <c r="D23" s="13"/>
      <c r="E23" s="13">
        <f>1420.715</f>
        <v>1420.7149999999999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>
        <f t="shared" si="0"/>
        <v>1420.7149999999999</v>
      </c>
    </row>
    <row r="24" spans="1:31" x14ac:dyDescent="0.3">
      <c r="A24" s="12" t="s">
        <v>90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>
        <f>844.95</f>
        <v>844.95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4">
        <f t="shared" si="0"/>
        <v>844.95</v>
      </c>
    </row>
    <row r="25" spans="1:31" x14ac:dyDescent="0.3">
      <c r="A25" s="12" t="s">
        <v>91</v>
      </c>
      <c r="B25" s="13"/>
      <c r="C25" s="13"/>
      <c r="D25" s="13"/>
      <c r="E25" s="13"/>
      <c r="F25" s="13"/>
      <c r="G25" s="13"/>
      <c r="H25" s="13">
        <f>750.75</f>
        <v>750.75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4">
        <f t="shared" si="0"/>
        <v>750.75</v>
      </c>
    </row>
    <row r="26" spans="1:31" x14ac:dyDescent="0.3">
      <c r="A26" s="12" t="s">
        <v>92</v>
      </c>
      <c r="B26" s="13"/>
      <c r="C26" s="13"/>
      <c r="D26" s="13"/>
      <c r="E26" s="13"/>
      <c r="F26" s="13"/>
      <c r="G26" s="13"/>
      <c r="H26" s="13">
        <f>467.215</f>
        <v>467.21499999999997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4">
        <f t="shared" si="0"/>
        <v>467.21499999999997</v>
      </c>
    </row>
    <row r="27" spans="1:31" x14ac:dyDescent="0.3">
      <c r="A27" s="12" t="s">
        <v>93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f>2342.27</f>
        <v>2342.27</v>
      </c>
      <c r="Y27" s="13"/>
      <c r="Z27" s="13"/>
      <c r="AA27" s="13"/>
      <c r="AB27" s="13"/>
      <c r="AC27" s="13"/>
      <c r="AD27" s="14">
        <f t="shared" si="0"/>
        <v>2342.27</v>
      </c>
    </row>
    <row r="28" spans="1:31" x14ac:dyDescent="0.3">
      <c r="A28" s="12" t="s">
        <v>94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4">
        <f t="shared" si="0"/>
        <v>0</v>
      </c>
      <c r="AE28">
        <f>634.19+634.19</f>
        <v>1268.3800000000001</v>
      </c>
    </row>
    <row r="29" spans="1:31" x14ac:dyDescent="0.3">
      <c r="A29" s="12" t="s">
        <v>95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4">
        <f t="shared" si="0"/>
        <v>0</v>
      </c>
      <c r="AE29" s="5"/>
    </row>
    <row r="30" spans="1:31" x14ac:dyDescent="0.3">
      <c r="A30" s="12" t="s">
        <v>96</v>
      </c>
      <c r="B30" s="13"/>
      <c r="C30" s="13"/>
      <c r="D30" s="13"/>
      <c r="E30" s="13"/>
      <c r="F30" s="13"/>
      <c r="G30" s="13"/>
      <c r="H30" s="13">
        <f>1269.1085</f>
        <v>1269.1085</v>
      </c>
      <c r="I30" s="13"/>
      <c r="J30" s="13"/>
      <c r="K30" s="13"/>
      <c r="L30" s="13"/>
      <c r="M30" s="13"/>
      <c r="N30" s="13"/>
      <c r="O30" s="13">
        <f>1685.97</f>
        <v>1685.97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4">
        <f t="shared" si="0"/>
        <v>2955.0785000000001</v>
      </c>
    </row>
    <row r="31" spans="1:31" x14ac:dyDescent="0.3">
      <c r="A31" s="12" t="s">
        <v>97</v>
      </c>
      <c r="B31" s="13"/>
      <c r="C31" s="13"/>
      <c r="D31" s="13"/>
      <c r="E31" s="13"/>
      <c r="F31" s="13"/>
      <c r="G31" s="13"/>
      <c r="H31" s="13"/>
      <c r="I31" s="13">
        <f>6930</f>
        <v>6930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4">
        <f t="shared" si="0"/>
        <v>6930</v>
      </c>
    </row>
    <row r="32" spans="1:31" x14ac:dyDescent="0.3">
      <c r="A32" s="12" t="s">
        <v>98</v>
      </c>
      <c r="B32" s="13"/>
      <c r="C32" s="13"/>
      <c r="D32" s="13">
        <f>98092.8205+100651.26132</f>
        <v>198744.08182000002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4">
        <f t="shared" si="0"/>
        <v>198744.08182000002</v>
      </c>
    </row>
    <row r="33" spans="1:31" x14ac:dyDescent="0.3">
      <c r="A33" s="12" t="s">
        <v>99</v>
      </c>
      <c r="B33" s="13"/>
      <c r="C33" s="13"/>
      <c r="D33" s="13"/>
      <c r="E33" s="13"/>
      <c r="F33" s="13"/>
      <c r="G33" s="13"/>
      <c r="H33" s="13">
        <f>3470.74+4011.41264+2217.55495</f>
        <v>9699.70759</v>
      </c>
      <c r="I33" s="13"/>
      <c r="J33" s="13"/>
      <c r="K33" s="13"/>
      <c r="L33" s="13"/>
      <c r="M33" s="13"/>
      <c r="N33" s="13"/>
      <c r="O33" s="13">
        <f>2717.47</f>
        <v>2717.47</v>
      </c>
      <c r="P33" s="13"/>
      <c r="Q33" s="13"/>
      <c r="R33" s="13"/>
      <c r="S33" s="13">
        <f>57874.8577</f>
        <v>57874.8577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>
        <f t="shared" si="0"/>
        <v>70292.03529</v>
      </c>
      <c r="AE33">
        <f>4011.41264</f>
        <v>4011.41264</v>
      </c>
    </row>
    <row r="34" spans="1:31" x14ac:dyDescent="0.3">
      <c r="A34" s="12" t="s">
        <v>100</v>
      </c>
      <c r="B34" s="13"/>
      <c r="C34" s="13"/>
      <c r="D34" s="13"/>
      <c r="E34" s="13"/>
      <c r="F34" s="13"/>
      <c r="G34" s="13"/>
      <c r="H34" s="13"/>
      <c r="I34" s="13">
        <f>34413.53+297.23+2136.09+2136.09+1868.43+861+987.79+1722.17+816.84+2136.09+816.84+1669.64+2243.89+816.84+297.23+3534.32+297.23+297.23+2783.26+1669.64+2013.24+816.99+1831.33+2605.72+3377.72+297.23+2149.77+2697.26+2461.66+2227.44+1633.97+1739.98+2136.09+2290.65+297.23+2227.24+1005.63</f>
        <v>93610.529999999984</v>
      </c>
      <c r="J34" s="13"/>
      <c r="K34" s="13"/>
      <c r="L34" s="13"/>
      <c r="M34" s="13"/>
      <c r="N34" s="13"/>
      <c r="O34" s="13"/>
      <c r="P34" s="13"/>
      <c r="Q34" s="13"/>
      <c r="R34" s="13">
        <f>920.12+43.35+116.28+108.37+58.14+333.01+595.01+811.75+58.14+159.11+29.07+101.49+58.14+58.14+58.14+57.88+237.26+29.07+263.25+305.83+466.28+453.02+3976.84+1883.43+1010.12+1010.12+1086.17+1086.17+1143.34+1113.51+1143.34+1143.34+1143.34+1143.34</f>
        <v>22203.91</v>
      </c>
      <c r="S34" s="13"/>
      <c r="T34" s="13"/>
      <c r="U34" s="13"/>
      <c r="V34" s="13">
        <f>266.44+58.21+150.62+38602.6+88532.03</f>
        <v>127609.9</v>
      </c>
      <c r="W34" s="13"/>
      <c r="X34" s="13"/>
      <c r="Y34" s="13"/>
      <c r="Z34" s="13"/>
      <c r="AA34" s="13"/>
      <c r="AB34" s="13"/>
      <c r="AC34" s="13"/>
      <c r="AD34" s="14">
        <f t="shared" si="0"/>
        <v>243424.33999999997</v>
      </c>
    </row>
    <row r="35" spans="1:31" x14ac:dyDescent="0.3">
      <c r="A35" s="12" t="s">
        <v>101</v>
      </c>
      <c r="B35" s="13"/>
      <c r="C35" s="13"/>
      <c r="D35" s="13"/>
      <c r="E35" s="13"/>
      <c r="F35" s="13"/>
      <c r="G35" s="13"/>
      <c r="H35" s="13"/>
      <c r="I35" s="13"/>
      <c r="J35" s="13"/>
      <c r="K35" s="13">
        <f>20909.05</f>
        <v>20909.05</v>
      </c>
      <c r="L35" s="13"/>
      <c r="M35" s="13"/>
      <c r="N35" s="13"/>
      <c r="O35" s="13">
        <f>4011.41264</f>
        <v>4011.41264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4">
        <f t="shared" si="0"/>
        <v>24920.462639999998</v>
      </c>
    </row>
    <row r="36" spans="1:31" x14ac:dyDescent="0.3">
      <c r="A36" s="12" t="s">
        <v>102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>
        <f>619.77+619.77</f>
        <v>1239.54</v>
      </c>
      <c r="AA36" s="13"/>
      <c r="AB36" s="13"/>
      <c r="AC36" s="13"/>
      <c r="AD36" s="14">
        <f t="shared" si="0"/>
        <v>1239.54</v>
      </c>
      <c r="AE36" s="29">
        <f>619.775+619.775</f>
        <v>1239.55</v>
      </c>
    </row>
    <row r="37" spans="1:31" x14ac:dyDescent="0.3">
      <c r="A37" s="12" t="s">
        <v>103</v>
      </c>
      <c r="B37" s="13"/>
      <c r="C37" s="13"/>
      <c r="D37" s="13"/>
      <c r="E37" s="13"/>
      <c r="F37" s="13"/>
      <c r="G37" s="13"/>
      <c r="H37" s="13">
        <f>1716.3</f>
        <v>1716.3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4">
        <f t="shared" si="0"/>
        <v>1716.3</v>
      </c>
      <c r="AE37" s="29">
        <f>1138.91761</f>
        <v>1138.91761</v>
      </c>
    </row>
    <row r="38" spans="1:31" x14ac:dyDescent="0.3">
      <c r="A38" s="12" t="s">
        <v>104</v>
      </c>
      <c r="B38" s="13"/>
      <c r="C38" s="13"/>
      <c r="D38" s="13"/>
      <c r="E38" s="13"/>
      <c r="F38" s="13"/>
      <c r="G38" s="13"/>
      <c r="H38" s="13">
        <f>705.351625+758.0325+758.0325+758.0325</f>
        <v>2979.4491250000001</v>
      </c>
      <c r="I38" s="13"/>
      <c r="J38" s="13"/>
      <c r="K38" s="13"/>
      <c r="L38" s="13"/>
      <c r="M38" s="13"/>
      <c r="N38" s="13"/>
      <c r="O38" s="13">
        <f>398.35323+6221.43494</f>
        <v>6619.7881699999998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4">
        <f t="shared" si="0"/>
        <v>9599.237294999999</v>
      </c>
      <c r="AE38">
        <f>9535+2715.79684</f>
        <v>12250.796839999999</v>
      </c>
    </row>
    <row r="39" spans="1:31" x14ac:dyDescent="0.3">
      <c r="A39" s="12" t="s">
        <v>105</v>
      </c>
      <c r="B39" s="13"/>
      <c r="C39" s="13"/>
      <c r="D39" s="13"/>
      <c r="E39" s="13"/>
      <c r="F39" s="13"/>
      <c r="G39" s="13"/>
      <c r="H39" s="13"/>
      <c r="I39" s="13">
        <f>890</f>
        <v>890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4">
        <f t="shared" si="0"/>
        <v>890</v>
      </c>
    </row>
    <row r="40" spans="1:31" x14ac:dyDescent="0.3">
      <c r="A40" s="12" t="s">
        <v>106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4">
        <f t="shared" si="0"/>
        <v>0</v>
      </c>
    </row>
    <row r="41" spans="1:31" x14ac:dyDescent="0.3">
      <c r="A41" s="15" t="s">
        <v>41</v>
      </c>
      <c r="B41" s="16">
        <f t="shared" ref="B41:AC41" si="1">SUM(B4:B40)</f>
        <v>11715.5</v>
      </c>
      <c r="C41" s="16">
        <f t="shared" si="1"/>
        <v>2424.9290000000001</v>
      </c>
      <c r="D41" s="16">
        <f t="shared" si="1"/>
        <v>248573.86178499152</v>
      </c>
      <c r="E41" s="16">
        <f t="shared" si="1"/>
        <v>104584.3988634742</v>
      </c>
      <c r="F41" s="16">
        <f t="shared" si="1"/>
        <v>0</v>
      </c>
      <c r="G41" s="16">
        <f t="shared" si="1"/>
        <v>0</v>
      </c>
      <c r="H41" s="16">
        <f t="shared" si="1"/>
        <v>229582.36371500001</v>
      </c>
      <c r="I41" s="16">
        <f t="shared" si="1"/>
        <v>101430.52999999998</v>
      </c>
      <c r="J41" s="16">
        <f t="shared" si="1"/>
        <v>31597.18</v>
      </c>
      <c r="K41" s="16">
        <f t="shared" si="1"/>
        <v>20909.05</v>
      </c>
      <c r="L41" s="16">
        <f t="shared" si="1"/>
        <v>53518.75</v>
      </c>
      <c r="M41" s="16">
        <f t="shared" si="1"/>
        <v>0</v>
      </c>
      <c r="N41" s="16">
        <f t="shared" si="1"/>
        <v>0</v>
      </c>
      <c r="O41" s="16">
        <f t="shared" si="1"/>
        <v>37891.000809999998</v>
      </c>
      <c r="P41" s="16">
        <f t="shared" si="1"/>
        <v>42.66</v>
      </c>
      <c r="Q41" s="16">
        <f t="shared" si="1"/>
        <v>0</v>
      </c>
      <c r="R41" s="16">
        <f t="shared" si="1"/>
        <v>32945.31</v>
      </c>
      <c r="S41" s="16">
        <f t="shared" si="1"/>
        <v>108566.39025781403</v>
      </c>
      <c r="T41" s="16">
        <f t="shared" si="1"/>
        <v>0</v>
      </c>
      <c r="U41" s="16">
        <f t="shared" si="1"/>
        <v>0</v>
      </c>
      <c r="V41" s="16">
        <f t="shared" si="1"/>
        <v>149429.32999999999</v>
      </c>
      <c r="W41" s="16">
        <f t="shared" si="1"/>
        <v>6398.61</v>
      </c>
      <c r="X41" s="16">
        <f t="shared" si="1"/>
        <v>3702.27</v>
      </c>
      <c r="Y41" s="16">
        <f t="shared" si="1"/>
        <v>0</v>
      </c>
      <c r="Z41" s="16">
        <f t="shared" si="1"/>
        <v>2917.7</v>
      </c>
      <c r="AA41" s="16">
        <f t="shared" si="1"/>
        <v>0</v>
      </c>
      <c r="AB41" s="16">
        <f t="shared" si="1"/>
        <v>0</v>
      </c>
      <c r="AC41" s="16">
        <f t="shared" si="1"/>
        <v>0</v>
      </c>
      <c r="AD41" s="17"/>
    </row>
  </sheetData>
  <mergeCells count="3">
    <mergeCell ref="A1:AD1"/>
    <mergeCell ref="AD2:AD3"/>
    <mergeCell ref="A2:A3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42"/>
  <sheetViews>
    <sheetView topLeftCell="A7" workbookViewId="0">
      <selection activeCell="AG15" sqref="AG15"/>
    </sheetView>
  </sheetViews>
  <sheetFormatPr defaultRowHeight="14.4" x14ac:dyDescent="0.3"/>
  <cols>
    <col min="1" max="1" width="22" style="5" customWidth="1"/>
    <col min="2" max="32" width="12.44140625" style="5" hidden="1" customWidth="1"/>
    <col min="33" max="33" width="13" style="5" customWidth="1"/>
  </cols>
  <sheetData>
    <row r="1" spans="1:34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5"/>
    </row>
    <row r="2" spans="1:34" x14ac:dyDescent="0.3">
      <c r="A2" s="26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2</v>
      </c>
      <c r="J2" s="10" t="s">
        <v>3</v>
      </c>
      <c r="K2" s="10" t="s">
        <v>4</v>
      </c>
      <c r="L2" s="10" t="s">
        <v>5</v>
      </c>
      <c r="M2" s="10" t="s">
        <v>6</v>
      </c>
      <c r="N2" s="10" t="s">
        <v>7</v>
      </c>
      <c r="O2" s="10" t="s">
        <v>8</v>
      </c>
      <c r="P2" s="10" t="s">
        <v>2</v>
      </c>
      <c r="Q2" s="10" t="s">
        <v>3</v>
      </c>
      <c r="R2" s="10" t="s">
        <v>4</v>
      </c>
      <c r="S2" s="10" t="s">
        <v>5</v>
      </c>
      <c r="T2" s="10" t="s">
        <v>6</v>
      </c>
      <c r="U2" s="10" t="s">
        <v>7</v>
      </c>
      <c r="V2" s="10" t="s">
        <v>8</v>
      </c>
      <c r="W2" s="10" t="s">
        <v>2</v>
      </c>
      <c r="X2" s="10" t="s">
        <v>3</v>
      </c>
      <c r="Y2" s="10" t="s">
        <v>4</v>
      </c>
      <c r="Z2" s="10" t="s">
        <v>5</v>
      </c>
      <c r="AA2" s="10" t="s">
        <v>6</v>
      </c>
      <c r="AB2" s="10" t="s">
        <v>7</v>
      </c>
      <c r="AC2" s="10" t="s">
        <v>8</v>
      </c>
      <c r="AD2" s="10" t="s">
        <v>2</v>
      </c>
      <c r="AE2" s="10" t="s">
        <v>3</v>
      </c>
      <c r="AF2" s="10" t="s">
        <v>4</v>
      </c>
      <c r="AG2" s="26" t="s">
        <v>41</v>
      </c>
    </row>
    <row r="3" spans="1:34" x14ac:dyDescent="0.3">
      <c r="A3" s="27"/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30</v>
      </c>
      <c r="X3" s="11" t="s">
        <v>31</v>
      </c>
      <c r="Y3" s="11" t="s">
        <v>32</v>
      </c>
      <c r="Z3" s="11" t="s">
        <v>33</v>
      </c>
      <c r="AA3" s="11" t="s">
        <v>34</v>
      </c>
      <c r="AB3" s="11" t="s">
        <v>35</v>
      </c>
      <c r="AC3" s="11" t="s">
        <v>36</v>
      </c>
      <c r="AD3" s="11" t="s">
        <v>37</v>
      </c>
      <c r="AE3" s="11" t="s">
        <v>38</v>
      </c>
      <c r="AF3" s="11" t="s">
        <v>39</v>
      </c>
      <c r="AG3" s="27"/>
    </row>
    <row r="4" spans="1:34" x14ac:dyDescent="0.3">
      <c r="A4" s="12" t="s">
        <v>71</v>
      </c>
      <c r="B4" s="13"/>
      <c r="C4" s="13"/>
      <c r="D4" s="13"/>
      <c r="E4" s="13"/>
      <c r="F4" s="13"/>
      <c r="G4" s="13"/>
      <c r="H4" s="13">
        <f>2424.93</f>
        <v>2424.9299999999998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>
        <f t="shared" ref="AG4:AG41" si="0">SUM(B4:AF4)</f>
        <v>2424.9299999999998</v>
      </c>
    </row>
    <row r="5" spans="1:34" x14ac:dyDescent="0.3">
      <c r="A5" s="12" t="s">
        <v>72</v>
      </c>
      <c r="B5" s="13"/>
      <c r="C5" s="13"/>
      <c r="D5" s="13"/>
      <c r="E5" s="13"/>
      <c r="F5" s="13"/>
      <c r="G5" s="13"/>
      <c r="H5" s="13">
        <f>140+180+180+180+180+150+180+90+180+700+2050.02+1420.71+1048.85+1420.71+1144.2+1716.3+1420.715+1239.55+943.96+557.8+810.47</f>
        <v>15933.284999999998</v>
      </c>
      <c r="I5" s="13">
        <f>562.57</f>
        <v>562.57000000000005</v>
      </c>
      <c r="J5" s="13"/>
      <c r="K5" s="13"/>
      <c r="L5" s="13">
        <f>943.97+943.97</f>
        <v>1887.94</v>
      </c>
      <c r="M5" s="13"/>
      <c r="N5" s="13"/>
      <c r="O5" s="13"/>
      <c r="P5" s="13"/>
      <c r="Q5" s="13"/>
      <c r="R5" s="13"/>
      <c r="S5" s="13"/>
      <c r="T5" s="13">
        <f>1239.55</f>
        <v>1239.55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>
        <f t="shared" si="0"/>
        <v>19623.344999999998</v>
      </c>
    </row>
    <row r="6" spans="1:34" x14ac:dyDescent="0.3">
      <c r="A6" s="12" t="s">
        <v>73</v>
      </c>
      <c r="B6" s="13"/>
      <c r="C6" s="13"/>
      <c r="D6" s="13">
        <f>1048.85+1048.85+1048.85</f>
        <v>3146.5499999999997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>
        <f>4918.33</f>
        <v>4918.33</v>
      </c>
      <c r="AE6" s="13"/>
      <c r="AF6" s="13"/>
      <c r="AG6" s="14">
        <f t="shared" si="0"/>
        <v>8064.8799999999992</v>
      </c>
    </row>
    <row r="7" spans="1:34" x14ac:dyDescent="0.3">
      <c r="A7" s="12" t="s">
        <v>75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>
        <f>419.54</f>
        <v>419.54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>
        <f t="shared" si="0"/>
        <v>419.54</v>
      </c>
    </row>
    <row r="8" spans="1:34" x14ac:dyDescent="0.3">
      <c r="A8" s="12" t="s">
        <v>76</v>
      </c>
      <c r="B8" s="13"/>
      <c r="C8" s="13"/>
      <c r="D8" s="13"/>
      <c r="E8" s="13"/>
      <c r="F8" s="13"/>
      <c r="G8" s="13"/>
      <c r="H8" s="13">
        <f>2595.43</f>
        <v>2595.4299999999998</v>
      </c>
      <c r="I8" s="13"/>
      <c r="J8" s="13"/>
      <c r="K8" s="13">
        <f>5900</f>
        <v>5900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>
        <f t="shared" si="0"/>
        <v>8495.43</v>
      </c>
    </row>
    <row r="9" spans="1:34" x14ac:dyDescent="0.3">
      <c r="A9" s="12" t="s">
        <v>77</v>
      </c>
      <c r="B9" s="13"/>
      <c r="C9" s="13">
        <f>6865.2+265.1</f>
        <v>7130.3</v>
      </c>
      <c r="D9" s="13">
        <f>4032.16156918126+1026.42750674729+3767.78441432894+2858.0518744806+3673.5761387146+1740.06083153357+877.719399870694+1026.35183548116+1295.74068300213+7202.79251189544+728.236570189284+2473.1653810898+10150.2060511571</f>
        <v>40852.274767671865</v>
      </c>
      <c r="E9" s="13">
        <f>14799.32+7518.35+17720.8+2879.12+1341.42+5727.64+10154.77</f>
        <v>60141.42</v>
      </c>
      <c r="F9" s="13"/>
      <c r="G9" s="13"/>
      <c r="H9" s="13"/>
      <c r="I9" s="13"/>
      <c r="J9" s="13">
        <f>1577.85936651188+592.770867635715+1903.62520912942+1137.11568766838+4110.70404627036</f>
        <v>9322.0751772157546</v>
      </c>
      <c r="K9" s="13"/>
      <c r="L9" s="13"/>
      <c r="M9" s="13"/>
      <c r="N9" s="13"/>
      <c r="O9" s="13"/>
      <c r="P9" s="13"/>
      <c r="Q9" s="13"/>
      <c r="R9" s="13">
        <f>1375.54804826+2887.235505+408.023055+4602.172575+1712.69802+1035.054405+4625.2791962025+2237.61783+8495.35057+7403.48889+1869.86275+2097.56240994999+1267.6132+741.0602+3280.95073999999+743.95107</f>
        <v>44783.468464412486</v>
      </c>
      <c r="S9" s="13">
        <f>1222.39</f>
        <v>1222.3900000000001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4">
        <f t="shared" si="0"/>
        <v>163451.9284093001</v>
      </c>
    </row>
    <row r="10" spans="1:34" x14ac:dyDescent="0.3">
      <c r="A10" s="12" t="s">
        <v>78</v>
      </c>
      <c r="B10" s="13"/>
      <c r="C10" s="13">
        <f>2097.7</f>
        <v>2097.6999999999998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>
        <f>3271.74</f>
        <v>3271.74</v>
      </c>
      <c r="AF10" s="13"/>
      <c r="AG10" s="14">
        <f t="shared" si="0"/>
        <v>5369.44</v>
      </c>
    </row>
    <row r="11" spans="1:34" x14ac:dyDescent="0.3">
      <c r="A11" s="12" t="s">
        <v>80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>
        <f>13720.3167968381</f>
        <v>13720.3167968381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4">
        <f t="shared" si="0"/>
        <v>13720.3167968381</v>
      </c>
    </row>
    <row r="12" spans="1:34" x14ac:dyDescent="0.3">
      <c r="A12" s="12" t="s">
        <v>82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f>1678.16</f>
        <v>1678.16</v>
      </c>
      <c r="Y12" s="13"/>
      <c r="Z12" s="13"/>
      <c r="AA12" s="13"/>
      <c r="AB12" s="13"/>
      <c r="AC12" s="13"/>
      <c r="AD12" s="13"/>
      <c r="AE12" s="13"/>
      <c r="AF12" s="13"/>
      <c r="AG12" s="14">
        <f t="shared" si="0"/>
        <v>1678.16</v>
      </c>
    </row>
    <row r="13" spans="1:34" x14ac:dyDescent="0.3">
      <c r="A13" s="12" t="s">
        <v>107</v>
      </c>
      <c r="B13" s="13"/>
      <c r="C13" s="13">
        <f>2378.99</f>
        <v>2378.9899999999998</v>
      </c>
      <c r="D13" s="13"/>
      <c r="E13" s="13"/>
      <c r="F13" s="13"/>
      <c r="G13" s="13"/>
      <c r="H13" s="13">
        <f>6483.8+2574.45+7246.6+2288.4+1716.3</f>
        <v>20309.55</v>
      </c>
      <c r="I13" s="13"/>
      <c r="J13" s="13"/>
      <c r="K13" s="13"/>
      <c r="L13" s="13"/>
      <c r="M13" s="13"/>
      <c r="N13" s="13"/>
      <c r="O13" s="13"/>
      <c r="P13" s="13"/>
      <c r="Q13" s="13">
        <f>8543.93224801979+6247.1762673693+2480.49645910251+6982.13818117746+2204.88574142446+1653.66430606834</f>
        <v>28112.293203161855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4">
        <f t="shared" si="0"/>
        <v>50800.833203161856</v>
      </c>
    </row>
    <row r="14" spans="1:34" x14ac:dyDescent="0.3">
      <c r="A14" s="12" t="s">
        <v>108</v>
      </c>
      <c r="B14" s="13"/>
      <c r="C14" s="13"/>
      <c r="D14" s="13">
        <f>88873.76</f>
        <v>88873.76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>
        <f>53222</f>
        <v>53222</v>
      </c>
      <c r="AD14" s="13"/>
      <c r="AE14" s="13"/>
      <c r="AF14" s="13"/>
      <c r="AG14" s="14">
        <f t="shared" si="0"/>
        <v>142095.76</v>
      </c>
    </row>
    <row r="15" spans="1:34" x14ac:dyDescent="0.3">
      <c r="A15" s="12" t="s">
        <v>86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>
        <f>1360</f>
        <v>1360</v>
      </c>
      <c r="AC15" s="13"/>
      <c r="AD15" s="13"/>
      <c r="AE15" s="13"/>
      <c r="AF15" s="13"/>
      <c r="AG15" s="14">
        <f t="shared" si="0"/>
        <v>1360</v>
      </c>
    </row>
    <row r="16" spans="1:34" x14ac:dyDescent="0.3">
      <c r="A16" s="12" t="s">
        <v>109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>
        <f t="shared" si="0"/>
        <v>0</v>
      </c>
      <c r="AH16">
        <f>328.47</f>
        <v>328.47</v>
      </c>
    </row>
    <row r="17" spans="1:34" x14ac:dyDescent="0.3">
      <c r="A17" s="12" t="s">
        <v>87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f>1260</f>
        <v>1260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4">
        <f t="shared" si="0"/>
        <v>1260</v>
      </c>
    </row>
    <row r="18" spans="1:34" x14ac:dyDescent="0.3">
      <c r="A18" s="12" t="s">
        <v>88</v>
      </c>
      <c r="B18" s="13"/>
      <c r="C18" s="13"/>
      <c r="D18" s="13"/>
      <c r="E18" s="13"/>
      <c r="F18" s="13"/>
      <c r="G18" s="13"/>
      <c r="H18" s="13">
        <f>22593.2234332795</f>
        <v>22593.223433279501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>
        <f t="shared" si="0"/>
        <v>22593.223433279501</v>
      </c>
    </row>
    <row r="19" spans="1:34" x14ac:dyDescent="0.3">
      <c r="A19" s="12" t="s">
        <v>89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>
        <f>1993.74</f>
        <v>1993.74</v>
      </c>
      <c r="AE19" s="13"/>
      <c r="AF19" s="13"/>
      <c r="AG19" s="14">
        <f t="shared" si="0"/>
        <v>1993.74</v>
      </c>
      <c r="AH19">
        <f>1420.71</f>
        <v>1420.71</v>
      </c>
    </row>
    <row r="20" spans="1:34" x14ac:dyDescent="0.3">
      <c r="A20" s="12" t="s">
        <v>90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>
        <f>844.95</f>
        <v>844.95</v>
      </c>
      <c r="X20" s="13"/>
      <c r="Y20" s="13"/>
      <c r="Z20" s="13"/>
      <c r="AA20" s="13"/>
      <c r="AB20" s="13"/>
      <c r="AC20" s="13"/>
      <c r="AD20" s="13"/>
      <c r="AE20" s="13"/>
      <c r="AF20" s="13"/>
      <c r="AG20" s="14">
        <f t="shared" si="0"/>
        <v>844.95</v>
      </c>
    </row>
    <row r="21" spans="1:34" x14ac:dyDescent="0.3">
      <c r="A21" s="12" t="s">
        <v>91</v>
      </c>
      <c r="B21" s="13"/>
      <c r="C21" s="13"/>
      <c r="D21" s="13"/>
      <c r="E21" s="13"/>
      <c r="F21" s="13"/>
      <c r="G21" s="13"/>
      <c r="H21" s="13">
        <f>715.84</f>
        <v>715.84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4">
        <f t="shared" si="0"/>
        <v>715.84</v>
      </c>
    </row>
    <row r="22" spans="1:34" x14ac:dyDescent="0.3">
      <c r="A22" s="12" t="s">
        <v>92</v>
      </c>
      <c r="B22" s="13"/>
      <c r="C22" s="13"/>
      <c r="D22" s="13"/>
      <c r="E22" s="13"/>
      <c r="F22" s="13"/>
      <c r="G22" s="13"/>
      <c r="H22" s="13">
        <f>467.21</f>
        <v>467.21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4">
        <f t="shared" si="0"/>
        <v>467.21</v>
      </c>
    </row>
    <row r="23" spans="1:34" x14ac:dyDescent="0.3">
      <c r="A23" s="12" t="s">
        <v>110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>
        <f>3482.35+2235.22</f>
        <v>5717.57</v>
      </c>
      <c r="Y23" s="13"/>
      <c r="Z23" s="13"/>
      <c r="AA23" s="13"/>
      <c r="AB23" s="13"/>
      <c r="AC23" s="13"/>
      <c r="AD23" s="13"/>
      <c r="AE23" s="13"/>
      <c r="AF23" s="13"/>
      <c r="AG23" s="14">
        <f t="shared" si="0"/>
        <v>5717.57</v>
      </c>
    </row>
    <row r="24" spans="1:34" x14ac:dyDescent="0.3">
      <c r="A24" s="12" t="s">
        <v>111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>
        <f>1430.25</f>
        <v>1430.25</v>
      </c>
      <c r="AC24" s="13"/>
      <c r="AD24" s="13"/>
      <c r="AE24" s="13"/>
      <c r="AF24" s="13"/>
      <c r="AG24" s="14">
        <f t="shared" si="0"/>
        <v>1430.25</v>
      </c>
    </row>
    <row r="25" spans="1:34" x14ac:dyDescent="0.3">
      <c r="A25" s="12" t="s">
        <v>93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>
        <f>2342.26</f>
        <v>2342.2600000000002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4">
        <f t="shared" si="0"/>
        <v>2342.2600000000002</v>
      </c>
    </row>
    <row r="26" spans="1:34" x14ac:dyDescent="0.3">
      <c r="A26" s="12" t="s">
        <v>94</v>
      </c>
      <c r="B26" s="13"/>
      <c r="C26" s="13"/>
      <c r="D26" s="13"/>
      <c r="E26" s="13">
        <f>634.19</f>
        <v>634.19000000000005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4">
        <f t="shared" si="0"/>
        <v>634.19000000000005</v>
      </c>
      <c r="AH26">
        <f>6886.97</f>
        <v>6886.97</v>
      </c>
    </row>
    <row r="27" spans="1:34" x14ac:dyDescent="0.3">
      <c r="A27" s="12" t="s">
        <v>95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>
        <f>1180.18</f>
        <v>1180.18</v>
      </c>
      <c r="Z27" s="13"/>
      <c r="AA27" s="13"/>
      <c r="AB27" s="13"/>
      <c r="AC27" s="13"/>
      <c r="AD27" s="13"/>
      <c r="AE27" s="13"/>
      <c r="AF27" s="13"/>
      <c r="AG27" s="14">
        <f t="shared" si="0"/>
        <v>1180.18</v>
      </c>
      <c r="AH27">
        <f>909.64</f>
        <v>909.64</v>
      </c>
    </row>
    <row r="28" spans="1:34" x14ac:dyDescent="0.3">
      <c r="A28" s="12" t="s">
        <v>96</v>
      </c>
      <c r="B28" s="13"/>
      <c r="C28" s="13"/>
      <c r="D28" s="13"/>
      <c r="E28" s="13"/>
      <c r="F28" s="13"/>
      <c r="G28" s="13"/>
      <c r="H28" s="13">
        <f>1269.1</f>
        <v>1269.0999999999999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>
        <f t="shared" si="0"/>
        <v>1269.0999999999999</v>
      </c>
    </row>
    <row r="29" spans="1:34" x14ac:dyDescent="0.3">
      <c r="A29" s="12" t="s">
        <v>112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>
        <f>14256</f>
        <v>14256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4">
        <f t="shared" si="0"/>
        <v>14256</v>
      </c>
    </row>
    <row r="30" spans="1:34" x14ac:dyDescent="0.3">
      <c r="A30" s="12" t="s">
        <v>97</v>
      </c>
      <c r="B30" s="13"/>
      <c r="C30" s="13"/>
      <c r="D30" s="13"/>
      <c r="E30" s="13"/>
      <c r="F30" s="13"/>
      <c r="G30" s="13"/>
      <c r="H30" s="13">
        <f>6930</f>
        <v>6930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>
        <f>6930</f>
        <v>6930</v>
      </c>
      <c r="AF30" s="13"/>
      <c r="AG30" s="14">
        <f t="shared" si="0"/>
        <v>13860</v>
      </c>
      <c r="AH30">
        <f>7526.02</f>
        <v>7526.02</v>
      </c>
    </row>
    <row r="31" spans="1:34" x14ac:dyDescent="0.3">
      <c r="A31" s="12" t="s">
        <v>98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>
        <f>2074.45</f>
        <v>2074.4499999999998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f>21796.365+21796.365+21796.365+21796.365+21796.365</f>
        <v>108981.82500000001</v>
      </c>
      <c r="Y31" s="13"/>
      <c r="Z31" s="13"/>
      <c r="AA31" s="13"/>
      <c r="AB31" s="13"/>
      <c r="AC31" s="13"/>
      <c r="AD31" s="13"/>
      <c r="AE31" s="13"/>
      <c r="AF31" s="13"/>
      <c r="AG31" s="14">
        <f t="shared" si="0"/>
        <v>111056.27500000001</v>
      </c>
      <c r="AH31">
        <f>21796.365</f>
        <v>21796.365000000002</v>
      </c>
    </row>
    <row r="32" spans="1:34" x14ac:dyDescent="0.3">
      <c r="A32" s="12" t="s">
        <v>113</v>
      </c>
      <c r="B32" s="13"/>
      <c r="C32" s="13"/>
      <c r="D32" s="13"/>
      <c r="E32" s="13">
        <f>42567.4</f>
        <v>42567.4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4">
        <f t="shared" si="0"/>
        <v>42567.4</v>
      </c>
    </row>
    <row r="33" spans="1:34" x14ac:dyDescent="0.3">
      <c r="A33" s="12" t="s">
        <v>99</v>
      </c>
      <c r="B33" s="13"/>
      <c r="C33" s="13"/>
      <c r="D33" s="13"/>
      <c r="E33" s="13"/>
      <c r="F33" s="13"/>
      <c r="G33" s="13"/>
      <c r="H33" s="13">
        <f>2498.17</f>
        <v>2498.17</v>
      </c>
      <c r="I33" s="13"/>
      <c r="J33" s="13">
        <f>3319.29583555937+3257.88370726521+324.430999078286</f>
        <v>6901.6105419028663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>
        <f>940.67</f>
        <v>940.67</v>
      </c>
      <c r="AF33" s="13"/>
      <c r="AG33" s="14">
        <f t="shared" si="0"/>
        <v>10340.450541902866</v>
      </c>
    </row>
    <row r="34" spans="1:34" x14ac:dyDescent="0.3">
      <c r="A34" s="12" t="s">
        <v>100</v>
      </c>
      <c r="B34" s="13"/>
      <c r="C34" s="13"/>
      <c r="D34" s="13"/>
      <c r="E34" s="13"/>
      <c r="F34" s="13"/>
      <c r="G34" s="13"/>
      <c r="H34" s="13"/>
      <c r="I34" s="13"/>
      <c r="J34" s="13"/>
      <c r="K34" s="13">
        <f>591.444319632715+100.876833510875+699.163610501531+394.151897160707+299.562218416137+588.216035074567+373.596289361887+699.163610501531+439.554942958101+57.7891171633493+165.508408032165+699.163610501531+821.0760591362+266.827601234682+1917.60102753992+1917.60102753992+1677.31500780371+772.92473610563+3557.70134979577+886.761767390762+1546.01888656125+733.291190116239+1917.60102753992+733.291190116239+1498.85581390562+2014.37426901769+733.291190116239+266.827601234682+3275.08997828699+266.827601234682+266.827601234682+2498.56989319823+1498.85581390562+1807.31228569625+351.327714246498+733.422956832898+1644.01567612229+2339.18863749072+3032.2250956676+266.827601234682+1929.87415600588+2421.37342105266+2209.86901699814+903.656142848126+1999.60698484354+1466.83650175746+1562.00971881866+1917.60102753992+2056.35138018195+266.827601234682+1999.42815858522+902.771423464843+1775.29297354809</f>
        <v>65761.539999999906</v>
      </c>
      <c r="L34" s="13"/>
      <c r="M34" s="13"/>
      <c r="N34" s="13"/>
      <c r="O34" s="13"/>
      <c r="P34" s="13"/>
      <c r="Q34" s="13"/>
      <c r="R34" s="13"/>
      <c r="S34" s="13">
        <f>628.4+371.95+463.95+53.59+351.16+742.85+30.7+103.12+1360+237.64+158.88+742.85+742.85+643.48+30.7+30.7+61.4+61.4+145.15+61.4+681.45+742.85+61.13+257.5+742.85+431.68+30.7+61.4+742.85+379.15+30.7+92.1+84.02+544.46+46.05+110.52+351.16+175.85+52.19+413.1+30.7+61.4+30.7+175.85+114.45+18.42+535.25+206.55+30.7+30.7+508.5+175.85+95.86+1207.5+1176+1176+1207+16196.25+93388.13</f>
        <v>129419.69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4">
        <f t="shared" si="0"/>
        <v>195181.22999999992</v>
      </c>
    </row>
    <row r="35" spans="1:34" x14ac:dyDescent="0.3">
      <c r="A35" s="12" t="s">
        <v>101</v>
      </c>
      <c r="B35" s="13"/>
      <c r="C35" s="13"/>
      <c r="D35" s="13"/>
      <c r="E35" s="13"/>
      <c r="F35" s="13"/>
      <c r="G35" s="13"/>
      <c r="H35" s="13"/>
      <c r="I35" s="13"/>
      <c r="J35" s="13"/>
      <c r="K35" s="13">
        <f>20909.05</f>
        <v>20909.05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4">
        <f t="shared" si="0"/>
        <v>20909.05</v>
      </c>
    </row>
    <row r="36" spans="1:34" x14ac:dyDescent="0.3">
      <c r="A36" s="12" t="s">
        <v>114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>
        <f>16586.69</f>
        <v>16586.689999999999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4">
        <f t="shared" si="0"/>
        <v>16586.689999999999</v>
      </c>
    </row>
    <row r="37" spans="1:34" x14ac:dyDescent="0.3">
      <c r="A37" s="12" t="s">
        <v>102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>
        <f>619.77+619.77</f>
        <v>1239.54</v>
      </c>
      <c r="AE37" s="13"/>
      <c r="AF37" s="13"/>
      <c r="AG37" s="14">
        <f t="shared" si="0"/>
        <v>1239.54</v>
      </c>
    </row>
    <row r="38" spans="1:34" x14ac:dyDescent="0.3">
      <c r="A38" s="12" t="s">
        <v>103</v>
      </c>
      <c r="B38" s="13"/>
      <c r="C38" s="13"/>
      <c r="D38" s="13"/>
      <c r="E38" s="13"/>
      <c r="F38" s="13"/>
      <c r="G38" s="13"/>
      <c r="H38" s="13">
        <f>1716.3</f>
        <v>1716.3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4">
        <f t="shared" si="0"/>
        <v>1716.3</v>
      </c>
    </row>
    <row r="39" spans="1:34" x14ac:dyDescent="0.3">
      <c r="A39" s="12" t="s">
        <v>104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4">
        <f t="shared" si="0"/>
        <v>0</v>
      </c>
      <c r="AH39">
        <f>705.351625+2037.11</f>
        <v>2742.4616249999999</v>
      </c>
    </row>
    <row r="40" spans="1:34" x14ac:dyDescent="0.3">
      <c r="A40" s="12" t="s">
        <v>105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>
        <f>843.5</f>
        <v>843.5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4">
        <f t="shared" si="0"/>
        <v>843.5</v>
      </c>
    </row>
    <row r="41" spans="1:34" x14ac:dyDescent="0.3">
      <c r="A41" s="12" t="s">
        <v>106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4">
        <f t="shared" si="0"/>
        <v>0</v>
      </c>
    </row>
    <row r="42" spans="1:34" x14ac:dyDescent="0.3">
      <c r="A42" s="15" t="s">
        <v>41</v>
      </c>
      <c r="B42" s="16">
        <f t="shared" ref="B42:AF42" si="1">SUM(B4:B41)</f>
        <v>0</v>
      </c>
      <c r="C42" s="16">
        <f t="shared" si="1"/>
        <v>11606.99</v>
      </c>
      <c r="D42" s="16">
        <f t="shared" si="1"/>
        <v>132872.58476767185</v>
      </c>
      <c r="E42" s="16">
        <f t="shared" si="1"/>
        <v>103343.01000000001</v>
      </c>
      <c r="F42" s="16">
        <f t="shared" si="1"/>
        <v>0</v>
      </c>
      <c r="G42" s="16">
        <f t="shared" si="1"/>
        <v>0</v>
      </c>
      <c r="H42" s="16">
        <f t="shared" si="1"/>
        <v>77453.038433279493</v>
      </c>
      <c r="I42" s="16">
        <f t="shared" si="1"/>
        <v>562.57000000000005</v>
      </c>
      <c r="J42" s="16">
        <f t="shared" si="1"/>
        <v>16223.685719118621</v>
      </c>
      <c r="K42" s="16">
        <f t="shared" si="1"/>
        <v>92570.589999999909</v>
      </c>
      <c r="L42" s="16">
        <f t="shared" si="1"/>
        <v>3962.39</v>
      </c>
      <c r="M42" s="16">
        <f t="shared" si="1"/>
        <v>0</v>
      </c>
      <c r="N42" s="16">
        <f t="shared" si="1"/>
        <v>0</v>
      </c>
      <c r="O42" s="16">
        <f t="shared" si="1"/>
        <v>2523.04</v>
      </c>
      <c r="P42" s="16">
        <f t="shared" si="1"/>
        <v>0</v>
      </c>
      <c r="Q42" s="16">
        <f t="shared" si="1"/>
        <v>44174.869999999959</v>
      </c>
      <c r="R42" s="16">
        <f t="shared" si="1"/>
        <v>44783.468464412486</v>
      </c>
      <c r="S42" s="16">
        <f t="shared" si="1"/>
        <v>161484.77000000002</v>
      </c>
      <c r="T42" s="16">
        <f t="shared" si="1"/>
        <v>1239.55</v>
      </c>
      <c r="U42" s="16">
        <f t="shared" si="1"/>
        <v>0</v>
      </c>
      <c r="V42" s="16">
        <f t="shared" si="1"/>
        <v>0</v>
      </c>
      <c r="W42" s="16">
        <f t="shared" si="1"/>
        <v>844.95</v>
      </c>
      <c r="X42" s="16">
        <f t="shared" si="1"/>
        <v>116377.55500000001</v>
      </c>
      <c r="Y42" s="16">
        <f t="shared" si="1"/>
        <v>1180.18</v>
      </c>
      <c r="Z42" s="16">
        <f t="shared" si="1"/>
        <v>0</v>
      </c>
      <c r="AA42" s="16">
        <f t="shared" si="1"/>
        <v>0</v>
      </c>
      <c r="AB42" s="16">
        <f t="shared" si="1"/>
        <v>2790.25</v>
      </c>
      <c r="AC42" s="16">
        <f t="shared" si="1"/>
        <v>53222</v>
      </c>
      <c r="AD42" s="16">
        <f t="shared" si="1"/>
        <v>8151.61</v>
      </c>
      <c r="AE42" s="16">
        <f t="shared" si="1"/>
        <v>11142.41</v>
      </c>
      <c r="AF42" s="16">
        <f t="shared" si="1"/>
        <v>0</v>
      </c>
      <c r="AG42" s="17"/>
    </row>
  </sheetData>
  <mergeCells count="3">
    <mergeCell ref="A1:AG1"/>
    <mergeCell ref="AG2:AG3"/>
    <mergeCell ref="A2:A3"/>
  </mergeCells>
  <pageMargins left="0.25" right="0.25" top="0.75" bottom="0.75" header="0.3" footer="0.3"/>
  <pageSetup paperSize="9" fitToHeight="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6"/>
  <sheetViews>
    <sheetView workbookViewId="0">
      <selection activeCell="B2" sqref="B1:N1048576"/>
    </sheetView>
  </sheetViews>
  <sheetFormatPr defaultRowHeight="14.4" x14ac:dyDescent="0.3"/>
  <cols>
    <col min="1" max="1" width="22" style="5" customWidth="1"/>
    <col min="2" max="31" width="12.44140625" style="5" customWidth="1"/>
    <col min="32" max="32" width="13" style="5" customWidth="1"/>
  </cols>
  <sheetData>
    <row r="1" spans="1:32" x14ac:dyDescent="0.3">
      <c r="A1" s="23" t="s">
        <v>115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spans="1:32" x14ac:dyDescent="0.3">
      <c r="A2" s="26" t="s">
        <v>1</v>
      </c>
      <c r="B2" s="10" t="s">
        <v>5</v>
      </c>
      <c r="C2" s="10" t="s">
        <v>6</v>
      </c>
      <c r="D2" s="10" t="s">
        <v>7</v>
      </c>
      <c r="E2" s="10" t="s">
        <v>8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2</v>
      </c>
      <c r="U2" s="10" t="s">
        <v>3</v>
      </c>
      <c r="V2" s="10" t="s">
        <v>4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2</v>
      </c>
      <c r="AB2" s="10" t="s">
        <v>3</v>
      </c>
      <c r="AC2" s="10" t="s">
        <v>4</v>
      </c>
      <c r="AD2" s="10" t="s">
        <v>5</v>
      </c>
      <c r="AE2" s="10" t="s">
        <v>6</v>
      </c>
      <c r="AF2" s="26" t="s">
        <v>41</v>
      </c>
    </row>
    <row r="3" spans="1:32" x14ac:dyDescent="0.3">
      <c r="A3" s="27"/>
      <c r="B3" s="11" t="s">
        <v>116</v>
      </c>
      <c r="C3" s="11" t="s">
        <v>117</v>
      </c>
      <c r="D3" s="11" t="s">
        <v>118</v>
      </c>
      <c r="E3" s="11" t="s">
        <v>119</v>
      </c>
      <c r="F3" s="11" t="s">
        <v>120</v>
      </c>
      <c r="G3" s="11" t="s">
        <v>121</v>
      </c>
      <c r="H3" s="11" t="s">
        <v>122</v>
      </c>
      <c r="I3" s="11" t="s">
        <v>123</v>
      </c>
      <c r="J3" s="11" t="s">
        <v>124</v>
      </c>
      <c r="K3" s="11" t="s">
        <v>125</v>
      </c>
      <c r="L3" s="11" t="s">
        <v>126</v>
      </c>
      <c r="M3" s="11" t="s">
        <v>127</v>
      </c>
      <c r="N3" s="11" t="s">
        <v>128</v>
      </c>
      <c r="O3" s="11" t="s">
        <v>129</v>
      </c>
      <c r="P3" s="11" t="s">
        <v>130</v>
      </c>
      <c r="Q3" s="11" t="s">
        <v>131</v>
      </c>
      <c r="R3" s="11" t="s">
        <v>132</v>
      </c>
      <c r="S3" s="11" t="s">
        <v>133</v>
      </c>
      <c r="T3" s="11" t="s">
        <v>134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139</v>
      </c>
      <c r="Z3" s="11" t="s">
        <v>140</v>
      </c>
      <c r="AA3" s="11" t="s">
        <v>141</v>
      </c>
      <c r="AB3" s="11" t="s">
        <v>142</v>
      </c>
      <c r="AC3" s="11" t="s">
        <v>143</v>
      </c>
      <c r="AD3" s="11" t="s">
        <v>144</v>
      </c>
      <c r="AE3" s="11" t="s">
        <v>145</v>
      </c>
      <c r="AF3" s="27"/>
    </row>
    <row r="4" spans="1:32" x14ac:dyDescent="0.3">
      <c r="A4" s="12" t="s">
        <v>75</v>
      </c>
      <c r="B4" s="13"/>
      <c r="C4" s="13"/>
      <c r="D4" s="13"/>
      <c r="E4" s="13"/>
      <c r="F4" s="13"/>
      <c r="G4" s="13"/>
      <c r="H4" s="13">
        <f>419.54</f>
        <v>419.54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>
        <f t="shared" ref="AF4:AF15" si="0">SUM(B4:AE4)</f>
        <v>419.54</v>
      </c>
    </row>
    <row r="5" spans="1:32" x14ac:dyDescent="0.3">
      <c r="A5" s="12" t="s">
        <v>146</v>
      </c>
      <c r="B5" s="13">
        <f>750</f>
        <v>750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>
        <f t="shared" si="0"/>
        <v>750</v>
      </c>
    </row>
    <row r="6" spans="1:32" x14ac:dyDescent="0.3">
      <c r="A6" s="12" t="s">
        <v>109</v>
      </c>
      <c r="B6" s="13"/>
      <c r="C6" s="13"/>
      <c r="D6" s="13"/>
      <c r="E6" s="13"/>
      <c r="F6" s="13">
        <f>328.47</f>
        <v>328.47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>
        <f t="shared" si="0"/>
        <v>328.47</v>
      </c>
    </row>
    <row r="7" spans="1:32" x14ac:dyDescent="0.3">
      <c r="A7" s="12" t="s">
        <v>147</v>
      </c>
      <c r="B7" s="13">
        <f>5339.6+1144.2</f>
        <v>6483.8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>
        <f t="shared" si="0"/>
        <v>6483.8</v>
      </c>
    </row>
    <row r="8" spans="1:32" x14ac:dyDescent="0.3">
      <c r="A8" s="12" t="s">
        <v>89</v>
      </c>
      <c r="B8" s="13"/>
      <c r="C8" s="13"/>
      <c r="D8" s="13"/>
      <c r="E8" s="13">
        <f>1420.71</f>
        <v>1420.71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>
        <f t="shared" si="0"/>
        <v>1420.71</v>
      </c>
    </row>
    <row r="9" spans="1:32" x14ac:dyDescent="0.3">
      <c r="A9" s="12" t="s">
        <v>148</v>
      </c>
      <c r="B9" s="13">
        <f>766.36</f>
        <v>766.36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>
        <f t="shared" si="0"/>
        <v>766.36</v>
      </c>
    </row>
    <row r="10" spans="1:32" x14ac:dyDescent="0.3">
      <c r="A10" s="12" t="s">
        <v>110</v>
      </c>
      <c r="B10" s="13"/>
      <c r="C10" s="13"/>
      <c r="D10" s="13"/>
      <c r="E10" s="13"/>
      <c r="F10" s="13"/>
      <c r="G10" s="13"/>
      <c r="H10" s="13"/>
      <c r="I10" s="13">
        <f>3696.88+17782.77+1039.93</f>
        <v>22519.58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>
        <f t="shared" si="0"/>
        <v>22519.58</v>
      </c>
    </row>
    <row r="11" spans="1:32" x14ac:dyDescent="0.3">
      <c r="A11" s="12" t="s">
        <v>98</v>
      </c>
      <c r="B11" s="13"/>
      <c r="C11" s="13"/>
      <c r="D11" s="13"/>
      <c r="E11" s="13"/>
      <c r="F11" s="13"/>
      <c r="G11" s="13"/>
      <c r="H11" s="13"/>
      <c r="I11" s="13"/>
      <c r="J11" s="13"/>
      <c r="K11" s="13">
        <f>13557.92+12804.7</f>
        <v>26362.620000000003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>
        <f t="shared" si="0"/>
        <v>26362.620000000003</v>
      </c>
    </row>
    <row r="12" spans="1:32" x14ac:dyDescent="0.3">
      <c r="A12" s="12" t="s">
        <v>101</v>
      </c>
      <c r="B12" s="13">
        <f>4750</f>
        <v>4750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>
        <f t="shared" si="0"/>
        <v>4750</v>
      </c>
    </row>
    <row r="13" spans="1:32" x14ac:dyDescent="0.3">
      <c r="A13" s="12" t="s">
        <v>104</v>
      </c>
      <c r="B13" s="13"/>
      <c r="C13" s="13"/>
      <c r="D13" s="13"/>
      <c r="E13" s="13"/>
      <c r="F13" s="13">
        <f>758.03</f>
        <v>758.03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>
        <f t="shared" si="0"/>
        <v>758.03</v>
      </c>
    </row>
    <row r="14" spans="1:32" x14ac:dyDescent="0.3">
      <c r="A14" s="12" t="s">
        <v>105</v>
      </c>
      <c r="B14" s="13"/>
      <c r="C14" s="13"/>
      <c r="D14" s="13"/>
      <c r="E14" s="13">
        <f>843.5</f>
        <v>843.5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>
        <f t="shared" si="0"/>
        <v>843.5</v>
      </c>
    </row>
    <row r="15" spans="1:32" x14ac:dyDescent="0.3">
      <c r="A15" s="12" t="s">
        <v>106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>
        <f t="shared" si="0"/>
        <v>0</v>
      </c>
    </row>
    <row r="16" spans="1:32" x14ac:dyDescent="0.3">
      <c r="A16" s="15" t="s">
        <v>41</v>
      </c>
      <c r="B16" s="16">
        <f t="shared" ref="B16:AE16" si="1">SUM(B4:B15)</f>
        <v>12750.16</v>
      </c>
      <c r="C16" s="16">
        <f t="shared" si="1"/>
        <v>0</v>
      </c>
      <c r="D16" s="16">
        <f t="shared" si="1"/>
        <v>0</v>
      </c>
      <c r="E16" s="16">
        <f t="shared" si="1"/>
        <v>2264.21</v>
      </c>
      <c r="F16" s="16">
        <f t="shared" si="1"/>
        <v>1086.5</v>
      </c>
      <c r="G16" s="16">
        <f t="shared" si="1"/>
        <v>0</v>
      </c>
      <c r="H16" s="16">
        <f t="shared" si="1"/>
        <v>419.54</v>
      </c>
      <c r="I16" s="16">
        <f t="shared" si="1"/>
        <v>22519.58</v>
      </c>
      <c r="J16" s="16">
        <f t="shared" si="1"/>
        <v>0</v>
      </c>
      <c r="K16" s="16">
        <f t="shared" si="1"/>
        <v>26362.620000000003</v>
      </c>
      <c r="L16" s="16">
        <f t="shared" si="1"/>
        <v>0</v>
      </c>
      <c r="M16" s="16">
        <f t="shared" si="1"/>
        <v>0</v>
      </c>
      <c r="N16" s="16">
        <f t="shared" si="1"/>
        <v>0</v>
      </c>
      <c r="O16" s="16">
        <f t="shared" si="1"/>
        <v>0</v>
      </c>
      <c r="P16" s="16">
        <f t="shared" si="1"/>
        <v>0</v>
      </c>
      <c r="Q16" s="16">
        <f t="shared" si="1"/>
        <v>0</v>
      </c>
      <c r="R16" s="16">
        <f t="shared" si="1"/>
        <v>0</v>
      </c>
      <c r="S16" s="16">
        <f t="shared" si="1"/>
        <v>0</v>
      </c>
      <c r="T16" s="16">
        <f t="shared" si="1"/>
        <v>0</v>
      </c>
      <c r="U16" s="16">
        <f t="shared" si="1"/>
        <v>0</v>
      </c>
      <c r="V16" s="16">
        <f t="shared" si="1"/>
        <v>0</v>
      </c>
      <c r="W16" s="16">
        <f t="shared" si="1"/>
        <v>0</v>
      </c>
      <c r="X16" s="16">
        <f t="shared" si="1"/>
        <v>0</v>
      </c>
      <c r="Y16" s="16">
        <f t="shared" si="1"/>
        <v>0</v>
      </c>
      <c r="Z16" s="16">
        <f t="shared" si="1"/>
        <v>0</v>
      </c>
      <c r="AA16" s="16">
        <f t="shared" si="1"/>
        <v>0</v>
      </c>
      <c r="AB16" s="16">
        <f t="shared" si="1"/>
        <v>0</v>
      </c>
      <c r="AC16" s="16">
        <f t="shared" si="1"/>
        <v>0</v>
      </c>
      <c r="AD16" s="16">
        <f t="shared" si="1"/>
        <v>0</v>
      </c>
      <c r="AE16" s="16">
        <f t="shared" si="1"/>
        <v>0</v>
      </c>
      <c r="AF16" s="17"/>
    </row>
  </sheetData>
  <mergeCells count="3">
    <mergeCell ref="A1:AF1"/>
    <mergeCell ref="AF2:AF3"/>
    <mergeCell ref="A2:A3"/>
  </mergeCells>
  <pageMargins left="0.25" right="0.25" top="0.75" bottom="0.75" header="0.3" footer="0.3"/>
  <pageSetup paperSize="9" scale="34" fitToHeight="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"/>
  <sheetViews>
    <sheetView workbookViewId="0">
      <selection activeCell="E8" sqref="E8"/>
    </sheetView>
  </sheetViews>
  <sheetFormatPr defaultRowHeight="14.4" x14ac:dyDescent="0.3"/>
  <cols>
    <col min="1" max="1" width="22" style="5" customWidth="1"/>
    <col min="2" max="32" width="12.44140625" style="5" customWidth="1"/>
    <col min="33" max="33" width="13" style="5" customWidth="1"/>
  </cols>
  <sheetData>
    <row r="1" spans="1:33" x14ac:dyDescent="0.3">
      <c r="A1" s="23" t="s">
        <v>149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5"/>
    </row>
    <row r="2" spans="1:33" x14ac:dyDescent="0.3">
      <c r="A2" s="26" t="s">
        <v>1</v>
      </c>
      <c r="B2" s="10" t="s">
        <v>7</v>
      </c>
      <c r="C2" s="10" t="s">
        <v>8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2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8</v>
      </c>
      <c r="R2" s="10" t="s">
        <v>2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7</v>
      </c>
      <c r="X2" s="10" t="s">
        <v>8</v>
      </c>
      <c r="Y2" s="10" t="s">
        <v>2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7</v>
      </c>
      <c r="AE2" s="10" t="s">
        <v>8</v>
      </c>
      <c r="AF2" s="10" t="s">
        <v>2</v>
      </c>
      <c r="AG2" s="26" t="s">
        <v>41</v>
      </c>
    </row>
    <row r="3" spans="1:33" x14ac:dyDescent="0.3">
      <c r="A3" s="27"/>
      <c r="B3" s="11" t="s">
        <v>150</v>
      </c>
      <c r="C3" s="11" t="s">
        <v>151</v>
      </c>
      <c r="D3" s="11" t="s">
        <v>152</v>
      </c>
      <c r="E3" s="11" t="s">
        <v>153</v>
      </c>
      <c r="F3" s="11" t="s">
        <v>154</v>
      </c>
      <c r="G3" s="11" t="s">
        <v>155</v>
      </c>
      <c r="H3" s="11" t="s">
        <v>156</v>
      </c>
      <c r="I3" s="11" t="s">
        <v>157</v>
      </c>
      <c r="J3" s="11" t="s">
        <v>158</v>
      </c>
      <c r="K3" s="11" t="s">
        <v>159</v>
      </c>
      <c r="L3" s="11" t="s">
        <v>160</v>
      </c>
      <c r="M3" s="11" t="s">
        <v>161</v>
      </c>
      <c r="N3" s="11" t="s">
        <v>162</v>
      </c>
      <c r="O3" s="11" t="s">
        <v>163</v>
      </c>
      <c r="P3" s="11" t="s">
        <v>164</v>
      </c>
      <c r="Q3" s="11" t="s">
        <v>165</v>
      </c>
      <c r="R3" s="11" t="s">
        <v>166</v>
      </c>
      <c r="S3" s="11" t="s">
        <v>167</v>
      </c>
      <c r="T3" s="11" t="s">
        <v>168</v>
      </c>
      <c r="U3" s="11" t="s">
        <v>169</v>
      </c>
      <c r="V3" s="11" t="s">
        <v>170</v>
      </c>
      <c r="W3" s="11" t="s">
        <v>171</v>
      </c>
      <c r="X3" s="11" t="s">
        <v>172</v>
      </c>
      <c r="Y3" s="11" t="s">
        <v>173</v>
      </c>
      <c r="Z3" s="11" t="s">
        <v>174</v>
      </c>
      <c r="AA3" s="11" t="s">
        <v>175</v>
      </c>
      <c r="AB3" s="11" t="s">
        <v>176</v>
      </c>
      <c r="AC3" s="11" t="s">
        <v>177</v>
      </c>
      <c r="AD3" s="11" t="s">
        <v>178</v>
      </c>
      <c r="AE3" s="11" t="s">
        <v>179</v>
      </c>
      <c r="AF3" s="11" t="s">
        <v>180</v>
      </c>
      <c r="AG3" s="27"/>
    </row>
    <row r="4" spans="1:33" x14ac:dyDescent="0.3">
      <c r="A4" s="12" t="s">
        <v>106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>
        <f>SUM(B4:AF4)</f>
        <v>0</v>
      </c>
    </row>
    <row r="5" spans="1:33" x14ac:dyDescent="0.3">
      <c r="A5" s="15" t="s">
        <v>41</v>
      </c>
      <c r="B5" s="16">
        <f t="shared" ref="B5:AF5" si="0">SUM(B4:B4)</f>
        <v>0</v>
      </c>
      <c r="C5" s="16">
        <f t="shared" si="0"/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T5" s="16">
        <f t="shared" si="0"/>
        <v>0</v>
      </c>
      <c r="U5" s="16">
        <f t="shared" si="0"/>
        <v>0</v>
      </c>
      <c r="V5" s="16">
        <f t="shared" si="0"/>
        <v>0</v>
      </c>
      <c r="W5" s="16">
        <f t="shared" si="0"/>
        <v>0</v>
      </c>
      <c r="X5" s="16">
        <f t="shared" si="0"/>
        <v>0</v>
      </c>
      <c r="Y5" s="16">
        <f t="shared" si="0"/>
        <v>0</v>
      </c>
      <c r="Z5" s="16">
        <f t="shared" si="0"/>
        <v>0</v>
      </c>
      <c r="AA5" s="16">
        <f t="shared" si="0"/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7"/>
    </row>
  </sheetData>
  <mergeCells count="3">
    <mergeCell ref="A1:AG1"/>
    <mergeCell ref="AG2:AG3"/>
    <mergeCell ref="A2:A3"/>
  </mergeCells>
  <pageMargins left="0.25" right="0.25" top="0.75" bottom="0.75" header="0.3" footer="0.3"/>
  <pageSetup paperSize="9" scale="33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</vt:lpstr>
      <vt:lpstr>Fevereiro 2022</vt:lpstr>
      <vt:lpstr>Março 2022</vt:lpstr>
      <vt:lpstr>Abril 2022</vt:lpstr>
      <vt:lpstr>Maio 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</cp:lastModifiedBy>
  <cp:lastPrinted>2022-03-18T15:45:37Z</cp:lastPrinted>
  <dcterms:created xsi:type="dcterms:W3CDTF">2006-09-16T00:00:00Z</dcterms:created>
  <dcterms:modified xsi:type="dcterms:W3CDTF">2022-03-18T21:15:01Z</dcterms:modified>
</cp:coreProperties>
</file>