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sto energia compressão" sheetId="1" r:id="rId4"/>
    <sheet state="visible" name="Custo O&amp;M compressão" sheetId="2" r:id="rId5"/>
    <sheet state="visible" name="Forecast" sheetId="3" r:id="rId6"/>
    <sheet state="visible" name="Avaliação" sheetId="4" r:id="rId7"/>
    <sheet state="visible" name="Cópia de Custo energia compress" sheetId="5" r:id="rId8"/>
    <sheet state="visible" name="Cópia de Custo O&amp;M compressão" sheetId="6" r:id="rId9"/>
    <sheet state="visible" name="Project Maturity Class" sheetId="7" r:id="rId10"/>
    <sheet state="visible" name="Atividades das plantas" sheetId="8" r:id="rId11"/>
    <sheet state="visible" name="Avaliação Forecast 14_08" sheetId="9" r:id="rId12"/>
    <sheet state="visible" name="Avaliação Forecast 27_08" sheetId="10" r:id="rId13"/>
    <sheet state="visible" name="HTA plants" sheetId="11" r:id="rId14"/>
    <sheet state="visible" name="Folha7" sheetId="12" r:id="rId15"/>
    <sheet state="visible" name="Folha8" sheetId="13" r:id="rId16"/>
    <sheet state="visible" name="Cópia de Folha8" sheetId="14" r:id="rId17"/>
  </sheets>
  <definedNames/>
  <calcPr/>
</workbook>
</file>

<file path=xl/sharedStrings.xml><?xml version="1.0" encoding="utf-8"?>
<sst xmlns="http://schemas.openxmlformats.org/spreadsheetml/2006/main" count="1224" uniqueCount="447">
  <si>
    <t>Variável</t>
  </si>
  <si>
    <t>Unidade</t>
  </si>
  <si>
    <t>O que ela representa</t>
  </si>
  <si>
    <t>Onde encontrar</t>
  </si>
  <si>
    <t>Pinitial</t>
  </si>
  <si>
    <t>MPa</t>
  </si>
  <si>
    <t>Pressão em que o gás é coletado ao final do processo de captura. Pressão atmosférica.</t>
  </si>
  <si>
    <t>Paper Calc</t>
  </si>
  <si>
    <t>Pfinal</t>
  </si>
  <si>
    <t>Pressão em que o gás é transportado pelo pipeline. Pode variar de acordo com a aplicação.</t>
  </si>
  <si>
    <t>Relatórios Petrobras</t>
  </si>
  <si>
    <t>Pcut-off</t>
  </si>
  <si>
    <t>Pressão crítica do CO2. Pressão que o gás é transformado em líquido e não precisa mais de compressor para aumentar a pressão. A partir deste ponto pode ser utilizado uma bomba.</t>
  </si>
  <si>
    <t xml:space="preserve"> </t>
  </si>
  <si>
    <t>Stage 1</t>
  </si>
  <si>
    <t>Stage 2</t>
  </si>
  <si>
    <t>Stage 3</t>
  </si>
  <si>
    <t>Stage 4</t>
  </si>
  <si>
    <t>Nstage</t>
  </si>
  <si>
    <t>-</t>
  </si>
  <si>
    <t>Número de estágios do compressor no final da linha de captura do CO2</t>
  </si>
  <si>
    <t>Esquemas Empresas</t>
  </si>
  <si>
    <t>Pressure range [MPa]</t>
  </si>
  <si>
    <t>0.1 - 0.29</t>
  </si>
  <si>
    <t>0.29 - 0.86</t>
  </si>
  <si>
    <t>0.86 - 2.52</t>
  </si>
  <si>
    <t>2.52 - 7.38</t>
  </si>
  <si>
    <t>M</t>
  </si>
  <si>
    <t>kg/kmol</t>
  </si>
  <si>
    <t>Massa molar do CO2</t>
  </si>
  <si>
    <t>Bibliografia</t>
  </si>
  <si>
    <t>Zs [-]</t>
  </si>
  <si>
    <t>0.995</t>
  </si>
  <si>
    <t>0.986</t>
  </si>
  <si>
    <t>0.959</t>
  </si>
  <si>
    <t>0.875</t>
  </si>
  <si>
    <t>R</t>
  </si>
  <si>
    <t>[kJ/kmol*K]</t>
  </si>
  <si>
    <t>Constante dos gases</t>
  </si>
  <si>
    <t>ks [-]</t>
  </si>
  <si>
    <t>1.273</t>
  </si>
  <si>
    <t>1.285</t>
  </si>
  <si>
    <t>1.321</t>
  </si>
  <si>
    <t>1.448</t>
  </si>
  <si>
    <t>Tin</t>
  </si>
  <si>
    <t>K</t>
  </si>
  <si>
    <t>Temperatura do CO2 na entrada do compressor</t>
  </si>
  <si>
    <t>ηis</t>
  </si>
  <si>
    <t>Eficiência isentrópica do compressor. É a medida de desempenho que compara o trabalho ideal com o trabalho real</t>
  </si>
  <si>
    <t>Catálogo fornecedor</t>
  </si>
  <si>
    <t>m</t>
  </si>
  <si>
    <t>rô</t>
  </si>
  <si>
    <t>np</t>
  </si>
  <si>
    <t>Power requirement of Compression and Pumping</t>
  </si>
  <si>
    <t>Compression Power Requirement - for each stage</t>
  </si>
  <si>
    <t>Pumping</t>
  </si>
  <si>
    <t>CO2 mass flow rate [tonnes/day]</t>
  </si>
  <si>
    <t>Power [kW]</t>
  </si>
  <si>
    <t>CR</t>
  </si>
  <si>
    <t>Compressor Power [kW]</t>
  </si>
  <si>
    <t>Pumping Power [kW]</t>
  </si>
  <si>
    <t>Wstage,1</t>
  </si>
  <si>
    <t>Wp</t>
  </si>
  <si>
    <t>z</t>
  </si>
  <si>
    <t>k</t>
  </si>
  <si>
    <t>Wstage,2</t>
  </si>
  <si>
    <t>Wt</t>
  </si>
  <si>
    <t>Ntrain</t>
  </si>
  <si>
    <t>Wstage,3</t>
  </si>
  <si>
    <t>Wstage,4</t>
  </si>
  <si>
    <t>Power requeriment of Compression and Pumping</t>
  </si>
  <si>
    <t>CF</t>
  </si>
  <si>
    <t>m_year</t>
  </si>
  <si>
    <t>mtrain</t>
  </si>
  <si>
    <t>kg/s</t>
  </si>
  <si>
    <t>Capital Cost of Compression and Pumping</t>
  </si>
  <si>
    <t>Levelized Cost of CO2 Compression phase</t>
  </si>
  <si>
    <t>CRF</t>
  </si>
  <si>
    <t>Total Lev Cost</t>
  </si>
  <si>
    <t>E_lev</t>
  </si>
  <si>
    <t>E_y</t>
  </si>
  <si>
    <t>O&amp;M_lev</t>
  </si>
  <si>
    <t>O&amp;M_y</t>
  </si>
  <si>
    <t>Cap_lev</t>
  </si>
  <si>
    <t>C_y</t>
  </si>
  <si>
    <t>C Total</t>
  </si>
  <si>
    <t>Compressor</t>
  </si>
  <si>
    <t>Pump</t>
  </si>
  <si>
    <t>Ccomp</t>
  </si>
  <si>
    <t>Cpump</t>
  </si>
  <si>
    <t>Ctotal</t>
  </si>
  <si>
    <t>Cannual</t>
  </si>
  <si>
    <t>O&amp;M factor</t>
  </si>
  <si>
    <t>p_e</t>
  </si>
  <si>
    <t>Years</t>
  </si>
  <si>
    <t>ArcelorMittal - Moving Average</t>
  </si>
  <si>
    <t>ArcelorMittal - SVR</t>
  </si>
  <si>
    <t>ArcelorMittal - Linear</t>
  </si>
  <si>
    <t>CBA - Moving Average</t>
  </si>
  <si>
    <t>CBA - SVR</t>
  </si>
  <si>
    <t>CBA - Linear</t>
  </si>
  <si>
    <t>Intercement - Moving Average</t>
  </si>
  <si>
    <t>Intercement - SVR</t>
  </si>
  <si>
    <t>Intercement - Linear</t>
  </si>
  <si>
    <t>Suzano - Moving Average</t>
  </si>
  <si>
    <t>Suzano - SVR</t>
  </si>
  <si>
    <t>Suzano - Linear</t>
  </si>
  <si>
    <t>Ternium Brasil - Moving Average</t>
  </si>
  <si>
    <t>Ternium Brasil - SVR</t>
  </si>
  <si>
    <t>Ternium Brasil - Linear</t>
  </si>
  <si>
    <t>Votorantim - Moving Average</t>
  </si>
  <si>
    <t>Votorantim - SVR</t>
  </si>
  <si>
    <t>Votorantim - Linear</t>
  </si>
  <si>
    <t>BAU [tCO2e]</t>
  </si>
  <si>
    <t>AcelorMittal</t>
  </si>
  <si>
    <t>CBA</t>
  </si>
  <si>
    <t>Intercement</t>
  </si>
  <si>
    <t>Suzano</t>
  </si>
  <si>
    <t>Ternium Brasil</t>
  </si>
  <si>
    <t>Votorantim</t>
  </si>
  <si>
    <t>Power Law [MtCO2e]</t>
  </si>
  <si>
    <t>Power Law [tCO2e]</t>
  </si>
  <si>
    <t>BAU  [tCO2 Capturado= 95%*80%tCO2e]</t>
  </si>
  <si>
    <t>Power Law [tCO2 Capturado= 95%*80%tCO2e]</t>
  </si>
  <si>
    <t>Power Requirement BAU [kW]</t>
  </si>
  <si>
    <t>AcelorMittal - BAU</t>
  </si>
  <si>
    <t>CBA - BAU</t>
  </si>
  <si>
    <t>Intercement - BAU</t>
  </si>
  <si>
    <t>Suzano - BAU</t>
  </si>
  <si>
    <t>Ternium Brasil - BAU</t>
  </si>
  <si>
    <t>Votorantim - BAU</t>
  </si>
  <si>
    <t>Power Requirement Power Law [kW]</t>
  </si>
  <si>
    <t>AcelorMittal - PL</t>
  </si>
  <si>
    <t>CBA - PL</t>
  </si>
  <si>
    <t>Intercement - PL</t>
  </si>
  <si>
    <t>Suzano - PL</t>
  </si>
  <si>
    <t>Ternium Brasil - PL</t>
  </si>
  <si>
    <t>Votorantim - PL</t>
  </si>
  <si>
    <t>Capital Cost of Compression BAU [$]</t>
  </si>
  <si>
    <t>Capital Cost of Compression Power Law [$]</t>
  </si>
  <si>
    <t>Capital Cost of Compression BAU [$/KW]</t>
  </si>
  <si>
    <t>Capital Cost Of Compression Power Law [$/kW]</t>
  </si>
  <si>
    <t>Annual Compression Capital Cost BAU [$]</t>
  </si>
  <si>
    <t>Annual Compression O&amp;M Cost BAU [$]</t>
  </si>
  <si>
    <t>Annual Compression Energy Cost BAU [$]</t>
  </si>
  <si>
    <t>Annual Compression Capital Cost Power Law [$]</t>
  </si>
  <si>
    <t>Annual Compression O&amp;M Cost Power Law [$]</t>
  </si>
  <si>
    <t>Annual Compression Energy Cost Power Law [$]</t>
  </si>
  <si>
    <t>Capital Cost</t>
  </si>
  <si>
    <t>O&amp;M</t>
  </si>
  <si>
    <t>Energy</t>
  </si>
  <si>
    <t>Total Annual Compression Cost BAU [$]</t>
  </si>
  <si>
    <t>Total Annual Compression Cost Power Law [$]</t>
  </si>
  <si>
    <t>Estimation
class</t>
  </si>
  <si>
    <t>Maturity
level</t>
  </si>
  <si>
    <t>Purpose of the
estimative</t>
  </si>
  <si>
    <t>Accuracy range
[%]</t>
  </si>
  <si>
    <t>Class 5</t>
  </si>
  <si>
    <t>0-2%</t>
  </si>
  <si>
    <t>Analysis of suitability
of concept</t>
  </si>
  <si>
    <t>Min: ‐20 to ‐50
Max: +30 to +100</t>
  </si>
  <si>
    <t>Class 4</t>
  </si>
  <si>
    <t>1-15%</t>
  </si>
  <si>
    <t>Study of feasibility</t>
  </si>
  <si>
    <t>Min: ‐15 to ‐30
Max: +20 to +50</t>
  </si>
  <si>
    <t>Class 3</t>
  </si>
  <si>
    <t>10-40%</t>
  </si>
  <si>
    <t>Authorization or 
control of budget</t>
  </si>
  <si>
    <t>Min: ‐10 to ‐20
Max: +10 to +30</t>
  </si>
  <si>
    <t>Class 2</t>
  </si>
  <si>
    <t>30-75%</t>
  </si>
  <si>
    <t>Control or
bid/proposal</t>
  </si>
  <si>
    <t>Min: ‐5 to ‐15
Max: +5 to +20</t>
  </si>
  <si>
    <t>Class 1</t>
  </si>
  <si>
    <t>65-100%</t>
  </si>
  <si>
    <t>Verification of the
estimate or bid/proposal</t>
  </si>
  <si>
    <t>Min: ‐3 to ‐10
Max: +3 to +15</t>
  </si>
  <si>
    <t># ArcelorMittal: S-1</t>
  </si>
  <si>
    <t>Atividade principal</t>
  </si>
  <si>
    <t>Capacidade (mi ton por ano)</t>
  </si>
  <si>
    <t>Capacidade usada (mi ton/ano)</t>
  </si>
  <si>
    <t>Funcionários diretos (x 10^3)</t>
  </si>
  <si>
    <t>Upstream check</t>
  </si>
  <si>
    <t>Filtro de capacidade</t>
  </si>
  <si>
    <t>Capacidade total</t>
  </si>
  <si>
    <t>Peso</t>
  </si>
  <si>
    <t>ArcelorMittal Tubarão - Serra - ES</t>
  </si>
  <si>
    <t>Produção de aço em placas e bobinas a quente</t>
  </si>
  <si>
    <t>ArcelorMittal Monlevade - João Monlevade - MG</t>
  </si>
  <si>
    <t>Siderúrgica da Belgo-Mineira</t>
  </si>
  <si>
    <t>ArcelorMittal Juiz de Fora - Juiz de Fora - MG</t>
  </si>
  <si>
    <t>Produção de aço bruto (vergalhões, barras, fio‑máquina, arame recozido, treliças, pregos, etc.)</t>
  </si>
  <si>
    <t>ArcelorMittal Piracicaba - Piracicaba - SP</t>
  </si>
  <si>
    <t>Produção de vergalhões</t>
  </si>
  <si>
    <t>ArcelorMittal Vega - São Francisco do Sul - SC</t>
  </si>
  <si>
    <t>Transformação de aços planos — decapados, laminados a frio e revestidos</t>
  </si>
  <si>
    <t>ArcelorMittal Mineração (Andrade) - Bela Vista de Minas - MG</t>
  </si>
  <si>
    <t>Mineração de minério de ferro</t>
  </si>
  <si>
    <t>ArcelorMittal Mineração (Serra Azul) - Itatiaiuçu - MG</t>
  </si>
  <si>
    <t>Opera a Mina de Serra Azul</t>
  </si>
  <si>
    <t>ArcelorMittal Barra Mansa - Barra Mansa - RJ</t>
  </si>
  <si>
    <t>Aciaria</t>
  </si>
  <si>
    <t>0,25 - 0,7 (pós expansão)</t>
  </si>
  <si>
    <t>ArcelorMittal Resende - Resende - RJ</t>
  </si>
  <si>
    <t>Refência `complexo nuclear não relacionado à siderurgia</t>
  </si>
  <si>
    <t>ArcelorMittal BioFlorestas - Carbonita - MG</t>
  </si>
  <si>
    <t>Produção de carvão vegetal a partir de florestas renováveis de eucalipto (100 mil hectares plantados e 40 mil de preservação)</t>
  </si>
  <si>
    <t>ArcelorMittal Pecém - São Gonçalo do Amarante - CE</t>
  </si>
  <si>
    <t>Produção de placas de aço</t>
  </si>
  <si>
    <t># CBA: A-1</t>
  </si>
  <si>
    <t>Metalex - Araçariguama - SP</t>
  </si>
  <si>
    <t>Reciclagem e produção de tarugos de alumínio a partir de sucata</t>
  </si>
  <si>
    <t>Alux - Nova Odessa - SP</t>
  </si>
  <si>
    <t xml:space="preserve">Produção de lingotes e alumínio líquido a partir de sucata </t>
  </si>
  <si>
    <t>CBA Itapissuma - Itapissuma - PE</t>
  </si>
  <si>
    <t>Produção de folhas e chapas de alumínio, dentro do segmento downstream (produtos transformados)</t>
  </si>
  <si>
    <t>CBA Mineração Poços de Caldas - Poços de Caldas - MG</t>
  </si>
  <si>
    <t>Lavra de bauxita a céu aberto (mineração)</t>
  </si>
  <si>
    <t>CBA Mineração Miraí - Miraí - MG</t>
  </si>
  <si>
    <t>Lavra e beneficiamento de bauxita (mineração)</t>
  </si>
  <si>
    <t>1,3 - 2,5</t>
  </si>
  <si>
    <t>CBA Unidade Fábrica - Alumínio - SP</t>
  </si>
  <si>
    <t>Produçãointegrada de alumínio primário e transformação</t>
  </si>
  <si>
    <t>Refinaria de alumina: 0,8
Alumínio primário (lingotes, tarugos, placas): 0,43
Fundição: 0,44
Reciclagem 0,16</t>
  </si>
  <si>
    <t>CBA Mineração Itamarati de Minas - Itamarati de Minas - MG</t>
  </si>
  <si>
    <t>Lavra de bauxita a céu aberto</t>
  </si>
  <si>
    <t>UHE Alecrim - Juquiá - SP</t>
  </si>
  <si>
    <t>Usina hidroelétrica</t>
  </si>
  <si>
    <t>UHE França - Juquitiba - SP</t>
  </si>
  <si>
    <t>UHE Serraria - Juquiá - SP</t>
  </si>
  <si>
    <t>UHE Barra - Tapiraí - SP</t>
  </si>
  <si>
    <t>UHE Fumaça - Ibiúna - SP</t>
  </si>
  <si>
    <t>UHE Salto do Iporanga - Juquiá - SP</t>
  </si>
  <si>
    <t>UHE Porto Raso - Tapiraí - SP</t>
  </si>
  <si>
    <t>UHE Jurupará - Piedade - SP</t>
  </si>
  <si>
    <t>UHE Itupararanga - Votorantim - SP</t>
  </si>
  <si>
    <t>UHE Votorantim - Votorantim - SP</t>
  </si>
  <si>
    <t>UHE Santa Helena - Votorantim - SP</t>
  </si>
  <si>
    <t>UHE Piraju - Piraju - SP</t>
  </si>
  <si>
    <t>UHE Ourinhos - Ourinhos - SP</t>
  </si>
  <si>
    <t>UHE Sobragi - Belmiro Braga - MG</t>
  </si>
  <si>
    <t>UHE Rio Verdinho - Itarumã - GO</t>
  </si>
  <si>
    <t># Ternium: S-2</t>
  </si>
  <si>
    <t>Rio de Janeiro - RJ</t>
  </si>
  <si>
    <t>Produção integrada de placas de aço de alta qualidade (siderúrgica)</t>
  </si>
  <si>
    <t># Intercement: C-1</t>
  </si>
  <si>
    <t>Cajati - SP</t>
  </si>
  <si>
    <t>Fábrica de cimento (marca InterCement)</t>
  </si>
  <si>
    <t>Apiaí - SP</t>
  </si>
  <si>
    <t>moagem/fabricação de cimento</t>
  </si>
  <si>
    <t># Suzano: P-1</t>
  </si>
  <si>
    <t>Escritório Central - Salvador - BA</t>
  </si>
  <si>
    <t xml:space="preserve">Sede social e administrativa principal </t>
  </si>
  <si>
    <t>SPP KSR - ???</t>
  </si>
  <si>
    <t>FuturaGene - Itapetininga - SP</t>
  </si>
  <si>
    <t>dedicada à pesquisa e desenvolvimento (P&amp;D)</t>
  </si>
  <si>
    <t>Terminal Portuário Portocel - Aracruz - ES</t>
  </si>
  <si>
    <t>escoamento de produtos florestais, principalmente celulose</t>
  </si>
  <si>
    <t>Terminal Portuário de Santos - Santos - SP</t>
  </si>
  <si>
    <t>recebimento, armazenamento e embarque de celulose</t>
  </si>
  <si>
    <t>Terminal Portuário Itaqui (Itacel) - São Luís - SP</t>
  </si>
  <si>
    <t>Operação de terminal portuário para celulose</t>
  </si>
  <si>
    <t>Unidade Florestal da Bahia - Simões Filho - BA</t>
  </si>
  <si>
    <t>Unidade Florestal de SP - tapetininga, Itatinga, Jaú, São Miguel Arcanjo</t>
  </si>
  <si>
    <t>manejo, plantio e colheita de eucalipto para a produção industrial</t>
  </si>
  <si>
    <t>Unidade Florestal do Maranhão - Imperatriz - MA</t>
  </si>
  <si>
    <t>Unidade Industrial de Mucuri - Mucuri - BA</t>
  </si>
  <si>
    <t xml:space="preserve">Fábrica com produção integrada de celulose, papéis para impressão e escrita, e produtos tissue </t>
  </si>
  <si>
    <t>Celulose: 1,7
Papel (impressão e escrita): 0,25
Tissue: 0,06</t>
  </si>
  <si>
    <t>Unidade Industrial Imperatriz - Imperatriz - MA</t>
  </si>
  <si>
    <t>produção de celulose e papéis sanitários (tissue)</t>
  </si>
  <si>
    <t>Celulose: 1,5
Tissue: 0,06</t>
  </si>
  <si>
    <t>Unidade Industrial de Limeira - Limeira - SP</t>
  </si>
  <si>
    <t>Unidade Industrial de Rio Verde - Rio Verde - GO</t>
  </si>
  <si>
    <t>Unidade Industrial de Suzano - Suzano - SP</t>
  </si>
  <si>
    <t>Unidade Industrial FACEPA Belém - Belém - PA</t>
  </si>
  <si>
    <t>Unidade Industrial FACEPA Fortaleza - Fortaleza - CE</t>
  </si>
  <si>
    <t>Unidade Industrial de Aracruz e Florestal - Aracruz - ES</t>
  </si>
  <si>
    <t>Unidade Industrial de Jacareí - Jacareí - SP</t>
  </si>
  <si>
    <t>Unidade Industrial e Florestal de Três Lagoas - Três Lagoas - MS</t>
  </si>
  <si>
    <t>Unidade Industrial Cachoeiro de Itapemirim - Itapemirim - ES</t>
  </si>
  <si>
    <t>Unidade Industrial Mogi das Cruzes - Mogi das Cruzes - SP</t>
  </si>
  <si>
    <t>Unidade Industrial de Ribas do Rio Pardo - Ribas do Rio Pardo - MS</t>
  </si>
  <si>
    <t># Votorantim: C-2</t>
  </si>
  <si>
    <t>Unidade de Cantagalo - Cantagalo, RJ</t>
  </si>
  <si>
    <t>Unidade de Corumbá - Corumbá - MS</t>
  </si>
  <si>
    <t>Unidade de Cuiabá - Cuiabá - MT</t>
  </si>
  <si>
    <t>Unidade de Edealina - Edealina - GO</t>
  </si>
  <si>
    <t>Unidade de Itau de Minas - Itaú de Minas - MG</t>
  </si>
  <si>
    <t>Unidade de Laranjeiras - Laranjeiras - SE</t>
  </si>
  <si>
    <t>Unidade de Nobres - Nobres - MT</t>
  </si>
  <si>
    <t>Unidade de Rio Branco do Sul - Rio Branco do Sul - PR</t>
  </si>
  <si>
    <t>Unidade de Salto de Pirapora - Salto de Pirapora - SP</t>
  </si>
  <si>
    <t>Unidade de Santa Helena - Votorantim - SP</t>
  </si>
  <si>
    <t>Unidade de Sobradinho - Brasília - DF</t>
  </si>
  <si>
    <t>Unidade de Sobral - Sobral - CE</t>
  </si>
  <si>
    <t>Unidade de Vidal Ramos - Vidal Ramos - SC</t>
  </si>
  <si>
    <t>Unidade de Xambioá - Xambioá - TO</t>
  </si>
  <si>
    <t>Unidade de Primavera - Primavera - PA</t>
  </si>
  <si>
    <t>Unidade de Porto Velho - Porto Velho - RO</t>
  </si>
  <si>
    <t>Unidade Pecém - Caucaia - CE</t>
  </si>
  <si>
    <t>Unidade de Itapeva - Itapeva - SP</t>
  </si>
  <si>
    <t>Unidade de São Luis - São Luís - MA</t>
  </si>
  <si>
    <t>Engemix - Sorocaba - SP</t>
  </si>
  <si>
    <t>DBM [tCO2e]</t>
  </si>
  <si>
    <t>A-1 - DBM</t>
  </si>
  <si>
    <t>C-1 - DBM</t>
  </si>
  <si>
    <t>C-2 - DBM</t>
  </si>
  <si>
    <t>P-1 - DBM</t>
  </si>
  <si>
    <t>S-1 - DBM</t>
  </si>
  <si>
    <t>S-2 - DBM</t>
  </si>
  <si>
    <t>GBM [MtCO2e]</t>
  </si>
  <si>
    <t>A-1 - GBM</t>
  </si>
  <si>
    <t>C-1 - GBM</t>
  </si>
  <si>
    <t>C-2 - GBM</t>
  </si>
  <si>
    <t>P-1 - GBM</t>
  </si>
  <si>
    <t>S-1 - GBM</t>
  </si>
  <si>
    <t>S-2 - GBM</t>
  </si>
  <si>
    <t>GBM [tCO2e]</t>
  </si>
  <si>
    <t>DBM [tCO2 Capturado= 95%*80%tCO2e]</t>
  </si>
  <si>
    <t>GBM [tCO2 Capturado= 95%*80%tCO2e]</t>
  </si>
  <si>
    <t>Power Requirement DBM [kW]</t>
  </si>
  <si>
    <t>Power Requirement GBM [kW]</t>
  </si>
  <si>
    <t>Capital Cost of Compression DBM[$]</t>
  </si>
  <si>
    <t>Taxa CEPCI</t>
  </si>
  <si>
    <t>Capital Cost of Compression GBM [$]</t>
  </si>
  <si>
    <t>2025/2005</t>
  </si>
  <si>
    <t>Capital Cost of Compression DBM[$/kW]</t>
  </si>
  <si>
    <t>Capital Cost Of Compression GBM [$/kW]</t>
  </si>
  <si>
    <t>Annual Compression Capital Cost DBM[$]</t>
  </si>
  <si>
    <t>Annual Compression O&amp;M Cost DBM [$]</t>
  </si>
  <si>
    <t>Annual Compression Energy Cost DBM [$]</t>
  </si>
  <si>
    <t>Annual Compression Capital Cost GBM [$]</t>
  </si>
  <si>
    <t>Annual Compression O&amp;M Cost GBM [$]</t>
  </si>
  <si>
    <t>Annual Compression Energy Cost GBM [$]</t>
  </si>
  <si>
    <t>Total Annual Compression Cost DBM [$]</t>
  </si>
  <si>
    <t>Total Annual Compression Cost GBM [$]</t>
  </si>
  <si>
    <t>Company (ID)</t>
  </si>
  <si>
    <t>Plant - City</t>
  </si>
  <si>
    <t>State</t>
  </si>
  <si>
    <t>Core activities</t>
  </si>
  <si>
    <t>Emissions [Mtpa]</t>
  </si>
  <si>
    <t>Upstream?</t>
  </si>
  <si>
    <t>Company Total Emissions</t>
  </si>
  <si>
    <t>Emission Weight</t>
  </si>
  <si>
    <t>Comments</t>
  </si>
  <si>
    <t>ArcelorMittal (S-1)</t>
  </si>
  <si>
    <t>Tubarão - Serra</t>
  </si>
  <si>
    <t>Espírito Santo</t>
  </si>
  <si>
    <t>Monlevade - João Monlevade</t>
  </si>
  <si>
    <t>Minas Gerais</t>
  </si>
  <si>
    <t>Juiz de Fora - Juiz de Fora</t>
  </si>
  <si>
    <t>Piracicaba - Piracicaba</t>
  </si>
  <si>
    <t>São Paulo</t>
  </si>
  <si>
    <t>Vega - São Francisco do Sul</t>
  </si>
  <si>
    <t>Santa Catarina</t>
  </si>
  <si>
    <t>Barra Mansa - Barra Mansa</t>
  </si>
  <si>
    <t>Rio de Janeiro</t>
  </si>
  <si>
    <t>Pecém - São Gonçalo do Amarante</t>
  </si>
  <si>
    <t>Ceará</t>
  </si>
  <si>
    <t>CBA (A-1)</t>
  </si>
  <si>
    <t>Poços de Caldas - Poços de Caldas</t>
  </si>
  <si>
    <t>Miraí - Miraí</t>
  </si>
  <si>
    <t>Alumínio - Alumínio</t>
  </si>
  <si>
    <t>Disregards recycling activities</t>
  </si>
  <si>
    <t>Itamarati de Minas - Itamarati de Minas</t>
  </si>
  <si>
    <t>Ternium (S-2)</t>
  </si>
  <si>
    <t>Rio de Janeiro - Rio de Janeiro</t>
  </si>
  <si>
    <t>Intercement (C-1)</t>
  </si>
  <si>
    <t>Cajati - Cajati</t>
  </si>
  <si>
    <t>33 de capacidade mesmo?</t>
  </si>
  <si>
    <t>Apiaí - Apiaí</t>
  </si>
  <si>
    <t>Suzano (P-1)</t>
  </si>
  <si>
    <t>Mucuri - Mucuri</t>
  </si>
  <si>
    <t>Bahia</t>
  </si>
  <si>
    <t>Imperatriz - Imperatriz</t>
  </si>
  <si>
    <t>Maranhão</t>
  </si>
  <si>
    <t>Votorantim (C-2)</t>
  </si>
  <si>
    <t>Ano</t>
  </si>
  <si>
    <t>tCO2e</t>
  </si>
  <si>
    <t>Plant</t>
  </si>
  <si>
    <t>Cost</t>
  </si>
  <si>
    <t>Total Cost</t>
  </si>
  <si>
    <t>AM1</t>
  </si>
  <si>
    <t>AM2</t>
  </si>
  <si>
    <t>AM3</t>
  </si>
  <si>
    <t>M&amp;S</t>
  </si>
  <si>
    <t>CEPCI - Composite CE Index</t>
  </si>
  <si>
    <t>CEPCI - equip</t>
  </si>
  <si>
    <t>1582.3</t>
  </si>
  <si>
    <t>1545.9</t>
  </si>
  <si>
    <t>799.8</t>
  </si>
  <si>
    <t>797.9</t>
  </si>
  <si>
    <t>708.8</t>
  </si>
  <si>
    <t>596.2</t>
  </si>
  <si>
    <t>607.5</t>
  </si>
  <si>
    <t>603.1</t>
  </si>
  <si>
    <t>567.5</t>
  </si>
  <si>
    <t>541.7</t>
  </si>
  <si>
    <t>556.8</t>
  </si>
  <si>
    <t>576.1</t>
  </si>
  <si>
    <t>567.3</t>
  </si>
  <si>
    <t>584.6</t>
  </si>
  <si>
    <t>585.7</t>
  </si>
  <si>
    <t>550.8</t>
  </si>
  <si>
    <t>521.9</t>
  </si>
  <si>
    <t>575.4</t>
  </si>
  <si>
    <t>525.4</t>
  </si>
  <si>
    <t>499.6</t>
  </si>
  <si>
    <t>468.2</t>
  </si>
  <si>
    <t>444.2</t>
  </si>
  <si>
    <t>395.6</t>
  </si>
  <si>
    <t>394.3</t>
  </si>
  <si>
    <t>394.1</t>
  </si>
  <si>
    <t>390.6</t>
  </si>
  <si>
    <t>389.5</t>
  </si>
  <si>
    <t>386.5</t>
  </si>
  <si>
    <t>381.7</t>
  </si>
  <si>
    <t>381.1</t>
  </si>
  <si>
    <t>368.1</t>
  </si>
  <si>
    <t>359.2</t>
  </si>
  <si>
    <t>358.2</t>
  </si>
  <si>
    <t>361.3</t>
  </si>
  <si>
    <t>357.6</t>
  </si>
  <si>
    <t>355.4</t>
  </si>
  <si>
    <t>342.5</t>
  </si>
  <si>
    <t>323.8</t>
  </si>
  <si>
    <t>318.4</t>
  </si>
  <si>
    <t>325.3</t>
  </si>
  <si>
    <t>322.7</t>
  </si>
  <si>
    <t>261.2</t>
  </si>
  <si>
    <t>238.7</t>
  </si>
  <si>
    <t>218.8</t>
  </si>
  <si>
    <t>204.1</t>
  </si>
  <si>
    <t>192.1</t>
  </si>
  <si>
    <t>182.4</t>
  </si>
  <si>
    <t>165.4</t>
  </si>
  <si>
    <t>144.1</t>
  </si>
  <si>
    <t>137.2</t>
  </si>
  <si>
    <t>132.3</t>
  </si>
  <si>
    <t>125.7</t>
  </si>
  <si>
    <t>113.7</t>
  </si>
  <si>
    <t>109.7</t>
  </si>
  <si>
    <t>107.2</t>
  </si>
  <si>
    <t>104.2</t>
  </si>
  <si>
    <t>103.3</t>
  </si>
  <si>
    <t>102.4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</si>
</sst>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0"/>
    <numFmt numFmtId="165" formatCode="0.0000"/>
    <numFmt numFmtId="166" formatCode="0.0"/>
    <numFmt numFmtId="167" formatCode="yyyy.m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Times New Roman"/>
    </font>
    <font/>
    <font>
      <color theme="1"/>
      <name val="Arial"/>
    </font>
    <font>
      <sz val="11.0"/>
      <color theme="1"/>
      <name val="Calibri"/>
    </font>
    <font>
      <b/>
      <sz val="11.0"/>
      <color theme="1"/>
      <name val="Calibri"/>
    </font>
    <font>
      <b/>
      <color theme="1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F4CCCC"/>
        <bgColor rgb="FFF4CCCC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A2C4C9"/>
        <bgColor rgb="FFA2C4C9"/>
      </patternFill>
    </fill>
    <fill>
      <patternFill patternType="solid">
        <fgColor rgb="FFB6D7A8"/>
        <bgColor rgb="FFB6D7A8"/>
      </patternFill>
    </fill>
    <fill>
      <patternFill patternType="solid">
        <fgColor theme="0"/>
        <bgColor theme="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1" fillId="0" fontId="2" numFmtId="0" xfId="0" applyAlignment="1" applyBorder="1" applyFont="1">
      <alignment horizontal="center" readingOrder="0"/>
    </xf>
    <xf quotePrefix="1" borderId="0" fillId="0" fontId="1" numFmtId="0" xfId="0" applyAlignment="1" applyFont="1">
      <alignment readingOrder="0"/>
    </xf>
    <xf borderId="0" fillId="0" fontId="1" numFmtId="1" xfId="0" applyFont="1" applyNumberFormat="1"/>
    <xf borderId="2" fillId="0" fontId="1" numFmtId="0" xfId="0" applyAlignment="1" applyBorder="1" applyFont="1">
      <alignment horizontal="center" readingOrder="0" vertical="center"/>
    </xf>
    <xf borderId="3" fillId="0" fontId="3" numFmtId="0" xfId="0" applyBorder="1" applyFont="1"/>
    <xf borderId="4" fillId="0" fontId="3" numFmtId="0" xfId="0" applyBorder="1" applyFont="1"/>
    <xf borderId="1" fillId="0" fontId="1" numFmtId="0" xfId="0" applyAlignment="1" applyBorder="1" applyFont="1">
      <alignment horizontal="center" readingOrder="0" vertical="center"/>
    </xf>
    <xf borderId="0" fillId="0" fontId="1" numFmtId="2" xfId="0" applyFont="1" applyNumberFormat="1"/>
    <xf borderId="1" fillId="0" fontId="1" numFmtId="0" xfId="0" applyAlignment="1" applyBorder="1" applyFont="1">
      <alignment horizontal="center" vertical="center"/>
    </xf>
    <xf borderId="0" fillId="0" fontId="1" numFmtId="164" xfId="0" applyFont="1" applyNumberFormat="1"/>
    <xf borderId="0" fillId="0" fontId="1" numFmtId="0" xfId="0" applyFont="1"/>
    <xf borderId="0" fillId="0" fontId="4" numFmtId="0" xfId="0" applyAlignment="1" applyFont="1">
      <alignment horizontal="right" vertical="bottom"/>
    </xf>
    <xf borderId="0" fillId="0" fontId="1" numFmtId="164" xfId="0" applyAlignment="1" applyFont="1" applyNumberFormat="1">
      <alignment readingOrder="0"/>
    </xf>
    <xf borderId="5" fillId="0" fontId="1" numFmtId="0" xfId="0" applyBorder="1" applyFont="1"/>
    <xf borderId="1" fillId="0" fontId="1" numFmtId="2" xfId="0" applyAlignment="1" applyBorder="1" applyFont="1" applyNumberFormat="1">
      <alignment horizontal="center" readingOrder="0" vertical="center"/>
    </xf>
    <xf borderId="1" fillId="0" fontId="1" numFmtId="1" xfId="0" applyAlignment="1" applyBorder="1" applyFont="1" applyNumberFormat="1">
      <alignment horizontal="center" readingOrder="0" vertical="center"/>
    </xf>
    <xf borderId="0" fillId="0" fontId="1" numFmtId="10" xfId="0" applyFont="1" applyNumberFormat="1"/>
    <xf borderId="0" fillId="0" fontId="5" numFmtId="0" xfId="0" applyAlignment="1" applyFont="1">
      <alignment vertical="bottom"/>
    </xf>
    <xf borderId="1" fillId="0" fontId="6" numFmtId="0" xfId="0" applyAlignment="1" applyBorder="1" applyFont="1">
      <alignment horizontal="center" vertical="top"/>
    </xf>
    <xf borderId="0" fillId="0" fontId="5" numFmtId="0" xfId="0" applyAlignment="1" applyFont="1">
      <alignment horizontal="right" vertical="bottom"/>
    </xf>
    <xf borderId="2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readingOrder="0"/>
    </xf>
    <xf borderId="1" fillId="0" fontId="5" numFmtId="1" xfId="0" applyAlignment="1" applyBorder="1" applyFont="1" applyNumberFormat="1">
      <alignment horizontal="right" vertical="bottom"/>
    </xf>
    <xf borderId="1" fillId="0" fontId="5" numFmtId="0" xfId="0" applyAlignment="1" applyBorder="1" applyFont="1">
      <alignment horizontal="right" vertical="bottom"/>
    </xf>
    <xf borderId="1" fillId="0" fontId="1" numFmtId="1" xfId="0" applyBorder="1" applyFont="1" applyNumberFormat="1"/>
    <xf borderId="0" fillId="0" fontId="1" numFmtId="0" xfId="0" applyAlignment="1" applyFont="1">
      <alignment vertical="top"/>
    </xf>
    <xf borderId="3" fillId="0" fontId="1" numFmtId="0" xfId="0" applyAlignment="1" applyBorder="1" applyFont="1">
      <alignment horizontal="center" readingOrder="0" vertical="top"/>
    </xf>
    <xf borderId="0" fillId="0" fontId="1" numFmtId="0" xfId="0" applyAlignment="1" applyFont="1">
      <alignment horizontal="center" readingOrder="0" vertical="center"/>
    </xf>
    <xf borderId="0" fillId="0" fontId="1" numFmtId="165" xfId="0" applyFont="1" applyNumberFormat="1"/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1" numFmtId="2" xfId="0" applyAlignment="1" applyFont="1" applyNumberFormat="1">
      <alignment vertical="center"/>
    </xf>
    <xf borderId="0" fillId="0" fontId="1" numFmtId="166" xfId="0" applyAlignment="1" applyFont="1" applyNumberFormat="1">
      <alignment horizontal="center" readingOrder="0" vertical="center"/>
    </xf>
    <xf borderId="0" fillId="0" fontId="1" numFmtId="166" xfId="0" applyAlignment="1" applyFont="1" applyNumberFormat="1">
      <alignment vertical="center"/>
    </xf>
    <xf borderId="0" fillId="0" fontId="1" numFmtId="0" xfId="0" applyAlignment="1" applyFont="1">
      <alignment horizontal="center" vertical="center"/>
    </xf>
    <xf borderId="1" fillId="0" fontId="6" numFmtId="0" xfId="0" applyAlignment="1" applyBorder="1" applyFont="1">
      <alignment horizontal="center" vertical="top"/>
    </xf>
    <xf borderId="1" fillId="0" fontId="5" numFmtId="1" xfId="0" applyAlignment="1" applyBorder="1" applyFont="1" applyNumberFormat="1">
      <alignment horizontal="right" readingOrder="0" vertical="bottom"/>
    </xf>
    <xf borderId="2" fillId="3" fontId="1" numFmtId="0" xfId="0" applyAlignment="1" applyBorder="1" applyFill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0" fillId="0" fontId="1" numFmtId="1" xfId="0" applyAlignment="1" applyFont="1" applyNumberFormat="1">
      <alignment readingOrder="0"/>
    </xf>
    <xf borderId="2" fillId="4" fontId="1" numFmtId="0" xfId="0" applyAlignment="1" applyBorder="1" applyFill="1" applyFont="1">
      <alignment horizontal="center" readingOrder="0"/>
    </xf>
    <xf borderId="2" fillId="5" fontId="1" numFmtId="0" xfId="0" applyAlignment="1" applyBorder="1" applyFill="1" applyFont="1">
      <alignment horizontal="center" readingOrder="0"/>
    </xf>
    <xf borderId="0" fillId="0" fontId="7" numFmtId="0" xfId="0" applyAlignment="1" applyFont="1">
      <alignment readingOrder="0" vertical="center"/>
    </xf>
    <xf borderId="0" fillId="0" fontId="7" numFmtId="0" xfId="0" applyAlignment="1" applyFont="1">
      <alignment readingOrder="0"/>
    </xf>
    <xf borderId="0" fillId="0" fontId="7" numFmtId="0" xfId="0" applyAlignment="1" applyFont="1">
      <alignment horizontal="center" readingOrder="0" vertical="center"/>
    </xf>
    <xf borderId="0" fillId="0" fontId="7" numFmtId="0" xfId="0" applyAlignment="1" applyFont="1">
      <alignment vertical="center"/>
    </xf>
    <xf borderId="6" fillId="0" fontId="1" numFmtId="0" xfId="0" applyAlignment="1" applyBorder="1" applyFont="1">
      <alignment readingOrder="0" vertical="center"/>
    </xf>
    <xf borderId="6" fillId="0" fontId="1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vertical="center"/>
    </xf>
    <xf borderId="6" fillId="0" fontId="1" numFmtId="2" xfId="0" applyAlignment="1" applyBorder="1" applyFont="1" applyNumberFormat="1">
      <alignment vertical="center"/>
    </xf>
    <xf borderId="7" fillId="0" fontId="1" numFmtId="0" xfId="0" applyAlignment="1" applyBorder="1" applyFont="1">
      <alignment readingOrder="0" vertical="center"/>
    </xf>
    <xf borderId="7" fillId="0" fontId="1" numFmtId="0" xfId="0" applyAlignment="1" applyBorder="1" applyFont="1">
      <alignment horizontal="center" readingOrder="0" vertical="center"/>
    </xf>
    <xf borderId="7" fillId="0" fontId="1" numFmtId="0" xfId="0" applyAlignment="1" applyBorder="1" applyFont="1">
      <alignment vertical="center"/>
    </xf>
    <xf borderId="7" fillId="0" fontId="1" numFmtId="2" xfId="0" applyAlignment="1" applyBorder="1" applyFont="1" applyNumberFormat="1">
      <alignment vertical="center"/>
    </xf>
    <xf borderId="3" fillId="0" fontId="1" numFmtId="0" xfId="0" applyAlignment="1" applyBorder="1" applyFont="1">
      <alignment readingOrder="0" vertical="center"/>
    </xf>
    <xf borderId="3" fillId="0" fontId="1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vertical="center"/>
    </xf>
    <xf borderId="0" fillId="6" fontId="1" numFmtId="0" xfId="0" applyFill="1" applyFont="1"/>
    <xf borderId="0" fillId="7" fontId="1" numFmtId="0" xfId="0" applyFill="1" applyFont="1"/>
    <xf borderId="0" fillId="0" fontId="1" numFmtId="0" xfId="0" applyAlignment="1" applyFont="1">
      <alignment horizontal="left" readingOrder="0"/>
    </xf>
    <xf borderId="0" fillId="8" fontId="1" numFmtId="0" xfId="0" applyAlignment="1" applyFill="1" applyFont="1">
      <alignment readingOrder="0"/>
    </xf>
    <xf borderId="0" fillId="0" fontId="1" numFmtId="167" xfId="0" applyAlignment="1" applyFont="1" applyNumberFormat="1">
      <alignment readingOrder="0"/>
    </xf>
    <xf borderId="0" fillId="9" fontId="1" numFmtId="0" xfId="0" applyAlignment="1" applyFill="1" applyFont="1">
      <alignment readingOrder="0"/>
    </xf>
    <xf borderId="0" fillId="10" fontId="1" numFmtId="0" xfId="0" applyAlignment="1" applyFill="1" applyFont="1">
      <alignment readingOrder="0"/>
    </xf>
    <xf borderId="0" fillId="0" fontId="1" numFmtId="0" xfId="0" applyAlignment="1" applyFont="1">
      <alignment horizontal="center" readingOrder="0"/>
    </xf>
    <xf borderId="0" fillId="8" fontId="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Arial"/>
              </a:defRPr>
            </a:pPr>
            <a:r>
              <a:rPr b="1" sz="1200">
                <a:solidFill>
                  <a:srgbClr val="000000"/>
                </a:solidFill>
                <a:latin typeface="Arial"/>
              </a:rPr>
              <a:t>Power requirement of Compression and Pumping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'Custo energia compressão'!$I$13:$I$15</c:f>
            </c:strRef>
          </c:tx>
          <c:spPr>
            <a:ln cmpd="sng" w="19050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'Custo energia compressão'!$H$16:$H$29</c:f>
            </c:strRef>
          </c:cat>
          <c:val>
            <c:numRef>
              <c:f>'Custo energia compressão'!$I$16:$I$29</c:f>
              <c:numCache/>
            </c:numRef>
          </c:val>
          <c:smooth val="0"/>
        </c:ser>
        <c:ser>
          <c:idx val="1"/>
          <c:order val="1"/>
          <c:tx>
            <c:strRef>
              <c:f>'Custo energia compressão'!$J$13:$J$15</c:f>
            </c:strRef>
          </c:tx>
          <c:spPr>
            <a:ln cmpd="sng" w="19050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'Custo energia compressão'!$H$16:$H$29</c:f>
            </c:strRef>
          </c:cat>
          <c:val>
            <c:numRef>
              <c:f>'Custo energia compressão'!$J$16:$J$29</c:f>
              <c:numCache/>
            </c:numRef>
          </c:val>
          <c:smooth val="0"/>
        </c:ser>
        <c:axId val="126250519"/>
        <c:axId val="800889538"/>
      </c:lineChart>
      <c:catAx>
        <c:axId val="126250519"/>
        <c:scaling>
          <c:orientation val="minMax"/>
          <c:max val="7000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CO2 mass flow rate [tonnes/day]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0889538"/>
      </c:catAx>
      <c:valAx>
        <c:axId val="8008895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Power [kW]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2505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000000"/>
                </a:solidFill>
                <a:latin typeface="+mn-lt"/>
              </a:defRPr>
            </a:pPr>
            <a:r>
              <a:rPr b="1" sz="1400">
                <a:solidFill>
                  <a:srgbClr val="000000"/>
                </a:solidFill>
                <a:latin typeface="+mn-lt"/>
              </a:rPr>
              <a:t>Annual Cost of Compression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'Avaliação'!$G$190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'Avaliação'!$H$189:$N$189</c:f>
            </c:strRef>
          </c:cat>
          <c:val>
            <c:numRef>
              <c:f>'Avaliação'!$H$190:$N$190</c:f>
              <c:numCache/>
            </c:numRef>
          </c:val>
          <c:smooth val="0"/>
        </c:ser>
        <c:ser>
          <c:idx val="1"/>
          <c:order val="1"/>
          <c:tx>
            <c:strRef>
              <c:f>'Avaliação'!$G$191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'Avaliação'!$H$189:$N$189</c:f>
            </c:strRef>
          </c:cat>
          <c:val>
            <c:numRef>
              <c:f>'Avaliação'!$H$191:$N$191</c:f>
              <c:numCache/>
            </c:numRef>
          </c:val>
          <c:smooth val="0"/>
        </c:ser>
        <c:ser>
          <c:idx val="2"/>
          <c:order val="2"/>
          <c:tx>
            <c:strRef>
              <c:f>'Avaliação'!$G$192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'Avaliação'!$H$189:$N$189</c:f>
            </c:strRef>
          </c:cat>
          <c:val>
            <c:numRef>
              <c:f>'Avaliação'!$H$192:$N$192</c:f>
              <c:numCache/>
            </c:numRef>
          </c:val>
          <c:smooth val="0"/>
        </c:ser>
        <c:ser>
          <c:idx val="3"/>
          <c:order val="3"/>
          <c:tx>
            <c:strRef>
              <c:f>'Avaliação'!$G$193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'Avaliação'!$H$189:$N$189</c:f>
            </c:strRef>
          </c:cat>
          <c:val>
            <c:numRef>
              <c:f>'Avaliação'!$H$193:$N$193</c:f>
              <c:numCache/>
            </c:numRef>
          </c:val>
          <c:smooth val="0"/>
        </c:ser>
        <c:ser>
          <c:idx val="4"/>
          <c:order val="4"/>
          <c:tx>
            <c:strRef>
              <c:f>'Avaliação'!$G$194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'Avaliação'!$H$189:$N$189</c:f>
            </c:strRef>
          </c:cat>
          <c:val>
            <c:numRef>
              <c:f>'Avaliação'!$H$194:$N$194</c:f>
              <c:numCache/>
            </c:numRef>
          </c:val>
          <c:smooth val="0"/>
        </c:ser>
        <c:ser>
          <c:idx val="5"/>
          <c:order val="5"/>
          <c:tx>
            <c:strRef>
              <c:f>'Avaliação'!$G$195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'Avaliação'!$H$189:$N$189</c:f>
            </c:strRef>
          </c:cat>
          <c:val>
            <c:numRef>
              <c:f>'Avaliação'!$H$195:$N$195</c:f>
              <c:numCache/>
            </c:numRef>
          </c:val>
          <c:smooth val="0"/>
        </c:ser>
        <c:ser>
          <c:idx val="6"/>
          <c:order val="6"/>
          <c:tx>
            <c:strRef>
              <c:f>'Avaliação'!$G$199</c:f>
            </c:strRef>
          </c:tx>
          <c:spPr>
            <a:ln cmpd="sng">
              <a:solidFill>
                <a:srgbClr val="7BAAF7"/>
              </a:solidFill>
              <a:prstDash val="dash"/>
            </a:ln>
          </c:spPr>
          <c:marker>
            <c:symbol val="none"/>
          </c:marker>
          <c:cat>
            <c:strRef>
              <c:f>'Avaliação'!$H$189:$N$189</c:f>
            </c:strRef>
          </c:cat>
          <c:val>
            <c:numRef>
              <c:f>'Avaliação'!$H$199:$N$199</c:f>
              <c:numCache/>
            </c:numRef>
          </c:val>
          <c:smooth val="0"/>
        </c:ser>
        <c:ser>
          <c:idx val="7"/>
          <c:order val="7"/>
          <c:tx>
            <c:strRef>
              <c:f>'Avaliação'!$G$200</c:f>
            </c:strRef>
          </c:tx>
          <c:spPr>
            <a:ln cmpd="sng">
              <a:solidFill>
                <a:srgbClr val="F07B72"/>
              </a:solidFill>
              <a:prstDash val="dash"/>
            </a:ln>
          </c:spPr>
          <c:marker>
            <c:symbol val="none"/>
          </c:marker>
          <c:cat>
            <c:strRef>
              <c:f>'Avaliação'!$H$189:$N$189</c:f>
            </c:strRef>
          </c:cat>
          <c:val>
            <c:numRef>
              <c:f>'Avaliação'!$H$200:$N$200</c:f>
              <c:numCache/>
            </c:numRef>
          </c:val>
          <c:smooth val="0"/>
        </c:ser>
        <c:ser>
          <c:idx val="8"/>
          <c:order val="8"/>
          <c:tx>
            <c:strRef>
              <c:f>'Avaliação'!$G$201</c:f>
            </c:strRef>
          </c:tx>
          <c:spPr>
            <a:ln cmpd="sng">
              <a:solidFill>
                <a:srgbClr val="FCD04F"/>
              </a:solidFill>
              <a:prstDash val="dash"/>
            </a:ln>
          </c:spPr>
          <c:marker>
            <c:symbol val="none"/>
          </c:marker>
          <c:cat>
            <c:strRef>
              <c:f>'Avaliação'!$H$189:$N$189</c:f>
            </c:strRef>
          </c:cat>
          <c:val>
            <c:numRef>
              <c:f>'Avaliação'!$H$201:$N$201</c:f>
              <c:numCache/>
            </c:numRef>
          </c:val>
          <c:smooth val="0"/>
        </c:ser>
        <c:ser>
          <c:idx val="9"/>
          <c:order val="9"/>
          <c:tx>
            <c:strRef>
              <c:f>'Avaliação'!$G$202</c:f>
            </c:strRef>
          </c:tx>
          <c:spPr>
            <a:ln cmpd="sng">
              <a:solidFill>
                <a:srgbClr val="71C287"/>
              </a:solidFill>
              <a:prstDash val="dash"/>
            </a:ln>
          </c:spPr>
          <c:marker>
            <c:symbol val="none"/>
          </c:marker>
          <c:cat>
            <c:strRef>
              <c:f>'Avaliação'!$H$189:$N$189</c:f>
            </c:strRef>
          </c:cat>
          <c:val>
            <c:numRef>
              <c:f>'Avaliação'!$H$202:$N$202</c:f>
              <c:numCache/>
            </c:numRef>
          </c:val>
          <c:smooth val="0"/>
        </c:ser>
        <c:ser>
          <c:idx val="10"/>
          <c:order val="10"/>
          <c:tx>
            <c:strRef>
              <c:f>'Avaliação'!$G$203</c:f>
            </c:strRef>
          </c:tx>
          <c:spPr>
            <a:ln cmpd="sng">
              <a:solidFill>
                <a:srgbClr val="FF994D"/>
              </a:solidFill>
              <a:prstDash val="dash"/>
            </a:ln>
          </c:spPr>
          <c:marker>
            <c:symbol val="none"/>
          </c:marker>
          <c:cat>
            <c:strRef>
              <c:f>'Avaliação'!$H$189:$N$189</c:f>
            </c:strRef>
          </c:cat>
          <c:val>
            <c:numRef>
              <c:f>'Avaliação'!$H$203:$N$203</c:f>
              <c:numCache/>
            </c:numRef>
          </c:val>
          <c:smooth val="0"/>
        </c:ser>
        <c:ser>
          <c:idx val="11"/>
          <c:order val="11"/>
          <c:tx>
            <c:strRef>
              <c:f>'Avaliação'!$G$204</c:f>
            </c:strRef>
          </c:tx>
          <c:spPr>
            <a:ln cmpd="sng">
              <a:solidFill>
                <a:srgbClr val="7ED1D7"/>
              </a:solidFill>
              <a:prstDash val="dash"/>
            </a:ln>
          </c:spPr>
          <c:marker>
            <c:symbol val="none"/>
          </c:marker>
          <c:cat>
            <c:strRef>
              <c:f>'Avaliação'!$H$189:$N$189</c:f>
            </c:strRef>
          </c:cat>
          <c:val>
            <c:numRef>
              <c:f>'Avaliação'!$H$204:$N$204</c:f>
              <c:numCache/>
            </c:numRef>
          </c:val>
          <c:smooth val="0"/>
        </c:ser>
        <c:axId val="187948365"/>
        <c:axId val="216145589"/>
      </c:lineChart>
      <c:catAx>
        <c:axId val="1879483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400">
                    <a:solidFill>
                      <a:srgbClr val="000000"/>
                    </a:solidFill>
                    <a:latin typeface="+mn-lt"/>
                  </a:rPr>
                  <a:t>Years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6145589"/>
      </c:catAx>
      <c:valAx>
        <c:axId val="216145589"/>
        <c:scaling>
          <c:orientation val="minMax"/>
          <c:max val="2.5E8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400">
                    <a:solidFill>
                      <a:srgbClr val="000000"/>
                    </a:solidFill>
                    <a:latin typeface="+mn-lt"/>
                  </a:rPr>
                  <a:t>$ (x10^6)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9483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'Avaliação'!$R$187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'Avaliação'!$Q$188:$Q$199</c:f>
            </c:strRef>
          </c:cat>
          <c:val>
            <c:numRef>
              <c:f>'Avaliação'!$R$188:$R$199</c:f>
              <c:numCache/>
            </c:numRef>
          </c:val>
        </c:ser>
        <c:ser>
          <c:idx val="1"/>
          <c:order val="1"/>
          <c:tx>
            <c:strRef>
              <c:f>'Avaliação'!$S$187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'Avaliação'!$Q$188:$Q$199</c:f>
            </c:strRef>
          </c:cat>
          <c:val>
            <c:numRef>
              <c:f>'Avaliação'!$S$188:$S$199</c:f>
              <c:numCache/>
            </c:numRef>
          </c:val>
        </c:ser>
        <c:ser>
          <c:idx val="2"/>
          <c:order val="2"/>
          <c:tx>
            <c:strRef>
              <c:f>'Avaliação'!$T$187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'Avaliação'!$Q$188:$Q$199</c:f>
            </c:strRef>
          </c:cat>
          <c:val>
            <c:numRef>
              <c:f>'Avaliação'!$T$188:$T$199</c:f>
              <c:numCache/>
            </c:numRef>
          </c:val>
        </c:ser>
        <c:ser>
          <c:idx val="3"/>
          <c:order val="3"/>
          <c:tx>
            <c:strRef>
              <c:f>'Avaliação'!$U$187</c:f>
            </c:strRef>
          </c:tx>
          <c:cat>
            <c:strRef>
              <c:f>'Avaliação'!$Q$188:$Q$199</c:f>
            </c:strRef>
          </c:cat>
          <c:val>
            <c:numRef>
              <c:f>'Avaliação'!$U$188:$U$199</c:f>
              <c:numCache/>
            </c:numRef>
          </c:val>
        </c:ser>
        <c:overlap val="100"/>
        <c:axId val="967442933"/>
        <c:axId val="1141606431"/>
      </c:barChart>
      <c:catAx>
        <c:axId val="9674429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1606431"/>
      </c:catAx>
      <c:valAx>
        <c:axId val="11416064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74429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Arial"/>
              </a:defRPr>
            </a:pPr>
            <a:r>
              <a:rPr b="1" sz="1200">
                <a:solidFill>
                  <a:srgbClr val="000000"/>
                </a:solidFill>
                <a:latin typeface="Arial"/>
              </a:rPr>
              <a:t>Power requirement of Compression and Pumping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'Cópia de Custo energia compress'!$I$13:$I$15</c:f>
            </c:strRef>
          </c:tx>
          <c:spPr>
            <a:ln cmpd="sng" w="19050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'Cópia de Custo energia compress'!$H$16:$H$29</c:f>
            </c:strRef>
          </c:cat>
          <c:val>
            <c:numRef>
              <c:f>'Cópia de Custo energia compress'!$I$16:$I$29</c:f>
              <c:numCache/>
            </c:numRef>
          </c:val>
          <c:smooth val="0"/>
        </c:ser>
        <c:ser>
          <c:idx val="1"/>
          <c:order val="1"/>
          <c:tx>
            <c:strRef>
              <c:f>'Cópia de Custo energia compress'!$J$13:$J$15</c:f>
            </c:strRef>
          </c:tx>
          <c:spPr>
            <a:ln cmpd="sng" w="19050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'Cópia de Custo energia compress'!$H$16:$H$29</c:f>
            </c:strRef>
          </c:cat>
          <c:val>
            <c:numRef>
              <c:f>'Cópia de Custo energia compress'!$J$16:$J$29</c:f>
              <c:numCache/>
            </c:numRef>
          </c:val>
          <c:smooth val="0"/>
        </c:ser>
        <c:axId val="1484643620"/>
        <c:axId val="985678246"/>
      </c:lineChart>
      <c:catAx>
        <c:axId val="1484643620"/>
        <c:scaling>
          <c:orientation val="minMax"/>
          <c:max val="7000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CO2 mass flow rate [tonnes/day]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5678246"/>
      </c:catAx>
      <c:valAx>
        <c:axId val="9856782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Power [kW]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46436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+mn-lt"/>
              </a:defRPr>
            </a:pPr>
            <a:r>
              <a:rPr b="1" sz="1200">
                <a:solidFill>
                  <a:srgbClr val="000000"/>
                </a:solidFill>
                <a:latin typeface="+mn-lt"/>
              </a:rPr>
              <a:t>Power requeriment of Compression and Pumping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Compressor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7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'Cópia de Custo energia compress'!$H$35:$H$42</c:f>
            </c:strRef>
          </c:cat>
          <c:val>
            <c:numRef>
              <c:f>'Cópia de Custo energia compress'!$I$35:$I$42</c:f>
              <c:numCache/>
            </c:numRef>
          </c:val>
        </c:ser>
        <c:ser>
          <c:idx val="1"/>
          <c:order val="1"/>
          <c:tx>
            <c:v>Pump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'Cópia de Custo energia compress'!$H$35:$H$42</c:f>
            </c:strRef>
          </c:cat>
          <c:val>
            <c:numRef>
              <c:f>'Cópia de Custo energia compress'!$J$35:$J$42</c:f>
              <c:numCache/>
            </c:numRef>
          </c:val>
        </c:ser>
        <c:overlap val="100"/>
        <c:axId val="976001021"/>
        <c:axId val="1912778687"/>
      </c:barChart>
      <c:catAx>
        <c:axId val="9760010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CO2 mass flow rate [tonnes/day]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2778687"/>
      </c:catAx>
      <c:valAx>
        <c:axId val="19127786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Power [kW]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6001021"/>
      </c:valAx>
    </c:plotArea>
    <c:legend>
      <c:legendPos val="r"/>
      <c:overlay val="0"/>
      <c:txPr>
        <a:bodyPr/>
        <a:lstStyle/>
        <a:p>
          <a:pPr lvl="0">
            <a:defRPr b="0" sz="100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200">
                <a:solidFill>
                  <a:srgbClr val="000000"/>
                </a:solidFill>
                <a:latin typeface="+mn-lt"/>
              </a:defRPr>
            </a:pPr>
            <a:r>
              <a:rPr b="0" sz="1200">
                <a:solidFill>
                  <a:srgbClr val="000000"/>
                </a:solidFill>
                <a:latin typeface="+mn-lt"/>
              </a:rPr>
              <a:t>Capital Cost of Compressors e Pumps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'Cópia de Custo O&amp;M compressão'!$G$3:$G$5</c:f>
            </c:strRef>
          </c:tx>
          <c:spPr>
            <a:ln cmpd="sng" w="19050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'Cópia de Custo O&amp;M compressão'!$F$6:$F$13</c:f>
            </c:strRef>
          </c:cat>
          <c:val>
            <c:numRef>
              <c:f>'Cópia de Custo O&amp;M compressão'!$G$6:$G$13</c:f>
              <c:numCache/>
            </c:numRef>
          </c:val>
          <c:smooth val="0"/>
        </c:ser>
        <c:axId val="1117464349"/>
        <c:axId val="1291339085"/>
      </c:lineChart>
      <c:catAx>
        <c:axId val="1117464349"/>
        <c:scaling>
          <c:orientation val="minMax"/>
          <c:max val="7000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CO2 mass flow rate [tonnes/day]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1339085"/>
      </c:catAx>
      <c:valAx>
        <c:axId val="1291339085"/>
        <c:scaling>
          <c:orientation val="minMax"/>
          <c:max val="75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Compressor [$/kW]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7464349"/>
      </c:valAx>
      <c:lineChart>
        <c:varyColors val="0"/>
        <c:ser>
          <c:idx val="1"/>
          <c:order val="1"/>
          <c:tx>
            <c:strRef>
              <c:f>'Cópia de Custo O&amp;M compressão'!$H$3:$H$5</c:f>
            </c:strRef>
          </c:tx>
          <c:spPr>
            <a:ln cmpd="sng" w="19050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'Cópia de Custo O&amp;M compressão'!$F$6:$F$13</c:f>
            </c:strRef>
          </c:cat>
          <c:val>
            <c:numRef>
              <c:f>'Cópia de Custo O&amp;M compressão'!$H$6:$H$13</c:f>
              <c:numCache/>
            </c:numRef>
          </c:val>
          <c:smooth val="0"/>
        </c:ser>
        <c:axId val="110667521"/>
        <c:axId val="108750239"/>
      </c:lineChart>
      <c:catAx>
        <c:axId val="110667521"/>
        <c:scaling>
          <c:orientation val="minMax"/>
          <c:max val="70000.0"/>
        </c:scaling>
        <c:delete val="1"/>
        <c:axPos val="b"/>
        <c:numFmt formatCode="General" sourceLinked="1"/>
        <c:majorTickMark val="none"/>
        <c:minorTickMark val="none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750239"/>
      </c:catAx>
      <c:valAx>
        <c:axId val="108750239"/>
        <c:scaling>
          <c:orientation val="minMax"/>
          <c:max val="3200.0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Pump [$/kW]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66752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200">
                <a:solidFill>
                  <a:srgbClr val="000000"/>
                </a:solidFill>
                <a:latin typeface="+mn-lt"/>
              </a:defRPr>
            </a:pPr>
            <a:r>
              <a:rPr b="0" sz="1200">
                <a:solidFill>
                  <a:srgbClr val="000000"/>
                </a:solidFill>
                <a:latin typeface="+mn-lt"/>
              </a:rPr>
              <a:t>Levelized Cost of CO2 Compression and Pumping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'Cópia de Custo O&amp;M compressão'!$K$4</c:f>
            </c:strRef>
          </c:tx>
          <c:spPr>
            <a:ln cmpd="sng" w="19050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'Cópia de Custo O&amp;M compressão'!$J$5:$J$12</c:f>
            </c:strRef>
          </c:cat>
          <c:val>
            <c:numRef>
              <c:f>'Cópia de Custo O&amp;M compressão'!$K$5:$K$12</c:f>
              <c:numCache/>
            </c:numRef>
          </c:val>
          <c:smooth val="0"/>
        </c:ser>
        <c:ser>
          <c:idx val="1"/>
          <c:order val="1"/>
          <c:tx>
            <c:strRef>
              <c:f>'Cópia de Custo O&amp;M compressão'!$L$4</c:f>
            </c:strRef>
          </c:tx>
          <c:spPr>
            <a:ln cmpd="sng" w="19050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'Cópia de Custo O&amp;M compressão'!$J$5:$J$12</c:f>
            </c:strRef>
          </c:cat>
          <c:val>
            <c:numRef>
              <c:f>'Cópia de Custo O&amp;M compressão'!$L$5:$L$12</c:f>
              <c:numCache/>
            </c:numRef>
          </c:val>
          <c:smooth val="0"/>
        </c:ser>
        <c:ser>
          <c:idx val="2"/>
          <c:order val="2"/>
          <c:tx>
            <c:strRef>
              <c:f>'Cópia de Custo O&amp;M compressão'!$N$4</c:f>
            </c:strRef>
          </c:tx>
          <c:spPr>
            <a:ln cmpd="sng" w="19050">
              <a:solidFill>
                <a:srgbClr val="99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'Cópia de Custo O&amp;M compressão'!$J$5:$J$12</c:f>
            </c:strRef>
          </c:cat>
          <c:val>
            <c:numRef>
              <c:f>'Cópia de Custo O&amp;M compressão'!$N$5:$N$12</c:f>
              <c:numCache/>
            </c:numRef>
          </c:val>
          <c:smooth val="0"/>
        </c:ser>
        <c:ser>
          <c:idx val="3"/>
          <c:order val="3"/>
          <c:tx>
            <c:strRef>
              <c:f>'Cópia de Custo O&amp;M compressão'!$P$4</c:f>
            </c:strRef>
          </c:tx>
          <c:spPr>
            <a:ln cmpd="sng" w="19050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'Cópia de Custo O&amp;M compressão'!$J$5:$J$12</c:f>
            </c:strRef>
          </c:cat>
          <c:val>
            <c:numRef>
              <c:f>'Cópia de Custo O&amp;M compressão'!$P$5:$P$12</c:f>
              <c:numCache/>
            </c:numRef>
          </c:val>
          <c:smooth val="0"/>
        </c:ser>
        <c:axId val="181240156"/>
        <c:axId val="1709701891"/>
      </c:lineChart>
      <c:catAx>
        <c:axId val="181240156"/>
        <c:scaling>
          <c:orientation val="minMax"/>
          <c:max val="7000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CO2 mass flow rate [tonnes/day]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9701891"/>
      </c:catAx>
      <c:valAx>
        <c:axId val="1709701891"/>
        <c:scaling>
          <c:orientation val="minMax"/>
          <c:max val="24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$/tonnes CO2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240156"/>
        <c:majorUnit val="2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200">
                <a:solidFill>
                  <a:srgbClr val="000000"/>
                </a:solidFill>
                <a:latin typeface="+mn-lt"/>
              </a:defRPr>
            </a:pPr>
            <a:r>
              <a:rPr b="0" sz="1200">
                <a:solidFill>
                  <a:srgbClr val="000000"/>
                </a:solidFill>
                <a:latin typeface="+mn-lt"/>
              </a:rPr>
              <a:t>Component Contribution to Total Levelized Cost of CO2 Compression and Pumping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'Cópia de Custo O&amp;M compressão'!$L$4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'Cópia de Custo O&amp;M compressão'!$J$5:$J$12</c:f>
            </c:strRef>
          </c:cat>
          <c:val>
            <c:numRef>
              <c:f>'Cópia de Custo O&amp;M compressão'!$L$5:$L$12</c:f>
              <c:numCache/>
            </c:numRef>
          </c:val>
        </c:ser>
        <c:ser>
          <c:idx val="1"/>
          <c:order val="1"/>
          <c:tx>
            <c:strRef>
              <c:f>'Cópia de Custo O&amp;M compressão'!$N$4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'Cópia de Custo O&amp;M compressão'!$J$5:$J$12</c:f>
            </c:strRef>
          </c:cat>
          <c:val>
            <c:numRef>
              <c:f>'Cópia de Custo O&amp;M compressão'!$N$5:$N$12</c:f>
              <c:numCache/>
            </c:numRef>
          </c:val>
        </c:ser>
        <c:ser>
          <c:idx val="2"/>
          <c:order val="2"/>
          <c:tx>
            <c:strRef>
              <c:f>'Cópia de Custo O&amp;M compressão'!$P$4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'Cópia de Custo O&amp;M compressão'!$J$5:$J$12</c:f>
            </c:strRef>
          </c:cat>
          <c:val>
            <c:numRef>
              <c:f>'Cópia de Custo O&amp;M compressão'!$P$5:$P$12</c:f>
              <c:numCache/>
            </c:numRef>
          </c:val>
        </c:ser>
        <c:overlap val="100"/>
        <c:axId val="366924233"/>
        <c:axId val="1026014133"/>
      </c:barChart>
      <c:catAx>
        <c:axId val="366924233"/>
        <c:scaling>
          <c:orientation val="minMax"/>
          <c:max val="7000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CO2 mass flow rate [tonnes/day]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6014133"/>
      </c:catAx>
      <c:valAx>
        <c:axId val="1026014133"/>
        <c:scaling>
          <c:orientation val="minMax"/>
          <c:max val="24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$/tonnes CO2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6924233"/>
        <c:majorUnit val="2.0"/>
        <c:minorUnit val="0.66666666666666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+mn-lt"/>
              </a:defRPr>
            </a:pPr>
            <a:r>
              <a:rPr b="1" sz="1200">
                <a:solidFill>
                  <a:srgbClr val="000000"/>
                </a:solidFill>
                <a:latin typeface="+mn-lt"/>
              </a:rPr>
              <a:t>Component Contribution to Annual Cost of CO2 Compression and Pumping</a:t>
            </a:r>
          </a:p>
        </c:rich>
      </c:tx>
      <c:layout>
        <c:manualLayout>
          <c:xMode val="edge"/>
          <c:yMode val="edge"/>
          <c:x val="0.03310708898944194"/>
          <c:y val="0.05227790432801823"/>
        </c:manualLayout>
      </c:layout>
      <c:overlay val="0"/>
    </c:title>
    <c:plotArea>
      <c:layout>
        <c:manualLayout>
          <c:xMode val="edge"/>
          <c:yMode val="edge"/>
          <c:x val="0.14102408854166668"/>
          <c:y val="0.19752920035938903"/>
          <c:w val="0.8280592447916667"/>
          <c:h val="0.7039532794249774"/>
        </c:manualLayout>
      </c:layout>
      <c:barChart>
        <c:barDir val="col"/>
        <c:grouping val="stacked"/>
        <c:ser>
          <c:idx val="0"/>
          <c:order val="0"/>
          <c:tx>
            <c:strRef>
              <c:f>'Cópia de Custo O&amp;M compressão'!$M$3:$M$4</c:f>
            </c:strRef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dLbls>
            <c:numFmt formatCode="0.00E+0" sourceLinked="0"/>
            <c:txPr>
              <a:bodyPr/>
              <a:lstStyle/>
              <a:p>
                <a:pPr lvl="0">
                  <a:defRPr sz="9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'Cópia de Custo O&amp;M compressão'!$J$5:$J$12</c:f>
            </c:strRef>
          </c:cat>
          <c:val>
            <c:numRef>
              <c:f>'Cópia de Custo O&amp;M compressão'!$M$5:$M$12</c:f>
              <c:numCache/>
            </c:numRef>
          </c:val>
        </c:ser>
        <c:ser>
          <c:idx val="1"/>
          <c:order val="1"/>
          <c:tx>
            <c:strRef>
              <c:f>'Cópia de Custo O&amp;M compressão'!$O$3:$O$4</c:f>
            </c:strRef>
          </c:tx>
          <c:spPr>
            <a:solidFill>
              <a:srgbClr val="990000"/>
            </a:solidFill>
            <a:ln cmpd="sng">
              <a:solidFill>
                <a:srgbClr val="000000"/>
              </a:solidFill>
            </a:ln>
          </c:spPr>
          <c:dPt>
            <c:idx val="6"/>
          </c:dPt>
          <c:dPt>
            <c:idx val="7"/>
          </c:dPt>
          <c:dLbls>
            <c:numFmt formatCode="0.00E+0" sourceLinked="0"/>
            <c:txPr>
              <a:bodyPr/>
              <a:lstStyle/>
              <a:p>
                <a:pPr lvl="0">
                  <a:defRPr sz="9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'Cópia de Custo O&amp;M compressão'!$J$5:$J$12</c:f>
            </c:strRef>
          </c:cat>
          <c:val>
            <c:numRef>
              <c:f>'Cópia de Custo O&amp;M compressão'!$O$5:$O$12</c:f>
              <c:numCache/>
            </c:numRef>
          </c:val>
        </c:ser>
        <c:ser>
          <c:idx val="2"/>
          <c:order val="2"/>
          <c:tx>
            <c:strRef>
              <c:f>'Cópia de Custo O&amp;M compressão'!$Q$3:$Q$4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0.00E+0" sourceLinked="0"/>
            <c:txPr>
              <a:bodyPr/>
              <a:lstStyle/>
              <a:p>
                <a:pPr lvl="0">
                  <a:defRPr sz="90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'Cópia de Custo O&amp;M compressão'!$J$5:$J$12</c:f>
            </c:strRef>
          </c:cat>
          <c:val>
            <c:numRef>
              <c:f>'Cópia de Custo O&amp;M compressão'!$Q$5:$Q$12</c:f>
              <c:numCache/>
            </c:numRef>
          </c:val>
        </c:ser>
        <c:overlap val="100"/>
        <c:axId val="1495390841"/>
        <c:axId val="1515822570"/>
      </c:barChart>
      <c:catAx>
        <c:axId val="14953908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CO2 mass flow rate [tonnes/day]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5822570"/>
      </c:catAx>
      <c:valAx>
        <c:axId val="1515822570"/>
        <c:scaling>
          <c:orientation val="minMax"/>
          <c:max val="2.0E8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$ [x10^6]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5390841"/>
      </c:valAx>
    </c:plotArea>
    <c:legend>
      <c:legendPos val="r"/>
      <c:layout>
        <c:manualLayout>
          <c:xMode val="edge"/>
          <c:yMode val="edge"/>
          <c:x val="0.2687679036458334"/>
          <c:y val="0.1183737646001797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000000"/>
                </a:solidFill>
                <a:latin typeface="+mn-lt"/>
              </a:defRPr>
            </a:pPr>
            <a:r>
              <a:rPr b="0" sz="1400">
                <a:solidFill>
                  <a:srgbClr val="000000"/>
                </a:solidFill>
                <a:latin typeface="+mn-lt"/>
              </a:rPr>
              <a:t>Capital Cost of Compression and Pumping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'Cópia de Custo O&amp;M compressão'!$G$3:$G$5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'Cópia de Custo O&amp;M compressão'!$F$6:$F$13</c:f>
            </c:strRef>
          </c:cat>
          <c:val>
            <c:numRef>
              <c:f>'Cópia de Custo O&amp;M compressão'!$G$6:$G$13</c:f>
              <c:numCache/>
            </c:numRef>
          </c:val>
        </c:ser>
        <c:ser>
          <c:idx val="1"/>
          <c:order val="1"/>
          <c:tx>
            <c:strRef>
              <c:f>'Cópia de Custo O&amp;M compressão'!$H$3:$H$5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'Cópia de Custo O&amp;M compressão'!$F$6:$F$13</c:f>
            </c:strRef>
          </c:cat>
          <c:val>
            <c:numRef>
              <c:f>'Cópia de Custo O&amp;M compressão'!$H$6:$H$13</c:f>
              <c:numCache/>
            </c:numRef>
          </c:val>
        </c:ser>
        <c:overlap val="100"/>
        <c:axId val="702475052"/>
        <c:axId val="309869411"/>
      </c:barChart>
      <c:catAx>
        <c:axId val="7024750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CO2 mass flow rate [tonnes/day]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9869411"/>
      </c:catAx>
      <c:valAx>
        <c:axId val="309869411"/>
        <c:scaling>
          <c:orientation val="minMax"/>
          <c:max val="11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[$/kW]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2475052"/>
        <c:majorUnit val="1000.0"/>
        <c:minorUnit val="1000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000000"/>
                </a:solidFill>
                <a:latin typeface="+mn-lt"/>
              </a:defRPr>
            </a:pPr>
            <a:r>
              <a:rPr b="1" sz="1400">
                <a:solidFill>
                  <a:srgbClr val="000000"/>
                </a:solidFill>
                <a:latin typeface="+mn-lt"/>
              </a:rPr>
              <a:t>Power Requirement of Compression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'Avaliação Forecast 14_08'!$G$48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'Avaliação Forecast 14_08'!$H$47:$M$47</c:f>
            </c:strRef>
          </c:cat>
          <c:val>
            <c:numRef>
              <c:f>'Avaliação Forecast 14_08'!$H$48:$M$48</c:f>
              <c:numCache/>
            </c:numRef>
          </c:val>
          <c:smooth val="0"/>
        </c:ser>
        <c:ser>
          <c:idx val="1"/>
          <c:order val="1"/>
          <c:tx>
            <c:strRef>
              <c:f>'Avaliação Forecast 14_08'!$G$49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'Avaliação Forecast 14_08'!$H$47:$M$47</c:f>
            </c:strRef>
          </c:cat>
          <c:val>
            <c:numRef>
              <c:f>'Avaliação Forecast 14_08'!$H$49:$M$49</c:f>
              <c:numCache/>
            </c:numRef>
          </c:val>
          <c:smooth val="0"/>
        </c:ser>
        <c:ser>
          <c:idx val="2"/>
          <c:order val="2"/>
          <c:tx>
            <c:strRef>
              <c:f>'Avaliação Forecast 14_08'!$G$50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'Avaliação Forecast 14_08'!$H$47:$M$47</c:f>
            </c:strRef>
          </c:cat>
          <c:val>
            <c:numRef>
              <c:f>'Avaliação Forecast 14_08'!$H$50:$M$50</c:f>
              <c:numCache/>
            </c:numRef>
          </c:val>
          <c:smooth val="0"/>
        </c:ser>
        <c:ser>
          <c:idx val="3"/>
          <c:order val="3"/>
          <c:tx>
            <c:strRef>
              <c:f>'Avaliação Forecast 14_08'!$G$51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'Avaliação Forecast 14_08'!$H$47:$M$47</c:f>
            </c:strRef>
          </c:cat>
          <c:val>
            <c:numRef>
              <c:f>'Avaliação Forecast 14_08'!$H$51:$M$51</c:f>
              <c:numCache/>
            </c:numRef>
          </c:val>
          <c:smooth val="0"/>
        </c:ser>
        <c:ser>
          <c:idx val="4"/>
          <c:order val="4"/>
          <c:tx>
            <c:strRef>
              <c:f>'Avaliação Forecast 14_08'!$G$52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'Avaliação Forecast 14_08'!$H$47:$M$47</c:f>
            </c:strRef>
          </c:cat>
          <c:val>
            <c:numRef>
              <c:f>'Avaliação Forecast 14_08'!$H$52:$M$52</c:f>
              <c:numCache/>
            </c:numRef>
          </c:val>
          <c:smooth val="0"/>
        </c:ser>
        <c:ser>
          <c:idx val="5"/>
          <c:order val="5"/>
          <c:tx>
            <c:strRef>
              <c:f>'Avaliação Forecast 14_08'!$G$53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'Avaliação Forecast 14_08'!$H$47:$M$47</c:f>
            </c:strRef>
          </c:cat>
          <c:val>
            <c:numRef>
              <c:f>'Avaliação Forecast 14_08'!$H$53:$M$53</c:f>
              <c:numCache/>
            </c:numRef>
          </c:val>
          <c:smooth val="0"/>
        </c:ser>
        <c:ser>
          <c:idx val="6"/>
          <c:order val="6"/>
          <c:tx>
            <c:strRef>
              <c:f>'Avaliação Forecast 14_08'!$G$57</c:f>
            </c:strRef>
          </c:tx>
          <c:spPr>
            <a:ln cmpd="sng">
              <a:solidFill>
                <a:srgbClr val="7BAAF7"/>
              </a:solidFill>
              <a:prstDash val="dash"/>
            </a:ln>
          </c:spPr>
          <c:marker>
            <c:symbol val="none"/>
          </c:marker>
          <c:cat>
            <c:strRef>
              <c:f>'Avaliação Forecast 14_08'!$H$47:$M$47</c:f>
            </c:strRef>
          </c:cat>
          <c:val>
            <c:numRef>
              <c:f>'Avaliação Forecast 14_08'!$H$57:$M$57</c:f>
              <c:numCache/>
            </c:numRef>
          </c:val>
          <c:smooth val="0"/>
        </c:ser>
        <c:ser>
          <c:idx val="7"/>
          <c:order val="7"/>
          <c:tx>
            <c:strRef>
              <c:f>'Avaliação Forecast 14_08'!$G$58</c:f>
            </c:strRef>
          </c:tx>
          <c:spPr>
            <a:ln cmpd="sng">
              <a:solidFill>
                <a:srgbClr val="F07B72"/>
              </a:solidFill>
              <a:prstDash val="dash"/>
            </a:ln>
          </c:spPr>
          <c:marker>
            <c:symbol val="none"/>
          </c:marker>
          <c:cat>
            <c:strRef>
              <c:f>'Avaliação Forecast 14_08'!$H$47:$M$47</c:f>
            </c:strRef>
          </c:cat>
          <c:val>
            <c:numRef>
              <c:f>'Avaliação Forecast 14_08'!$H$58:$M$58</c:f>
              <c:numCache/>
            </c:numRef>
          </c:val>
          <c:smooth val="0"/>
        </c:ser>
        <c:ser>
          <c:idx val="8"/>
          <c:order val="8"/>
          <c:tx>
            <c:strRef>
              <c:f>'Avaliação Forecast 14_08'!$G$59</c:f>
            </c:strRef>
          </c:tx>
          <c:spPr>
            <a:ln cmpd="sng">
              <a:solidFill>
                <a:srgbClr val="FCD04F"/>
              </a:solidFill>
              <a:prstDash val="dash"/>
            </a:ln>
          </c:spPr>
          <c:marker>
            <c:symbol val="none"/>
          </c:marker>
          <c:cat>
            <c:strRef>
              <c:f>'Avaliação Forecast 14_08'!$H$47:$M$47</c:f>
            </c:strRef>
          </c:cat>
          <c:val>
            <c:numRef>
              <c:f>'Avaliação Forecast 14_08'!$H$59:$M$59</c:f>
              <c:numCache/>
            </c:numRef>
          </c:val>
          <c:smooth val="0"/>
        </c:ser>
        <c:ser>
          <c:idx val="9"/>
          <c:order val="9"/>
          <c:tx>
            <c:strRef>
              <c:f>'Avaliação Forecast 14_08'!$G$60</c:f>
            </c:strRef>
          </c:tx>
          <c:spPr>
            <a:ln cmpd="sng">
              <a:solidFill>
                <a:srgbClr val="71C287"/>
              </a:solidFill>
              <a:prstDash val="dash"/>
            </a:ln>
          </c:spPr>
          <c:marker>
            <c:symbol val="none"/>
          </c:marker>
          <c:cat>
            <c:strRef>
              <c:f>'Avaliação Forecast 14_08'!$H$47:$M$47</c:f>
            </c:strRef>
          </c:cat>
          <c:val>
            <c:numRef>
              <c:f>'Avaliação Forecast 14_08'!$H$60:$M$60</c:f>
              <c:numCache/>
            </c:numRef>
          </c:val>
          <c:smooth val="0"/>
        </c:ser>
        <c:ser>
          <c:idx val="10"/>
          <c:order val="10"/>
          <c:tx>
            <c:strRef>
              <c:f>'Avaliação Forecast 14_08'!$G$61</c:f>
            </c:strRef>
          </c:tx>
          <c:spPr>
            <a:ln cmpd="sng">
              <a:solidFill>
                <a:srgbClr val="FF994D"/>
              </a:solidFill>
              <a:prstDash val="dash"/>
            </a:ln>
          </c:spPr>
          <c:marker>
            <c:symbol val="none"/>
          </c:marker>
          <c:cat>
            <c:strRef>
              <c:f>'Avaliação Forecast 14_08'!$H$47:$M$47</c:f>
            </c:strRef>
          </c:cat>
          <c:val>
            <c:numRef>
              <c:f>'Avaliação Forecast 14_08'!$H$61:$M$61</c:f>
              <c:numCache/>
            </c:numRef>
          </c:val>
          <c:smooth val="0"/>
        </c:ser>
        <c:ser>
          <c:idx val="11"/>
          <c:order val="11"/>
          <c:tx>
            <c:strRef>
              <c:f>'Avaliação Forecast 14_08'!$G$62</c:f>
            </c:strRef>
          </c:tx>
          <c:spPr>
            <a:ln cmpd="sng">
              <a:solidFill>
                <a:srgbClr val="7ED1D7"/>
              </a:solidFill>
              <a:prstDash val="dash"/>
            </a:ln>
          </c:spPr>
          <c:marker>
            <c:symbol val="none"/>
          </c:marker>
          <c:cat>
            <c:strRef>
              <c:f>'Avaliação Forecast 14_08'!$H$47:$M$47</c:f>
            </c:strRef>
          </c:cat>
          <c:val>
            <c:numRef>
              <c:f>'Avaliação Forecast 14_08'!$H$62:$M$62</c:f>
              <c:numCache/>
            </c:numRef>
          </c:val>
          <c:smooth val="0"/>
        </c:ser>
        <c:axId val="1595986603"/>
        <c:axId val="126623053"/>
      </c:lineChart>
      <c:catAx>
        <c:axId val="15959866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Years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623053"/>
      </c:catAx>
      <c:valAx>
        <c:axId val="126623053"/>
        <c:scaling>
          <c:orientation val="minMax"/>
          <c:max val="30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Power [kW]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59866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+mn-lt"/>
              </a:defRPr>
            </a:pPr>
            <a:r>
              <a:rPr b="1" sz="1200">
                <a:solidFill>
                  <a:srgbClr val="000000"/>
                </a:solidFill>
                <a:latin typeface="+mn-lt"/>
              </a:rPr>
              <a:t>Power requeriment of Compression and Pumping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Compressor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7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'Custo energia compressão'!$H$35:$H$42</c:f>
            </c:strRef>
          </c:cat>
          <c:val>
            <c:numRef>
              <c:f>'Custo energia compressão'!$I$35:$I$42</c:f>
              <c:numCache/>
            </c:numRef>
          </c:val>
        </c:ser>
        <c:ser>
          <c:idx val="1"/>
          <c:order val="1"/>
          <c:tx>
            <c:v>Pump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'Custo energia compressão'!$H$35:$H$42</c:f>
            </c:strRef>
          </c:cat>
          <c:val>
            <c:numRef>
              <c:f>'Custo energia compressão'!$J$35:$J$42</c:f>
              <c:numCache/>
            </c:numRef>
          </c:val>
        </c:ser>
        <c:overlap val="100"/>
        <c:axId val="1081562837"/>
        <c:axId val="797784152"/>
      </c:barChart>
      <c:catAx>
        <c:axId val="10815628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CO2 mass flow rate [tonnes/day]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7784152"/>
      </c:catAx>
      <c:valAx>
        <c:axId val="7977841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Power [kW]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1562837"/>
      </c:valAx>
    </c:plotArea>
    <c:legend>
      <c:legendPos val="r"/>
      <c:overlay val="0"/>
      <c:txPr>
        <a:bodyPr/>
        <a:lstStyle/>
        <a:p>
          <a:pPr lvl="0">
            <a:defRPr b="0" sz="100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000000"/>
                </a:solidFill>
                <a:latin typeface="+mn-lt"/>
              </a:defRPr>
            </a:pPr>
            <a:r>
              <a:rPr b="1" sz="1400">
                <a:solidFill>
                  <a:srgbClr val="000000"/>
                </a:solidFill>
                <a:latin typeface="+mn-lt"/>
              </a:rPr>
              <a:t>Capital Cost of Compression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'Avaliação Forecast 14_08'!$G$120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'Avaliação Forecast 14_08'!$H$47:$M$47</c:f>
            </c:strRef>
          </c:cat>
          <c:val>
            <c:numRef>
              <c:f>'Avaliação Forecast 14_08'!$H$120:$M$120</c:f>
              <c:numCache/>
            </c:numRef>
          </c:val>
          <c:smooth val="0"/>
        </c:ser>
        <c:ser>
          <c:idx val="1"/>
          <c:order val="1"/>
          <c:tx>
            <c:strRef>
              <c:f>'Avaliação Forecast 14_08'!$G$121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'Avaliação Forecast 14_08'!$H$47:$M$47</c:f>
            </c:strRef>
          </c:cat>
          <c:val>
            <c:numRef>
              <c:f>'Avaliação Forecast 14_08'!$H$121:$M$121</c:f>
              <c:numCache/>
            </c:numRef>
          </c:val>
          <c:smooth val="0"/>
        </c:ser>
        <c:ser>
          <c:idx val="2"/>
          <c:order val="2"/>
          <c:tx>
            <c:strRef>
              <c:f>'Avaliação Forecast 14_08'!$G$122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'Avaliação Forecast 14_08'!$H$47:$M$47</c:f>
            </c:strRef>
          </c:cat>
          <c:val>
            <c:numRef>
              <c:f>'Avaliação Forecast 14_08'!$H$122:$M$122</c:f>
              <c:numCache/>
            </c:numRef>
          </c:val>
          <c:smooth val="0"/>
        </c:ser>
        <c:ser>
          <c:idx val="3"/>
          <c:order val="3"/>
          <c:tx>
            <c:strRef>
              <c:f>'Avaliação Forecast 14_08'!$G$123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'Avaliação Forecast 14_08'!$H$47:$M$47</c:f>
            </c:strRef>
          </c:cat>
          <c:val>
            <c:numRef>
              <c:f>'Avaliação Forecast 14_08'!$H$123:$M$123</c:f>
              <c:numCache/>
            </c:numRef>
          </c:val>
          <c:smooth val="0"/>
        </c:ser>
        <c:ser>
          <c:idx val="4"/>
          <c:order val="4"/>
          <c:tx>
            <c:strRef>
              <c:f>'Avaliação Forecast 14_08'!$G$124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'Avaliação Forecast 14_08'!$H$47:$M$47</c:f>
            </c:strRef>
          </c:cat>
          <c:val>
            <c:numRef>
              <c:f>'Avaliação Forecast 14_08'!$H$124:$M$124</c:f>
              <c:numCache/>
            </c:numRef>
          </c:val>
          <c:smooth val="0"/>
        </c:ser>
        <c:ser>
          <c:idx val="5"/>
          <c:order val="5"/>
          <c:tx>
            <c:strRef>
              <c:f>'Avaliação Forecast 14_08'!$G$125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'Avaliação Forecast 14_08'!$H$47:$M$47</c:f>
            </c:strRef>
          </c:cat>
          <c:val>
            <c:numRef>
              <c:f>'Avaliação Forecast 14_08'!$H$125:$M$125</c:f>
              <c:numCache/>
            </c:numRef>
          </c:val>
          <c:smooth val="0"/>
        </c:ser>
        <c:ser>
          <c:idx val="6"/>
          <c:order val="6"/>
          <c:tx>
            <c:strRef>
              <c:f>'Avaliação Forecast 14_08'!$G$129</c:f>
            </c:strRef>
          </c:tx>
          <c:spPr>
            <a:ln cmpd="sng">
              <a:solidFill>
                <a:srgbClr val="7BAAF7"/>
              </a:solidFill>
              <a:prstDash val="dash"/>
            </a:ln>
          </c:spPr>
          <c:marker>
            <c:symbol val="none"/>
          </c:marker>
          <c:cat>
            <c:strRef>
              <c:f>'Avaliação Forecast 14_08'!$H$47:$M$47</c:f>
            </c:strRef>
          </c:cat>
          <c:val>
            <c:numRef>
              <c:f>'Avaliação Forecast 14_08'!$H$129:$M$129</c:f>
              <c:numCache/>
            </c:numRef>
          </c:val>
          <c:smooth val="0"/>
        </c:ser>
        <c:ser>
          <c:idx val="7"/>
          <c:order val="7"/>
          <c:tx>
            <c:strRef>
              <c:f>'Avaliação Forecast 14_08'!$G$130</c:f>
            </c:strRef>
          </c:tx>
          <c:spPr>
            <a:ln cmpd="sng">
              <a:solidFill>
                <a:srgbClr val="F07B72"/>
              </a:solidFill>
              <a:prstDash val="dash"/>
            </a:ln>
          </c:spPr>
          <c:marker>
            <c:symbol val="none"/>
          </c:marker>
          <c:cat>
            <c:strRef>
              <c:f>'Avaliação Forecast 14_08'!$H$47:$M$47</c:f>
            </c:strRef>
          </c:cat>
          <c:val>
            <c:numRef>
              <c:f>'Avaliação Forecast 14_08'!$H$130:$M$130</c:f>
              <c:numCache/>
            </c:numRef>
          </c:val>
          <c:smooth val="0"/>
        </c:ser>
        <c:ser>
          <c:idx val="8"/>
          <c:order val="8"/>
          <c:tx>
            <c:strRef>
              <c:f>'Avaliação Forecast 14_08'!$G$131</c:f>
            </c:strRef>
          </c:tx>
          <c:spPr>
            <a:ln cmpd="sng">
              <a:solidFill>
                <a:srgbClr val="FCD04F"/>
              </a:solidFill>
              <a:prstDash val="dash"/>
            </a:ln>
          </c:spPr>
          <c:marker>
            <c:symbol val="none"/>
          </c:marker>
          <c:cat>
            <c:strRef>
              <c:f>'Avaliação Forecast 14_08'!$H$47:$M$47</c:f>
            </c:strRef>
          </c:cat>
          <c:val>
            <c:numRef>
              <c:f>'Avaliação Forecast 14_08'!$H$131:$M$131</c:f>
              <c:numCache/>
            </c:numRef>
          </c:val>
          <c:smooth val="0"/>
        </c:ser>
        <c:ser>
          <c:idx val="9"/>
          <c:order val="9"/>
          <c:tx>
            <c:strRef>
              <c:f>'Avaliação Forecast 14_08'!$G$132</c:f>
            </c:strRef>
          </c:tx>
          <c:spPr>
            <a:ln cmpd="sng">
              <a:solidFill>
                <a:srgbClr val="71C287"/>
              </a:solidFill>
              <a:prstDash val="dash"/>
            </a:ln>
          </c:spPr>
          <c:marker>
            <c:symbol val="none"/>
          </c:marker>
          <c:cat>
            <c:strRef>
              <c:f>'Avaliação Forecast 14_08'!$H$47:$M$47</c:f>
            </c:strRef>
          </c:cat>
          <c:val>
            <c:numRef>
              <c:f>'Avaliação Forecast 14_08'!$H$132:$M$132</c:f>
              <c:numCache/>
            </c:numRef>
          </c:val>
          <c:smooth val="0"/>
        </c:ser>
        <c:ser>
          <c:idx val="10"/>
          <c:order val="10"/>
          <c:tx>
            <c:strRef>
              <c:f>'Avaliação Forecast 14_08'!$G$133</c:f>
            </c:strRef>
          </c:tx>
          <c:spPr>
            <a:ln cmpd="sng">
              <a:solidFill>
                <a:srgbClr val="FF994D"/>
              </a:solidFill>
              <a:prstDash val="dash"/>
            </a:ln>
          </c:spPr>
          <c:marker>
            <c:symbol val="none"/>
          </c:marker>
          <c:cat>
            <c:strRef>
              <c:f>'Avaliação Forecast 14_08'!$H$47:$M$47</c:f>
            </c:strRef>
          </c:cat>
          <c:val>
            <c:numRef>
              <c:f>'Avaliação Forecast 14_08'!$H$133:$M$133</c:f>
              <c:numCache/>
            </c:numRef>
          </c:val>
          <c:smooth val="0"/>
        </c:ser>
        <c:ser>
          <c:idx val="11"/>
          <c:order val="11"/>
          <c:tx>
            <c:strRef>
              <c:f>'Avaliação Forecast 14_08'!$G$134</c:f>
            </c:strRef>
          </c:tx>
          <c:spPr>
            <a:ln cmpd="sng">
              <a:solidFill>
                <a:srgbClr val="7ED1D7"/>
              </a:solidFill>
              <a:prstDash val="dash"/>
            </a:ln>
          </c:spPr>
          <c:marker>
            <c:symbol val="none"/>
          </c:marker>
          <c:cat>
            <c:strRef>
              <c:f>'Avaliação Forecast 14_08'!$H$47:$M$47</c:f>
            </c:strRef>
          </c:cat>
          <c:val>
            <c:numRef>
              <c:f>'Avaliação Forecast 14_08'!$H$134:$M$134</c:f>
              <c:numCache/>
            </c:numRef>
          </c:val>
          <c:smooth val="0"/>
        </c:ser>
        <c:axId val="252391892"/>
        <c:axId val="2063208979"/>
      </c:lineChart>
      <c:catAx>
        <c:axId val="2523918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Years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3208979"/>
      </c:catAx>
      <c:valAx>
        <c:axId val="2063208979"/>
        <c:scaling>
          <c:orientation val="minMax"/>
          <c:max val="47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[$/kW]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2391892"/>
        <c:majorUnit val="200.0"/>
        <c:minorUnit val="18.181818181818183"/>
      </c:valAx>
    </c:plotArea>
    <c:legend>
      <c:legendPos val="r"/>
      <c:layout>
        <c:manualLayout>
          <c:xMode val="edge"/>
          <c:yMode val="edge"/>
          <c:x val="0.7754563506861576"/>
          <c:y val="0.10741037988229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000000"/>
                </a:solidFill>
                <a:latin typeface="+mn-lt"/>
              </a:defRPr>
            </a:pPr>
            <a:r>
              <a:rPr b="1" sz="1400">
                <a:solidFill>
                  <a:srgbClr val="000000"/>
                </a:solidFill>
                <a:latin typeface="+mn-lt"/>
              </a:rPr>
              <a:t>Annual Cost of Compression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'Avaliação Forecast 14_08'!$G$190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'Avaliação Forecast 14_08'!$H$189:$M$189</c:f>
            </c:strRef>
          </c:cat>
          <c:val>
            <c:numRef>
              <c:f>'Avaliação Forecast 14_08'!$H$190:$M$190</c:f>
              <c:numCache/>
            </c:numRef>
          </c:val>
          <c:smooth val="0"/>
        </c:ser>
        <c:ser>
          <c:idx val="1"/>
          <c:order val="1"/>
          <c:tx>
            <c:strRef>
              <c:f>'Avaliação Forecast 14_08'!$G$191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'Avaliação Forecast 14_08'!$H$189:$M$189</c:f>
            </c:strRef>
          </c:cat>
          <c:val>
            <c:numRef>
              <c:f>'Avaliação Forecast 14_08'!$H$191:$M$191</c:f>
              <c:numCache/>
            </c:numRef>
          </c:val>
          <c:smooth val="0"/>
        </c:ser>
        <c:ser>
          <c:idx val="2"/>
          <c:order val="2"/>
          <c:tx>
            <c:strRef>
              <c:f>'Avaliação Forecast 14_08'!$G$192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'Avaliação Forecast 14_08'!$H$189:$M$189</c:f>
            </c:strRef>
          </c:cat>
          <c:val>
            <c:numRef>
              <c:f>'Avaliação Forecast 14_08'!$H$192:$M$192</c:f>
              <c:numCache/>
            </c:numRef>
          </c:val>
          <c:smooth val="0"/>
        </c:ser>
        <c:ser>
          <c:idx val="3"/>
          <c:order val="3"/>
          <c:tx>
            <c:strRef>
              <c:f>'Avaliação Forecast 14_08'!$G$193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'Avaliação Forecast 14_08'!$H$189:$M$189</c:f>
            </c:strRef>
          </c:cat>
          <c:val>
            <c:numRef>
              <c:f>'Avaliação Forecast 14_08'!$H$193:$M$193</c:f>
              <c:numCache/>
            </c:numRef>
          </c:val>
          <c:smooth val="0"/>
        </c:ser>
        <c:ser>
          <c:idx val="4"/>
          <c:order val="4"/>
          <c:tx>
            <c:strRef>
              <c:f>'Avaliação Forecast 14_08'!$G$194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'Avaliação Forecast 14_08'!$H$189:$M$189</c:f>
            </c:strRef>
          </c:cat>
          <c:val>
            <c:numRef>
              <c:f>'Avaliação Forecast 14_08'!$H$194:$M$194</c:f>
              <c:numCache/>
            </c:numRef>
          </c:val>
          <c:smooth val="0"/>
        </c:ser>
        <c:ser>
          <c:idx val="5"/>
          <c:order val="5"/>
          <c:tx>
            <c:strRef>
              <c:f>'Avaliação Forecast 14_08'!$G$195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'Avaliação Forecast 14_08'!$H$189:$M$189</c:f>
            </c:strRef>
          </c:cat>
          <c:val>
            <c:numRef>
              <c:f>'Avaliação Forecast 14_08'!$H$195:$M$195</c:f>
              <c:numCache/>
            </c:numRef>
          </c:val>
          <c:smooth val="0"/>
        </c:ser>
        <c:ser>
          <c:idx val="6"/>
          <c:order val="6"/>
          <c:tx>
            <c:strRef>
              <c:f>'Avaliação Forecast 14_08'!$G$199</c:f>
            </c:strRef>
          </c:tx>
          <c:spPr>
            <a:ln cmpd="sng">
              <a:solidFill>
                <a:srgbClr val="7BAAF7"/>
              </a:solidFill>
              <a:prstDash val="dash"/>
            </a:ln>
          </c:spPr>
          <c:marker>
            <c:symbol val="none"/>
          </c:marker>
          <c:cat>
            <c:strRef>
              <c:f>'Avaliação Forecast 14_08'!$H$189:$M$189</c:f>
            </c:strRef>
          </c:cat>
          <c:val>
            <c:numRef>
              <c:f>'Avaliação Forecast 14_08'!$H$199:$M$199</c:f>
              <c:numCache/>
            </c:numRef>
          </c:val>
          <c:smooth val="0"/>
        </c:ser>
        <c:ser>
          <c:idx val="7"/>
          <c:order val="7"/>
          <c:tx>
            <c:strRef>
              <c:f>'Avaliação Forecast 14_08'!$G$200</c:f>
            </c:strRef>
          </c:tx>
          <c:spPr>
            <a:ln cmpd="sng">
              <a:solidFill>
                <a:srgbClr val="F07B72"/>
              </a:solidFill>
              <a:prstDash val="dash"/>
            </a:ln>
          </c:spPr>
          <c:marker>
            <c:symbol val="none"/>
          </c:marker>
          <c:cat>
            <c:strRef>
              <c:f>'Avaliação Forecast 14_08'!$H$189:$M$189</c:f>
            </c:strRef>
          </c:cat>
          <c:val>
            <c:numRef>
              <c:f>'Avaliação Forecast 14_08'!$H$200:$M$200</c:f>
              <c:numCache/>
            </c:numRef>
          </c:val>
          <c:smooth val="0"/>
        </c:ser>
        <c:ser>
          <c:idx val="8"/>
          <c:order val="8"/>
          <c:tx>
            <c:strRef>
              <c:f>'Avaliação Forecast 14_08'!$G$201</c:f>
            </c:strRef>
          </c:tx>
          <c:spPr>
            <a:ln cmpd="sng">
              <a:solidFill>
                <a:srgbClr val="FCD04F"/>
              </a:solidFill>
              <a:prstDash val="dash"/>
            </a:ln>
          </c:spPr>
          <c:marker>
            <c:symbol val="none"/>
          </c:marker>
          <c:cat>
            <c:strRef>
              <c:f>'Avaliação Forecast 14_08'!$H$189:$M$189</c:f>
            </c:strRef>
          </c:cat>
          <c:val>
            <c:numRef>
              <c:f>'Avaliação Forecast 14_08'!$H$201:$M$201</c:f>
              <c:numCache/>
            </c:numRef>
          </c:val>
          <c:smooth val="0"/>
        </c:ser>
        <c:ser>
          <c:idx val="9"/>
          <c:order val="9"/>
          <c:tx>
            <c:strRef>
              <c:f>'Avaliação Forecast 14_08'!$G$202</c:f>
            </c:strRef>
          </c:tx>
          <c:spPr>
            <a:ln cmpd="sng">
              <a:solidFill>
                <a:srgbClr val="71C287"/>
              </a:solidFill>
              <a:prstDash val="dash"/>
            </a:ln>
          </c:spPr>
          <c:marker>
            <c:symbol val="none"/>
          </c:marker>
          <c:cat>
            <c:strRef>
              <c:f>'Avaliação Forecast 14_08'!$H$189:$M$189</c:f>
            </c:strRef>
          </c:cat>
          <c:val>
            <c:numRef>
              <c:f>'Avaliação Forecast 14_08'!$H$202:$M$202</c:f>
              <c:numCache/>
            </c:numRef>
          </c:val>
          <c:smooth val="0"/>
        </c:ser>
        <c:ser>
          <c:idx val="10"/>
          <c:order val="10"/>
          <c:tx>
            <c:strRef>
              <c:f>'Avaliação Forecast 14_08'!$G$203</c:f>
            </c:strRef>
          </c:tx>
          <c:spPr>
            <a:ln cmpd="sng">
              <a:solidFill>
                <a:srgbClr val="FF994D"/>
              </a:solidFill>
              <a:prstDash val="dash"/>
            </a:ln>
          </c:spPr>
          <c:marker>
            <c:symbol val="none"/>
          </c:marker>
          <c:cat>
            <c:strRef>
              <c:f>'Avaliação Forecast 14_08'!$H$189:$M$189</c:f>
            </c:strRef>
          </c:cat>
          <c:val>
            <c:numRef>
              <c:f>'Avaliação Forecast 14_08'!$H$203:$M$203</c:f>
              <c:numCache/>
            </c:numRef>
          </c:val>
          <c:smooth val="0"/>
        </c:ser>
        <c:ser>
          <c:idx val="11"/>
          <c:order val="11"/>
          <c:tx>
            <c:strRef>
              <c:f>'Avaliação Forecast 14_08'!$G$204</c:f>
            </c:strRef>
          </c:tx>
          <c:spPr>
            <a:ln cmpd="sng">
              <a:solidFill>
                <a:srgbClr val="7ED1D7"/>
              </a:solidFill>
              <a:prstDash val="dash"/>
            </a:ln>
          </c:spPr>
          <c:marker>
            <c:symbol val="none"/>
          </c:marker>
          <c:cat>
            <c:strRef>
              <c:f>'Avaliação Forecast 14_08'!$H$189:$M$189</c:f>
            </c:strRef>
          </c:cat>
          <c:val>
            <c:numRef>
              <c:f>'Avaliação Forecast 14_08'!$H$204:$M$204</c:f>
              <c:numCache/>
            </c:numRef>
          </c:val>
          <c:smooth val="0"/>
        </c:ser>
        <c:axId val="1073614579"/>
        <c:axId val="1795646473"/>
      </c:lineChart>
      <c:catAx>
        <c:axId val="10736145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400">
                    <a:solidFill>
                      <a:srgbClr val="000000"/>
                    </a:solidFill>
                    <a:latin typeface="+mn-lt"/>
                  </a:rPr>
                  <a:t>Years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5646473"/>
      </c:catAx>
      <c:valAx>
        <c:axId val="1795646473"/>
        <c:scaling>
          <c:orientation val="minMax"/>
          <c:max val="2.5E8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400">
                    <a:solidFill>
                      <a:srgbClr val="000000"/>
                    </a:solidFill>
                    <a:latin typeface="+mn-lt"/>
                  </a:rPr>
                  <a:t>$ (x10^6)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36145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000000"/>
                </a:solidFill>
                <a:latin typeface="+mn-lt"/>
              </a:defRPr>
            </a:pPr>
            <a:r>
              <a:rPr b="1" sz="1400">
                <a:solidFill>
                  <a:srgbClr val="000000"/>
                </a:solidFill>
                <a:latin typeface="+mn-lt"/>
              </a:rPr>
              <a:t>Power Requirement of Compression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'Avaliação Forecast 27_08'!$G$48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'Avaliação Forecast 27_08'!$H$47:$M$47</c:f>
            </c:strRef>
          </c:cat>
          <c:val>
            <c:numRef>
              <c:f>'Avaliação Forecast 27_08'!$H$48:$M$48</c:f>
              <c:numCache/>
            </c:numRef>
          </c:val>
          <c:smooth val="0"/>
        </c:ser>
        <c:ser>
          <c:idx val="1"/>
          <c:order val="1"/>
          <c:tx>
            <c:strRef>
              <c:f>'Avaliação Forecast 27_08'!$G$49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'Avaliação Forecast 27_08'!$H$47:$M$47</c:f>
            </c:strRef>
          </c:cat>
          <c:val>
            <c:numRef>
              <c:f>'Avaliação Forecast 27_08'!$H$49:$M$49</c:f>
              <c:numCache/>
            </c:numRef>
          </c:val>
          <c:smooth val="0"/>
        </c:ser>
        <c:ser>
          <c:idx val="2"/>
          <c:order val="2"/>
          <c:tx>
            <c:strRef>
              <c:f>'Avaliação Forecast 27_08'!$G$50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'Avaliação Forecast 27_08'!$H$47:$M$47</c:f>
            </c:strRef>
          </c:cat>
          <c:val>
            <c:numRef>
              <c:f>'Avaliação Forecast 27_08'!$H$50:$M$50</c:f>
              <c:numCache/>
            </c:numRef>
          </c:val>
          <c:smooth val="0"/>
        </c:ser>
        <c:ser>
          <c:idx val="3"/>
          <c:order val="3"/>
          <c:tx>
            <c:strRef>
              <c:f>'Avaliação Forecast 27_08'!$G$51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'Avaliação Forecast 27_08'!$H$47:$M$47</c:f>
            </c:strRef>
          </c:cat>
          <c:val>
            <c:numRef>
              <c:f>'Avaliação Forecast 27_08'!$H$51:$M$51</c:f>
              <c:numCache/>
            </c:numRef>
          </c:val>
          <c:smooth val="0"/>
        </c:ser>
        <c:ser>
          <c:idx val="4"/>
          <c:order val="4"/>
          <c:tx>
            <c:strRef>
              <c:f>'Avaliação Forecast 27_08'!$G$52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'Avaliação Forecast 27_08'!$H$47:$M$47</c:f>
            </c:strRef>
          </c:cat>
          <c:val>
            <c:numRef>
              <c:f>'Avaliação Forecast 27_08'!$H$52:$M$52</c:f>
              <c:numCache/>
            </c:numRef>
          </c:val>
          <c:smooth val="0"/>
        </c:ser>
        <c:ser>
          <c:idx val="5"/>
          <c:order val="5"/>
          <c:tx>
            <c:strRef>
              <c:f>'Avaliação Forecast 27_08'!$G$53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'Avaliação Forecast 27_08'!$H$47:$M$47</c:f>
            </c:strRef>
          </c:cat>
          <c:val>
            <c:numRef>
              <c:f>'Avaliação Forecast 27_08'!$H$53:$M$53</c:f>
              <c:numCache/>
            </c:numRef>
          </c:val>
          <c:smooth val="0"/>
        </c:ser>
        <c:ser>
          <c:idx val="6"/>
          <c:order val="6"/>
          <c:tx>
            <c:strRef>
              <c:f>'Avaliação Forecast 27_08'!$G$57</c:f>
            </c:strRef>
          </c:tx>
          <c:spPr>
            <a:ln cmpd="sng">
              <a:solidFill>
                <a:srgbClr val="7BAAF7"/>
              </a:solidFill>
              <a:prstDash val="dash"/>
            </a:ln>
          </c:spPr>
          <c:marker>
            <c:symbol val="none"/>
          </c:marker>
          <c:cat>
            <c:strRef>
              <c:f>'Avaliação Forecast 27_08'!$H$47:$M$47</c:f>
            </c:strRef>
          </c:cat>
          <c:val>
            <c:numRef>
              <c:f>'Avaliação Forecast 27_08'!$H$57:$M$57</c:f>
              <c:numCache/>
            </c:numRef>
          </c:val>
          <c:smooth val="0"/>
        </c:ser>
        <c:ser>
          <c:idx val="7"/>
          <c:order val="7"/>
          <c:tx>
            <c:strRef>
              <c:f>'Avaliação Forecast 27_08'!$G$58</c:f>
            </c:strRef>
          </c:tx>
          <c:spPr>
            <a:ln cmpd="sng">
              <a:solidFill>
                <a:srgbClr val="F07B72"/>
              </a:solidFill>
              <a:prstDash val="dash"/>
            </a:ln>
          </c:spPr>
          <c:marker>
            <c:symbol val="none"/>
          </c:marker>
          <c:cat>
            <c:strRef>
              <c:f>'Avaliação Forecast 27_08'!$H$47:$M$47</c:f>
            </c:strRef>
          </c:cat>
          <c:val>
            <c:numRef>
              <c:f>'Avaliação Forecast 27_08'!$H$58:$M$58</c:f>
              <c:numCache/>
            </c:numRef>
          </c:val>
          <c:smooth val="0"/>
        </c:ser>
        <c:ser>
          <c:idx val="8"/>
          <c:order val="8"/>
          <c:tx>
            <c:strRef>
              <c:f>'Avaliação Forecast 27_08'!$G$59</c:f>
            </c:strRef>
          </c:tx>
          <c:spPr>
            <a:ln cmpd="sng">
              <a:solidFill>
                <a:srgbClr val="FCD04F"/>
              </a:solidFill>
              <a:prstDash val="dash"/>
            </a:ln>
          </c:spPr>
          <c:marker>
            <c:symbol val="none"/>
          </c:marker>
          <c:cat>
            <c:strRef>
              <c:f>'Avaliação Forecast 27_08'!$H$47:$M$47</c:f>
            </c:strRef>
          </c:cat>
          <c:val>
            <c:numRef>
              <c:f>'Avaliação Forecast 27_08'!$H$59:$M$59</c:f>
              <c:numCache/>
            </c:numRef>
          </c:val>
          <c:smooth val="0"/>
        </c:ser>
        <c:ser>
          <c:idx val="9"/>
          <c:order val="9"/>
          <c:tx>
            <c:strRef>
              <c:f>'Avaliação Forecast 27_08'!$G$60</c:f>
            </c:strRef>
          </c:tx>
          <c:spPr>
            <a:ln cmpd="sng">
              <a:solidFill>
                <a:srgbClr val="71C287"/>
              </a:solidFill>
              <a:prstDash val="dash"/>
            </a:ln>
          </c:spPr>
          <c:marker>
            <c:symbol val="none"/>
          </c:marker>
          <c:cat>
            <c:strRef>
              <c:f>'Avaliação Forecast 27_08'!$H$47:$M$47</c:f>
            </c:strRef>
          </c:cat>
          <c:val>
            <c:numRef>
              <c:f>'Avaliação Forecast 27_08'!$H$60:$M$60</c:f>
              <c:numCache/>
            </c:numRef>
          </c:val>
          <c:smooth val="0"/>
        </c:ser>
        <c:ser>
          <c:idx val="10"/>
          <c:order val="10"/>
          <c:tx>
            <c:strRef>
              <c:f>'Avaliação Forecast 27_08'!$G$61</c:f>
            </c:strRef>
          </c:tx>
          <c:spPr>
            <a:ln cmpd="sng">
              <a:solidFill>
                <a:srgbClr val="FF994D"/>
              </a:solidFill>
              <a:prstDash val="dash"/>
            </a:ln>
          </c:spPr>
          <c:marker>
            <c:symbol val="none"/>
          </c:marker>
          <c:cat>
            <c:strRef>
              <c:f>'Avaliação Forecast 27_08'!$H$47:$M$47</c:f>
            </c:strRef>
          </c:cat>
          <c:val>
            <c:numRef>
              <c:f>'Avaliação Forecast 27_08'!$H$61:$M$61</c:f>
              <c:numCache/>
            </c:numRef>
          </c:val>
          <c:smooth val="0"/>
        </c:ser>
        <c:ser>
          <c:idx val="11"/>
          <c:order val="11"/>
          <c:tx>
            <c:strRef>
              <c:f>'Avaliação Forecast 27_08'!$G$62</c:f>
            </c:strRef>
          </c:tx>
          <c:spPr>
            <a:ln cmpd="sng">
              <a:solidFill>
                <a:srgbClr val="7ED1D7"/>
              </a:solidFill>
              <a:prstDash val="dash"/>
            </a:ln>
          </c:spPr>
          <c:marker>
            <c:symbol val="none"/>
          </c:marker>
          <c:cat>
            <c:strRef>
              <c:f>'Avaliação Forecast 27_08'!$H$47:$M$47</c:f>
            </c:strRef>
          </c:cat>
          <c:val>
            <c:numRef>
              <c:f>'Avaliação Forecast 27_08'!$H$62:$M$62</c:f>
              <c:numCache/>
            </c:numRef>
          </c:val>
          <c:smooth val="0"/>
        </c:ser>
        <c:axId val="1506733672"/>
        <c:axId val="436532480"/>
      </c:lineChart>
      <c:catAx>
        <c:axId val="1506733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Years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6532480"/>
      </c:catAx>
      <c:valAx>
        <c:axId val="436532480"/>
        <c:scaling>
          <c:orientation val="minMax"/>
          <c:max val="30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Power [kW]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67336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000000"/>
                </a:solidFill>
                <a:latin typeface="+mn-lt"/>
              </a:defRPr>
            </a:pPr>
            <a:r>
              <a:rPr b="1" sz="1400">
                <a:solidFill>
                  <a:srgbClr val="000000"/>
                </a:solidFill>
                <a:latin typeface="+mn-lt"/>
              </a:rPr>
              <a:t>Capital Cost of Compression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'Avaliação Forecast 27_08'!$G$120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'Avaliação Forecast 27_08'!$H$47:$M$47</c:f>
            </c:strRef>
          </c:cat>
          <c:val>
            <c:numRef>
              <c:f>'Avaliação Forecast 27_08'!$H$120:$M$120</c:f>
              <c:numCache/>
            </c:numRef>
          </c:val>
          <c:smooth val="0"/>
        </c:ser>
        <c:ser>
          <c:idx val="1"/>
          <c:order val="1"/>
          <c:tx>
            <c:strRef>
              <c:f>'Avaliação Forecast 27_08'!$G$121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'Avaliação Forecast 27_08'!$H$47:$M$47</c:f>
            </c:strRef>
          </c:cat>
          <c:val>
            <c:numRef>
              <c:f>'Avaliação Forecast 27_08'!$H$121:$M$121</c:f>
              <c:numCache/>
            </c:numRef>
          </c:val>
          <c:smooth val="0"/>
        </c:ser>
        <c:ser>
          <c:idx val="2"/>
          <c:order val="2"/>
          <c:tx>
            <c:strRef>
              <c:f>'Avaliação Forecast 27_08'!$G$122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'Avaliação Forecast 27_08'!$H$47:$M$47</c:f>
            </c:strRef>
          </c:cat>
          <c:val>
            <c:numRef>
              <c:f>'Avaliação Forecast 27_08'!$H$122:$M$122</c:f>
              <c:numCache/>
            </c:numRef>
          </c:val>
          <c:smooth val="0"/>
        </c:ser>
        <c:ser>
          <c:idx val="3"/>
          <c:order val="3"/>
          <c:tx>
            <c:strRef>
              <c:f>'Avaliação Forecast 27_08'!$G$123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'Avaliação Forecast 27_08'!$H$47:$M$47</c:f>
            </c:strRef>
          </c:cat>
          <c:val>
            <c:numRef>
              <c:f>'Avaliação Forecast 27_08'!$H$123:$M$123</c:f>
              <c:numCache/>
            </c:numRef>
          </c:val>
          <c:smooth val="0"/>
        </c:ser>
        <c:ser>
          <c:idx val="4"/>
          <c:order val="4"/>
          <c:tx>
            <c:strRef>
              <c:f>'Avaliação Forecast 27_08'!$G$124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'Avaliação Forecast 27_08'!$H$47:$M$47</c:f>
            </c:strRef>
          </c:cat>
          <c:val>
            <c:numRef>
              <c:f>'Avaliação Forecast 27_08'!$H$124:$M$124</c:f>
              <c:numCache/>
            </c:numRef>
          </c:val>
          <c:smooth val="0"/>
        </c:ser>
        <c:ser>
          <c:idx val="5"/>
          <c:order val="5"/>
          <c:tx>
            <c:strRef>
              <c:f>'Avaliação Forecast 27_08'!$G$125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'Avaliação Forecast 27_08'!$H$47:$M$47</c:f>
            </c:strRef>
          </c:cat>
          <c:val>
            <c:numRef>
              <c:f>'Avaliação Forecast 27_08'!$H$125:$M$125</c:f>
              <c:numCache/>
            </c:numRef>
          </c:val>
          <c:smooth val="0"/>
        </c:ser>
        <c:ser>
          <c:idx val="6"/>
          <c:order val="6"/>
          <c:tx>
            <c:strRef>
              <c:f>'Avaliação Forecast 27_08'!$G$129</c:f>
            </c:strRef>
          </c:tx>
          <c:spPr>
            <a:ln cmpd="sng">
              <a:solidFill>
                <a:srgbClr val="7BAAF7"/>
              </a:solidFill>
              <a:prstDash val="dash"/>
            </a:ln>
          </c:spPr>
          <c:marker>
            <c:symbol val="none"/>
          </c:marker>
          <c:cat>
            <c:strRef>
              <c:f>'Avaliação Forecast 27_08'!$H$47:$M$47</c:f>
            </c:strRef>
          </c:cat>
          <c:val>
            <c:numRef>
              <c:f>'Avaliação Forecast 27_08'!$H$129:$M$129</c:f>
              <c:numCache/>
            </c:numRef>
          </c:val>
          <c:smooth val="0"/>
        </c:ser>
        <c:ser>
          <c:idx val="7"/>
          <c:order val="7"/>
          <c:tx>
            <c:strRef>
              <c:f>'Avaliação Forecast 27_08'!$G$130</c:f>
            </c:strRef>
          </c:tx>
          <c:spPr>
            <a:ln cmpd="sng">
              <a:solidFill>
                <a:srgbClr val="F07B72"/>
              </a:solidFill>
              <a:prstDash val="dash"/>
            </a:ln>
          </c:spPr>
          <c:marker>
            <c:symbol val="none"/>
          </c:marker>
          <c:cat>
            <c:strRef>
              <c:f>'Avaliação Forecast 27_08'!$H$47:$M$47</c:f>
            </c:strRef>
          </c:cat>
          <c:val>
            <c:numRef>
              <c:f>'Avaliação Forecast 27_08'!$H$130:$M$130</c:f>
              <c:numCache/>
            </c:numRef>
          </c:val>
          <c:smooth val="0"/>
        </c:ser>
        <c:ser>
          <c:idx val="8"/>
          <c:order val="8"/>
          <c:tx>
            <c:strRef>
              <c:f>'Avaliação Forecast 27_08'!$G$131</c:f>
            </c:strRef>
          </c:tx>
          <c:spPr>
            <a:ln cmpd="sng">
              <a:solidFill>
                <a:srgbClr val="FCD04F"/>
              </a:solidFill>
              <a:prstDash val="dash"/>
            </a:ln>
          </c:spPr>
          <c:marker>
            <c:symbol val="none"/>
          </c:marker>
          <c:cat>
            <c:strRef>
              <c:f>'Avaliação Forecast 27_08'!$H$47:$M$47</c:f>
            </c:strRef>
          </c:cat>
          <c:val>
            <c:numRef>
              <c:f>'Avaliação Forecast 27_08'!$H$131:$M$131</c:f>
              <c:numCache/>
            </c:numRef>
          </c:val>
          <c:smooth val="0"/>
        </c:ser>
        <c:ser>
          <c:idx val="9"/>
          <c:order val="9"/>
          <c:tx>
            <c:strRef>
              <c:f>'Avaliação Forecast 27_08'!$G$132</c:f>
            </c:strRef>
          </c:tx>
          <c:spPr>
            <a:ln cmpd="sng">
              <a:solidFill>
                <a:srgbClr val="71C287"/>
              </a:solidFill>
              <a:prstDash val="dash"/>
            </a:ln>
          </c:spPr>
          <c:marker>
            <c:symbol val="none"/>
          </c:marker>
          <c:cat>
            <c:strRef>
              <c:f>'Avaliação Forecast 27_08'!$H$47:$M$47</c:f>
            </c:strRef>
          </c:cat>
          <c:val>
            <c:numRef>
              <c:f>'Avaliação Forecast 27_08'!$H$132:$M$132</c:f>
              <c:numCache/>
            </c:numRef>
          </c:val>
          <c:smooth val="0"/>
        </c:ser>
        <c:ser>
          <c:idx val="10"/>
          <c:order val="10"/>
          <c:tx>
            <c:strRef>
              <c:f>'Avaliação Forecast 27_08'!$G$133</c:f>
            </c:strRef>
          </c:tx>
          <c:spPr>
            <a:ln cmpd="sng">
              <a:solidFill>
                <a:srgbClr val="FF994D"/>
              </a:solidFill>
              <a:prstDash val="dash"/>
            </a:ln>
          </c:spPr>
          <c:marker>
            <c:symbol val="none"/>
          </c:marker>
          <c:cat>
            <c:strRef>
              <c:f>'Avaliação Forecast 27_08'!$H$47:$M$47</c:f>
            </c:strRef>
          </c:cat>
          <c:val>
            <c:numRef>
              <c:f>'Avaliação Forecast 27_08'!$H$133:$M$133</c:f>
              <c:numCache/>
            </c:numRef>
          </c:val>
          <c:smooth val="0"/>
        </c:ser>
        <c:ser>
          <c:idx val="11"/>
          <c:order val="11"/>
          <c:tx>
            <c:strRef>
              <c:f>'Avaliação Forecast 27_08'!$G$134</c:f>
            </c:strRef>
          </c:tx>
          <c:spPr>
            <a:ln cmpd="sng">
              <a:solidFill>
                <a:srgbClr val="7ED1D7"/>
              </a:solidFill>
              <a:prstDash val="dash"/>
            </a:ln>
          </c:spPr>
          <c:marker>
            <c:symbol val="none"/>
          </c:marker>
          <c:cat>
            <c:strRef>
              <c:f>'Avaliação Forecast 27_08'!$H$47:$M$47</c:f>
            </c:strRef>
          </c:cat>
          <c:val>
            <c:numRef>
              <c:f>'Avaliação Forecast 27_08'!$H$134:$M$134</c:f>
              <c:numCache/>
            </c:numRef>
          </c:val>
          <c:smooth val="0"/>
        </c:ser>
        <c:axId val="2055657073"/>
        <c:axId val="828047830"/>
      </c:lineChart>
      <c:catAx>
        <c:axId val="20556570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Years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8047830"/>
      </c:catAx>
      <c:valAx>
        <c:axId val="828047830"/>
        <c:scaling>
          <c:orientation val="minMax"/>
          <c:max val="5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[$/kW]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5657073"/>
        <c:majorUnit val="200.0"/>
        <c:minorUnit val="18.181818181818183"/>
      </c:valAx>
    </c:plotArea>
    <c:legend>
      <c:legendPos val="r"/>
      <c:layout>
        <c:manualLayout>
          <c:xMode val="edge"/>
          <c:yMode val="edge"/>
          <c:x val="0.7754563506861576"/>
          <c:y val="0.10741037988229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000000"/>
                </a:solidFill>
                <a:latin typeface="+mn-lt"/>
              </a:defRPr>
            </a:pPr>
            <a:r>
              <a:rPr b="1" sz="1400">
                <a:solidFill>
                  <a:srgbClr val="000000"/>
                </a:solidFill>
                <a:latin typeface="+mn-lt"/>
              </a:rPr>
              <a:t>Annual Cost of Compression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'Avaliação Forecast 27_08'!$G$190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'Avaliação Forecast 27_08'!$H$189:$M$189</c:f>
            </c:strRef>
          </c:cat>
          <c:val>
            <c:numRef>
              <c:f>'Avaliação Forecast 27_08'!$H$190:$M$190</c:f>
              <c:numCache/>
            </c:numRef>
          </c:val>
          <c:smooth val="0"/>
        </c:ser>
        <c:ser>
          <c:idx val="1"/>
          <c:order val="1"/>
          <c:tx>
            <c:strRef>
              <c:f>'Avaliação Forecast 27_08'!$G$191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'Avaliação Forecast 27_08'!$H$189:$M$189</c:f>
            </c:strRef>
          </c:cat>
          <c:val>
            <c:numRef>
              <c:f>'Avaliação Forecast 27_08'!$H$191:$M$191</c:f>
              <c:numCache/>
            </c:numRef>
          </c:val>
          <c:smooth val="0"/>
        </c:ser>
        <c:ser>
          <c:idx val="2"/>
          <c:order val="2"/>
          <c:tx>
            <c:strRef>
              <c:f>'Avaliação Forecast 27_08'!$G$192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'Avaliação Forecast 27_08'!$H$189:$M$189</c:f>
            </c:strRef>
          </c:cat>
          <c:val>
            <c:numRef>
              <c:f>'Avaliação Forecast 27_08'!$H$192:$M$192</c:f>
              <c:numCache/>
            </c:numRef>
          </c:val>
          <c:smooth val="0"/>
        </c:ser>
        <c:ser>
          <c:idx val="3"/>
          <c:order val="3"/>
          <c:tx>
            <c:strRef>
              <c:f>'Avaliação Forecast 27_08'!$G$193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'Avaliação Forecast 27_08'!$H$189:$M$189</c:f>
            </c:strRef>
          </c:cat>
          <c:val>
            <c:numRef>
              <c:f>'Avaliação Forecast 27_08'!$H$193:$M$193</c:f>
              <c:numCache/>
            </c:numRef>
          </c:val>
          <c:smooth val="0"/>
        </c:ser>
        <c:ser>
          <c:idx val="4"/>
          <c:order val="4"/>
          <c:tx>
            <c:strRef>
              <c:f>'Avaliação Forecast 27_08'!$G$194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'Avaliação Forecast 27_08'!$H$189:$M$189</c:f>
            </c:strRef>
          </c:cat>
          <c:val>
            <c:numRef>
              <c:f>'Avaliação Forecast 27_08'!$H$194:$M$194</c:f>
              <c:numCache/>
            </c:numRef>
          </c:val>
          <c:smooth val="0"/>
        </c:ser>
        <c:ser>
          <c:idx val="5"/>
          <c:order val="5"/>
          <c:tx>
            <c:strRef>
              <c:f>'Avaliação Forecast 27_08'!$G$195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'Avaliação Forecast 27_08'!$H$189:$M$189</c:f>
            </c:strRef>
          </c:cat>
          <c:val>
            <c:numRef>
              <c:f>'Avaliação Forecast 27_08'!$H$195:$M$195</c:f>
              <c:numCache/>
            </c:numRef>
          </c:val>
          <c:smooth val="0"/>
        </c:ser>
        <c:ser>
          <c:idx val="6"/>
          <c:order val="6"/>
          <c:tx>
            <c:strRef>
              <c:f>'Avaliação Forecast 27_08'!$G$199</c:f>
            </c:strRef>
          </c:tx>
          <c:spPr>
            <a:ln cmpd="sng">
              <a:solidFill>
                <a:srgbClr val="7BAAF7"/>
              </a:solidFill>
              <a:prstDash val="dash"/>
            </a:ln>
          </c:spPr>
          <c:marker>
            <c:symbol val="none"/>
          </c:marker>
          <c:cat>
            <c:strRef>
              <c:f>'Avaliação Forecast 27_08'!$H$189:$M$189</c:f>
            </c:strRef>
          </c:cat>
          <c:val>
            <c:numRef>
              <c:f>'Avaliação Forecast 27_08'!$H$199:$M$199</c:f>
              <c:numCache/>
            </c:numRef>
          </c:val>
          <c:smooth val="0"/>
        </c:ser>
        <c:ser>
          <c:idx val="7"/>
          <c:order val="7"/>
          <c:tx>
            <c:strRef>
              <c:f>'Avaliação Forecast 27_08'!$G$200</c:f>
            </c:strRef>
          </c:tx>
          <c:spPr>
            <a:ln cmpd="sng">
              <a:solidFill>
                <a:srgbClr val="F07B72"/>
              </a:solidFill>
              <a:prstDash val="dash"/>
            </a:ln>
          </c:spPr>
          <c:marker>
            <c:symbol val="none"/>
          </c:marker>
          <c:cat>
            <c:strRef>
              <c:f>'Avaliação Forecast 27_08'!$H$189:$M$189</c:f>
            </c:strRef>
          </c:cat>
          <c:val>
            <c:numRef>
              <c:f>'Avaliação Forecast 27_08'!$H$200:$M$200</c:f>
              <c:numCache/>
            </c:numRef>
          </c:val>
          <c:smooth val="0"/>
        </c:ser>
        <c:ser>
          <c:idx val="8"/>
          <c:order val="8"/>
          <c:tx>
            <c:strRef>
              <c:f>'Avaliação Forecast 27_08'!$G$201</c:f>
            </c:strRef>
          </c:tx>
          <c:spPr>
            <a:ln cmpd="sng">
              <a:solidFill>
                <a:srgbClr val="FCD04F"/>
              </a:solidFill>
              <a:prstDash val="dash"/>
            </a:ln>
          </c:spPr>
          <c:marker>
            <c:symbol val="none"/>
          </c:marker>
          <c:cat>
            <c:strRef>
              <c:f>'Avaliação Forecast 27_08'!$H$189:$M$189</c:f>
            </c:strRef>
          </c:cat>
          <c:val>
            <c:numRef>
              <c:f>'Avaliação Forecast 27_08'!$H$201:$M$201</c:f>
              <c:numCache/>
            </c:numRef>
          </c:val>
          <c:smooth val="0"/>
        </c:ser>
        <c:ser>
          <c:idx val="9"/>
          <c:order val="9"/>
          <c:tx>
            <c:strRef>
              <c:f>'Avaliação Forecast 27_08'!$G$202</c:f>
            </c:strRef>
          </c:tx>
          <c:spPr>
            <a:ln cmpd="sng">
              <a:solidFill>
                <a:srgbClr val="71C287"/>
              </a:solidFill>
              <a:prstDash val="dash"/>
            </a:ln>
          </c:spPr>
          <c:marker>
            <c:symbol val="none"/>
          </c:marker>
          <c:cat>
            <c:strRef>
              <c:f>'Avaliação Forecast 27_08'!$H$189:$M$189</c:f>
            </c:strRef>
          </c:cat>
          <c:val>
            <c:numRef>
              <c:f>'Avaliação Forecast 27_08'!$H$202:$M$202</c:f>
              <c:numCache/>
            </c:numRef>
          </c:val>
          <c:smooth val="0"/>
        </c:ser>
        <c:ser>
          <c:idx val="10"/>
          <c:order val="10"/>
          <c:tx>
            <c:strRef>
              <c:f>'Avaliação Forecast 27_08'!$G$203</c:f>
            </c:strRef>
          </c:tx>
          <c:spPr>
            <a:ln cmpd="sng">
              <a:solidFill>
                <a:srgbClr val="FF994D"/>
              </a:solidFill>
              <a:prstDash val="dash"/>
            </a:ln>
          </c:spPr>
          <c:marker>
            <c:symbol val="none"/>
          </c:marker>
          <c:cat>
            <c:strRef>
              <c:f>'Avaliação Forecast 27_08'!$H$189:$M$189</c:f>
            </c:strRef>
          </c:cat>
          <c:val>
            <c:numRef>
              <c:f>'Avaliação Forecast 27_08'!$H$203:$M$203</c:f>
              <c:numCache/>
            </c:numRef>
          </c:val>
          <c:smooth val="0"/>
        </c:ser>
        <c:ser>
          <c:idx val="11"/>
          <c:order val="11"/>
          <c:tx>
            <c:strRef>
              <c:f>'Avaliação Forecast 27_08'!$G$204</c:f>
            </c:strRef>
          </c:tx>
          <c:spPr>
            <a:ln cmpd="sng">
              <a:solidFill>
                <a:srgbClr val="7ED1D7"/>
              </a:solidFill>
              <a:prstDash val="dash"/>
            </a:ln>
          </c:spPr>
          <c:marker>
            <c:symbol val="none"/>
          </c:marker>
          <c:cat>
            <c:strRef>
              <c:f>'Avaliação Forecast 27_08'!$H$189:$M$189</c:f>
            </c:strRef>
          </c:cat>
          <c:val>
            <c:numRef>
              <c:f>'Avaliação Forecast 27_08'!$H$204:$M$204</c:f>
              <c:numCache/>
            </c:numRef>
          </c:val>
          <c:smooth val="0"/>
        </c:ser>
        <c:axId val="1171652891"/>
        <c:axId val="1488866531"/>
      </c:lineChart>
      <c:catAx>
        <c:axId val="11716528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400">
                    <a:solidFill>
                      <a:srgbClr val="000000"/>
                    </a:solidFill>
                    <a:latin typeface="+mn-lt"/>
                  </a:rPr>
                  <a:t>Years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8866531"/>
      </c:catAx>
      <c:valAx>
        <c:axId val="1488866531"/>
        <c:scaling>
          <c:orientation val="minMax"/>
          <c:max val="2.5E8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400">
                    <a:solidFill>
                      <a:srgbClr val="000000"/>
                    </a:solidFill>
                    <a:latin typeface="+mn-lt"/>
                  </a:rPr>
                  <a:t>$ (x10^6)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16528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000000"/>
                </a:solidFill>
                <a:latin typeface="+mn-lt"/>
              </a:defRPr>
            </a:pPr>
            <a:r>
              <a:rPr b="1" sz="1400">
                <a:solidFill>
                  <a:srgbClr val="000000"/>
                </a:solidFill>
                <a:latin typeface="+mn-lt"/>
              </a:rPr>
              <a:t>Annual Cost of Compression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'Avaliação Forecast 27_08'!$G$204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'Avaliação Forecast 27_08'!$H$189:$M$189</c:f>
            </c:strRef>
          </c:cat>
          <c:val>
            <c:numRef>
              <c:f>'Avaliação Forecast 27_08'!$H$204:$M$204</c:f>
              <c:numCache/>
            </c:numRef>
          </c:val>
          <c:smooth val="0"/>
        </c:ser>
        <c:ser>
          <c:idx val="1"/>
          <c:order val="1"/>
          <c:tx>
            <c:strRef>
              <c:f>'Avaliação Forecast 27_08'!$O$192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'Avaliação Forecast 27_08'!$H$189:$M$189</c:f>
            </c:strRef>
          </c:cat>
          <c:val>
            <c:numRef>
              <c:f>'Avaliação Forecast 27_08'!$P$192:$U$192</c:f>
              <c:numCache/>
            </c:numRef>
          </c:val>
          <c:smooth val="0"/>
        </c:ser>
        <c:ser>
          <c:idx val="2"/>
          <c:order val="2"/>
          <c:tx>
            <c:strRef>
              <c:f>'Avaliação Forecast 27_08'!$O$193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'Avaliação Forecast 27_08'!$H$189:$M$189</c:f>
            </c:strRef>
          </c:cat>
          <c:val>
            <c:numRef>
              <c:f>'Avaliação Forecast 27_08'!$P$193:$U$193</c:f>
              <c:numCache/>
            </c:numRef>
          </c:val>
          <c:smooth val="0"/>
        </c:ser>
        <c:ser>
          <c:idx val="3"/>
          <c:order val="3"/>
          <c:tx>
            <c:strRef>
              <c:f>'Avaliação Forecast 27_08'!$O$194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'Avaliação Forecast 27_08'!$H$189:$M$189</c:f>
            </c:strRef>
          </c:cat>
          <c:val>
            <c:numRef>
              <c:f>'Avaliação Forecast 27_08'!$P$194:$U$194</c:f>
              <c:numCache/>
            </c:numRef>
          </c:val>
          <c:smooth val="0"/>
        </c:ser>
        <c:ser>
          <c:idx val="4"/>
          <c:order val="4"/>
          <c:tx>
            <c:strRef>
              <c:f>'Avaliação Forecast 27_08'!$O$195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'Avaliação Forecast 27_08'!$H$189:$M$189</c:f>
            </c:strRef>
          </c:cat>
          <c:val>
            <c:numRef>
              <c:f>'Avaliação Forecast 27_08'!$P$195:$U$195</c:f>
              <c:numCache/>
            </c:numRef>
          </c:val>
          <c:smooth val="0"/>
        </c:ser>
        <c:ser>
          <c:idx val="5"/>
          <c:order val="5"/>
          <c:tx>
            <c:strRef>
              <c:f>'Avaliação Forecast 27_08'!$O$196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'Avaliação Forecast 27_08'!$H$189:$M$189</c:f>
            </c:strRef>
          </c:cat>
          <c:val>
            <c:numRef>
              <c:f>'Avaliação Forecast 27_08'!$P$196:$U$196</c:f>
              <c:numCache/>
            </c:numRef>
          </c:val>
          <c:smooth val="0"/>
        </c:ser>
        <c:ser>
          <c:idx val="6"/>
          <c:order val="6"/>
          <c:tx>
            <c:strRef>
              <c:f>'Avaliação Forecast 27_08'!$O$200</c:f>
            </c:strRef>
          </c:tx>
          <c:spPr>
            <a:ln cmpd="sng">
              <a:solidFill>
                <a:srgbClr val="7BAAF7"/>
              </a:solidFill>
              <a:prstDash val="dash"/>
            </a:ln>
          </c:spPr>
          <c:marker>
            <c:symbol val="none"/>
          </c:marker>
          <c:cat>
            <c:strRef>
              <c:f>'Avaliação Forecast 27_08'!$H$189:$M$189</c:f>
            </c:strRef>
          </c:cat>
          <c:val>
            <c:numRef>
              <c:f>'Avaliação Forecast 27_08'!$P$200:$U$200</c:f>
              <c:numCache/>
            </c:numRef>
          </c:val>
          <c:smooth val="0"/>
        </c:ser>
        <c:ser>
          <c:idx val="7"/>
          <c:order val="7"/>
          <c:tx>
            <c:strRef>
              <c:f>'Avaliação Forecast 27_08'!$O$201</c:f>
            </c:strRef>
          </c:tx>
          <c:spPr>
            <a:ln cmpd="sng">
              <a:solidFill>
                <a:srgbClr val="F07B72"/>
              </a:solidFill>
              <a:prstDash val="dash"/>
            </a:ln>
          </c:spPr>
          <c:marker>
            <c:symbol val="none"/>
          </c:marker>
          <c:cat>
            <c:strRef>
              <c:f>'Avaliação Forecast 27_08'!$H$189:$M$189</c:f>
            </c:strRef>
          </c:cat>
          <c:val>
            <c:numRef>
              <c:f>'Avaliação Forecast 27_08'!$P$201:$U$201</c:f>
              <c:numCache/>
            </c:numRef>
          </c:val>
          <c:smooth val="0"/>
        </c:ser>
        <c:ser>
          <c:idx val="8"/>
          <c:order val="8"/>
          <c:tx>
            <c:strRef>
              <c:f>'Avaliação Forecast 27_08'!$O$202</c:f>
            </c:strRef>
          </c:tx>
          <c:spPr>
            <a:ln cmpd="sng">
              <a:solidFill>
                <a:srgbClr val="FCD04F"/>
              </a:solidFill>
              <a:prstDash val="dash"/>
            </a:ln>
          </c:spPr>
          <c:marker>
            <c:symbol val="none"/>
          </c:marker>
          <c:cat>
            <c:strRef>
              <c:f>'Avaliação Forecast 27_08'!$H$189:$M$189</c:f>
            </c:strRef>
          </c:cat>
          <c:val>
            <c:numRef>
              <c:f>'Avaliação Forecast 27_08'!$P$202:$U$202</c:f>
              <c:numCache/>
            </c:numRef>
          </c:val>
          <c:smooth val="0"/>
        </c:ser>
        <c:ser>
          <c:idx val="9"/>
          <c:order val="9"/>
          <c:tx>
            <c:strRef>
              <c:f>'Avaliação Forecast 27_08'!$O$203</c:f>
            </c:strRef>
          </c:tx>
          <c:spPr>
            <a:ln cmpd="sng">
              <a:solidFill>
                <a:srgbClr val="71C287"/>
              </a:solidFill>
              <a:prstDash val="dash"/>
            </a:ln>
          </c:spPr>
          <c:marker>
            <c:symbol val="none"/>
          </c:marker>
          <c:cat>
            <c:strRef>
              <c:f>'Avaliação Forecast 27_08'!$H$189:$M$189</c:f>
            </c:strRef>
          </c:cat>
          <c:val>
            <c:numRef>
              <c:f>'Avaliação Forecast 27_08'!$P$203:$U$203</c:f>
              <c:numCache/>
            </c:numRef>
          </c:val>
          <c:smooth val="0"/>
        </c:ser>
        <c:ser>
          <c:idx val="10"/>
          <c:order val="10"/>
          <c:tx>
            <c:strRef>
              <c:f>'Avaliação Forecast 27_08'!$O$204</c:f>
            </c:strRef>
          </c:tx>
          <c:spPr>
            <a:ln cmpd="sng">
              <a:solidFill>
                <a:srgbClr val="FF994D"/>
              </a:solidFill>
              <a:prstDash val="dash"/>
            </a:ln>
          </c:spPr>
          <c:marker>
            <c:symbol val="none"/>
          </c:marker>
          <c:cat>
            <c:strRef>
              <c:f>'Avaliação Forecast 27_08'!$H$189:$M$189</c:f>
            </c:strRef>
          </c:cat>
          <c:val>
            <c:numRef>
              <c:f>'Avaliação Forecast 27_08'!$P$204:$U$204</c:f>
              <c:numCache/>
            </c:numRef>
          </c:val>
          <c:smooth val="0"/>
        </c:ser>
        <c:ser>
          <c:idx val="11"/>
          <c:order val="11"/>
          <c:tx>
            <c:strRef>
              <c:f>'Avaliação Forecast 27_08'!$O$205</c:f>
            </c:strRef>
          </c:tx>
          <c:spPr>
            <a:ln cmpd="sng">
              <a:solidFill>
                <a:srgbClr val="7ED1D7"/>
              </a:solidFill>
              <a:prstDash val="dash"/>
            </a:ln>
          </c:spPr>
          <c:marker>
            <c:symbol val="none"/>
          </c:marker>
          <c:cat>
            <c:strRef>
              <c:f>'Avaliação Forecast 27_08'!$H$189:$M$189</c:f>
            </c:strRef>
          </c:cat>
          <c:val>
            <c:numRef>
              <c:f>'Avaliação Forecast 27_08'!$P$205:$U$205</c:f>
              <c:numCache/>
            </c:numRef>
          </c:val>
          <c:smooth val="0"/>
        </c:ser>
        <c:axId val="1727372824"/>
        <c:axId val="1297395949"/>
      </c:lineChart>
      <c:catAx>
        <c:axId val="1727372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400">
                    <a:solidFill>
                      <a:srgbClr val="000000"/>
                    </a:solidFill>
                    <a:latin typeface="+mn-lt"/>
                  </a:rPr>
                  <a:t>Years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7395949"/>
      </c:catAx>
      <c:valAx>
        <c:axId val="1297395949"/>
        <c:scaling>
          <c:orientation val="minMax"/>
          <c:max val="2.5E7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400">
                    <a:solidFill>
                      <a:srgbClr val="000000"/>
                    </a:solidFill>
                    <a:latin typeface="+mn-lt"/>
                  </a:rPr>
                  <a:t>$ (x10^7)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73728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200">
                <a:solidFill>
                  <a:srgbClr val="000000"/>
                </a:solidFill>
                <a:latin typeface="+mn-lt"/>
              </a:defRPr>
            </a:pPr>
            <a:r>
              <a:rPr b="0" sz="1200">
                <a:solidFill>
                  <a:srgbClr val="000000"/>
                </a:solidFill>
                <a:latin typeface="+mn-lt"/>
              </a:rPr>
              <a:t>Capital Cost of Compressors e Pumps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'Custo O&amp;M compressão'!$G$3:$G$5</c:f>
            </c:strRef>
          </c:tx>
          <c:spPr>
            <a:ln cmpd="sng" w="19050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'Custo O&amp;M compressão'!$F$6:$F$13</c:f>
            </c:strRef>
          </c:cat>
          <c:val>
            <c:numRef>
              <c:f>'Custo O&amp;M compressão'!$G$6:$G$13</c:f>
              <c:numCache/>
            </c:numRef>
          </c:val>
          <c:smooth val="0"/>
        </c:ser>
        <c:axId val="2076677990"/>
        <c:axId val="1295920727"/>
      </c:lineChart>
      <c:catAx>
        <c:axId val="2076677990"/>
        <c:scaling>
          <c:orientation val="minMax"/>
          <c:max val="7000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CO2 mass flow rate [tonnes/day]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5920727"/>
      </c:catAx>
      <c:valAx>
        <c:axId val="1295920727"/>
        <c:scaling>
          <c:orientation val="minMax"/>
          <c:max val="75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Compressor [$/kW]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6677990"/>
      </c:valAx>
      <c:lineChart>
        <c:varyColors val="0"/>
        <c:ser>
          <c:idx val="1"/>
          <c:order val="1"/>
          <c:tx>
            <c:strRef>
              <c:f>'Custo O&amp;M compressão'!$H$3:$H$5</c:f>
            </c:strRef>
          </c:tx>
          <c:spPr>
            <a:ln cmpd="sng" w="19050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'Custo O&amp;M compressão'!$F$6:$F$13</c:f>
            </c:strRef>
          </c:cat>
          <c:val>
            <c:numRef>
              <c:f>'Custo O&amp;M compressão'!$H$6:$H$13</c:f>
              <c:numCache/>
            </c:numRef>
          </c:val>
          <c:smooth val="0"/>
        </c:ser>
        <c:axId val="303111187"/>
        <c:axId val="1890793753"/>
      </c:lineChart>
      <c:catAx>
        <c:axId val="303111187"/>
        <c:scaling>
          <c:orientation val="minMax"/>
          <c:max val="70000.0"/>
        </c:scaling>
        <c:delete val="1"/>
        <c:axPos val="b"/>
        <c:numFmt formatCode="General" sourceLinked="1"/>
        <c:majorTickMark val="none"/>
        <c:minorTickMark val="none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0793753"/>
      </c:catAx>
      <c:valAx>
        <c:axId val="1890793753"/>
        <c:scaling>
          <c:orientation val="minMax"/>
          <c:max val="3200.0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Pump [$/kW]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311118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200">
                <a:solidFill>
                  <a:srgbClr val="000000"/>
                </a:solidFill>
                <a:latin typeface="+mn-lt"/>
              </a:defRPr>
            </a:pPr>
            <a:r>
              <a:rPr b="0" sz="1200">
                <a:solidFill>
                  <a:srgbClr val="000000"/>
                </a:solidFill>
                <a:latin typeface="+mn-lt"/>
              </a:rPr>
              <a:t>Levelized Cost of CO2 Compression and Pumping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'Custo O&amp;M compressão'!$K$4</c:f>
            </c:strRef>
          </c:tx>
          <c:spPr>
            <a:ln cmpd="sng" w="19050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'Custo O&amp;M compressão'!$J$5:$J$12</c:f>
            </c:strRef>
          </c:cat>
          <c:val>
            <c:numRef>
              <c:f>'Custo O&amp;M compressão'!$K$5:$K$12</c:f>
              <c:numCache/>
            </c:numRef>
          </c:val>
          <c:smooth val="0"/>
        </c:ser>
        <c:ser>
          <c:idx val="1"/>
          <c:order val="1"/>
          <c:tx>
            <c:strRef>
              <c:f>'Custo O&amp;M compressão'!$L$4</c:f>
            </c:strRef>
          </c:tx>
          <c:spPr>
            <a:ln cmpd="sng" w="19050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'Custo O&amp;M compressão'!$J$5:$J$12</c:f>
            </c:strRef>
          </c:cat>
          <c:val>
            <c:numRef>
              <c:f>'Custo O&amp;M compressão'!$L$5:$L$12</c:f>
              <c:numCache/>
            </c:numRef>
          </c:val>
          <c:smooth val="0"/>
        </c:ser>
        <c:ser>
          <c:idx val="2"/>
          <c:order val="2"/>
          <c:tx>
            <c:strRef>
              <c:f>'Custo O&amp;M compressão'!$N$4</c:f>
            </c:strRef>
          </c:tx>
          <c:spPr>
            <a:ln cmpd="sng" w="19050">
              <a:solidFill>
                <a:srgbClr val="99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'Custo O&amp;M compressão'!$J$5:$J$12</c:f>
            </c:strRef>
          </c:cat>
          <c:val>
            <c:numRef>
              <c:f>'Custo O&amp;M compressão'!$N$5:$N$12</c:f>
              <c:numCache/>
            </c:numRef>
          </c:val>
          <c:smooth val="0"/>
        </c:ser>
        <c:ser>
          <c:idx val="3"/>
          <c:order val="3"/>
          <c:tx>
            <c:strRef>
              <c:f>'Custo O&amp;M compressão'!$P$4</c:f>
            </c:strRef>
          </c:tx>
          <c:spPr>
            <a:ln cmpd="sng" w="19050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'Custo O&amp;M compressão'!$J$5:$J$12</c:f>
            </c:strRef>
          </c:cat>
          <c:val>
            <c:numRef>
              <c:f>'Custo O&amp;M compressão'!$P$5:$P$12</c:f>
              <c:numCache/>
            </c:numRef>
          </c:val>
          <c:smooth val="0"/>
        </c:ser>
        <c:axId val="815826089"/>
        <c:axId val="756965000"/>
      </c:lineChart>
      <c:catAx>
        <c:axId val="815826089"/>
        <c:scaling>
          <c:orientation val="minMax"/>
          <c:max val="7000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CO2 mass flow rate [tonnes/day]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6965000"/>
      </c:catAx>
      <c:valAx>
        <c:axId val="756965000"/>
        <c:scaling>
          <c:orientation val="minMax"/>
          <c:max val="24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$/tonnes CO2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5826089"/>
        <c:majorUnit val="2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200">
                <a:solidFill>
                  <a:srgbClr val="000000"/>
                </a:solidFill>
                <a:latin typeface="+mn-lt"/>
              </a:defRPr>
            </a:pPr>
            <a:r>
              <a:rPr b="0" sz="1200">
                <a:solidFill>
                  <a:srgbClr val="000000"/>
                </a:solidFill>
                <a:latin typeface="+mn-lt"/>
              </a:rPr>
              <a:t>Component Contribution to Total Levelized Cost of CO2 Compression and Pumping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'Custo O&amp;M compressão'!$L$4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'Custo O&amp;M compressão'!$J$5:$J$12</c:f>
            </c:strRef>
          </c:cat>
          <c:val>
            <c:numRef>
              <c:f>'Custo O&amp;M compressão'!$L$5:$L$12</c:f>
              <c:numCache/>
            </c:numRef>
          </c:val>
        </c:ser>
        <c:ser>
          <c:idx val="1"/>
          <c:order val="1"/>
          <c:tx>
            <c:strRef>
              <c:f>'Custo O&amp;M compressão'!$N$4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'Custo O&amp;M compressão'!$J$5:$J$12</c:f>
            </c:strRef>
          </c:cat>
          <c:val>
            <c:numRef>
              <c:f>'Custo O&amp;M compressão'!$N$5:$N$12</c:f>
              <c:numCache/>
            </c:numRef>
          </c:val>
        </c:ser>
        <c:ser>
          <c:idx val="2"/>
          <c:order val="2"/>
          <c:tx>
            <c:strRef>
              <c:f>'Custo O&amp;M compressão'!$P$4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'Custo O&amp;M compressão'!$J$5:$J$12</c:f>
            </c:strRef>
          </c:cat>
          <c:val>
            <c:numRef>
              <c:f>'Custo O&amp;M compressão'!$P$5:$P$12</c:f>
              <c:numCache/>
            </c:numRef>
          </c:val>
        </c:ser>
        <c:overlap val="100"/>
        <c:axId val="326390246"/>
        <c:axId val="40321249"/>
      </c:barChart>
      <c:catAx>
        <c:axId val="326390246"/>
        <c:scaling>
          <c:orientation val="minMax"/>
          <c:max val="7000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CO2 mass flow rate [tonnes/day]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321249"/>
      </c:catAx>
      <c:valAx>
        <c:axId val="40321249"/>
        <c:scaling>
          <c:orientation val="minMax"/>
          <c:max val="24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$/tonnes CO2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6390246"/>
        <c:majorUnit val="2.0"/>
        <c:minorUnit val="0.66666666666666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+mn-lt"/>
              </a:defRPr>
            </a:pPr>
            <a:r>
              <a:rPr b="1" sz="1200">
                <a:solidFill>
                  <a:srgbClr val="000000"/>
                </a:solidFill>
                <a:latin typeface="+mn-lt"/>
              </a:rPr>
              <a:t>Component Contribution to Annual Cost of CO2 Compression and Pumping</a:t>
            </a:r>
          </a:p>
        </c:rich>
      </c:tx>
      <c:layout>
        <c:manualLayout>
          <c:xMode val="edge"/>
          <c:yMode val="edge"/>
          <c:x val="0.03310708898944194"/>
          <c:y val="0.05227790432801823"/>
        </c:manualLayout>
      </c:layout>
      <c:overlay val="0"/>
    </c:title>
    <c:plotArea>
      <c:layout>
        <c:manualLayout>
          <c:xMode val="edge"/>
          <c:yMode val="edge"/>
          <c:x val="0.14102408854166668"/>
          <c:y val="0.19752920035938903"/>
          <c:w val="0.8280592447916667"/>
          <c:h val="0.7039532794249774"/>
        </c:manualLayout>
      </c:layout>
      <c:barChart>
        <c:barDir val="col"/>
        <c:grouping val="stacked"/>
        <c:ser>
          <c:idx val="0"/>
          <c:order val="0"/>
          <c:tx>
            <c:strRef>
              <c:f>'Custo O&amp;M compressão'!$M$3:$M$4</c:f>
            </c:strRef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dLbls>
            <c:numFmt formatCode="0.00E+0" sourceLinked="0"/>
            <c:txPr>
              <a:bodyPr/>
              <a:lstStyle/>
              <a:p>
                <a:pPr lvl="0">
                  <a:defRPr sz="9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'Custo O&amp;M compressão'!$J$5:$J$12</c:f>
            </c:strRef>
          </c:cat>
          <c:val>
            <c:numRef>
              <c:f>'Custo O&amp;M compressão'!$M$5:$M$12</c:f>
              <c:numCache/>
            </c:numRef>
          </c:val>
        </c:ser>
        <c:ser>
          <c:idx val="1"/>
          <c:order val="1"/>
          <c:tx>
            <c:strRef>
              <c:f>'Custo O&amp;M compressão'!$O$3:$O$4</c:f>
            </c:strRef>
          </c:tx>
          <c:spPr>
            <a:solidFill>
              <a:srgbClr val="990000"/>
            </a:solidFill>
            <a:ln cmpd="sng">
              <a:solidFill>
                <a:srgbClr val="000000"/>
              </a:solidFill>
            </a:ln>
          </c:spPr>
          <c:dPt>
            <c:idx val="6"/>
          </c:dPt>
          <c:dPt>
            <c:idx val="7"/>
          </c:dPt>
          <c:dLbls>
            <c:numFmt formatCode="0.00E+0" sourceLinked="0"/>
            <c:txPr>
              <a:bodyPr/>
              <a:lstStyle/>
              <a:p>
                <a:pPr lvl="0">
                  <a:defRPr sz="9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'Custo O&amp;M compressão'!$J$5:$J$12</c:f>
            </c:strRef>
          </c:cat>
          <c:val>
            <c:numRef>
              <c:f>'Custo O&amp;M compressão'!$O$5:$O$12</c:f>
              <c:numCache/>
            </c:numRef>
          </c:val>
        </c:ser>
        <c:ser>
          <c:idx val="2"/>
          <c:order val="2"/>
          <c:tx>
            <c:strRef>
              <c:f>'Custo O&amp;M compressão'!$Q$3:$Q$4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0.00E+0" sourceLinked="0"/>
            <c:txPr>
              <a:bodyPr/>
              <a:lstStyle/>
              <a:p>
                <a:pPr lvl="0">
                  <a:defRPr sz="90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'Custo O&amp;M compressão'!$J$5:$J$12</c:f>
            </c:strRef>
          </c:cat>
          <c:val>
            <c:numRef>
              <c:f>'Custo O&amp;M compressão'!$Q$5:$Q$12</c:f>
              <c:numCache/>
            </c:numRef>
          </c:val>
        </c:ser>
        <c:overlap val="100"/>
        <c:axId val="1935067648"/>
        <c:axId val="1664033695"/>
      </c:barChart>
      <c:catAx>
        <c:axId val="1935067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CO2 mass flow rate [tonnes/day]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4033695"/>
      </c:catAx>
      <c:valAx>
        <c:axId val="1664033695"/>
        <c:scaling>
          <c:orientation val="minMax"/>
          <c:max val="2.0E8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$ [x10^6]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5067648"/>
      </c:valAx>
    </c:plotArea>
    <c:legend>
      <c:legendPos val="r"/>
      <c:layout>
        <c:manualLayout>
          <c:xMode val="edge"/>
          <c:yMode val="edge"/>
          <c:x val="0.2687679036458334"/>
          <c:y val="0.1183737646001797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000000"/>
                </a:solidFill>
                <a:latin typeface="+mn-lt"/>
              </a:defRPr>
            </a:pPr>
            <a:r>
              <a:rPr b="0" sz="1400">
                <a:solidFill>
                  <a:srgbClr val="000000"/>
                </a:solidFill>
                <a:latin typeface="+mn-lt"/>
              </a:rPr>
              <a:t>Capital Cost of Compression and Pumping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'Custo O&amp;M compressão'!$G$3:$G$5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'Custo O&amp;M compressão'!$F$6:$F$13</c:f>
            </c:strRef>
          </c:cat>
          <c:val>
            <c:numRef>
              <c:f>'Custo O&amp;M compressão'!$G$6:$G$13</c:f>
              <c:numCache/>
            </c:numRef>
          </c:val>
        </c:ser>
        <c:ser>
          <c:idx val="1"/>
          <c:order val="1"/>
          <c:tx>
            <c:strRef>
              <c:f>'Custo O&amp;M compressão'!$H$3:$H$5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'Custo O&amp;M compressão'!$F$6:$F$13</c:f>
            </c:strRef>
          </c:cat>
          <c:val>
            <c:numRef>
              <c:f>'Custo O&amp;M compressão'!$H$6:$H$13</c:f>
              <c:numCache/>
            </c:numRef>
          </c:val>
        </c:ser>
        <c:overlap val="100"/>
        <c:axId val="64257812"/>
        <c:axId val="645812850"/>
      </c:barChart>
      <c:catAx>
        <c:axId val="642578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CO2 mass flow rate [tonnes/day]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5812850"/>
      </c:catAx>
      <c:valAx>
        <c:axId val="645812850"/>
        <c:scaling>
          <c:orientation val="minMax"/>
          <c:max val="11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[$/kW]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257812"/>
        <c:majorUnit val="1000.0"/>
        <c:minorUnit val="1000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000000"/>
                </a:solidFill>
                <a:latin typeface="+mn-lt"/>
              </a:defRPr>
            </a:pPr>
            <a:r>
              <a:rPr b="1" sz="1400">
                <a:solidFill>
                  <a:srgbClr val="000000"/>
                </a:solidFill>
                <a:latin typeface="+mn-lt"/>
              </a:rPr>
              <a:t>Power Requirement of Compression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'Avaliação'!$G$48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'Avaliação'!$H$47:$N$47</c:f>
            </c:strRef>
          </c:cat>
          <c:val>
            <c:numRef>
              <c:f>'Avaliação'!$H$48:$N$48</c:f>
              <c:numCache/>
            </c:numRef>
          </c:val>
          <c:smooth val="0"/>
        </c:ser>
        <c:ser>
          <c:idx val="1"/>
          <c:order val="1"/>
          <c:tx>
            <c:strRef>
              <c:f>'Avaliação'!$G$49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'Avaliação'!$H$47:$N$47</c:f>
            </c:strRef>
          </c:cat>
          <c:val>
            <c:numRef>
              <c:f>'Avaliação'!$H$49:$N$49</c:f>
              <c:numCache/>
            </c:numRef>
          </c:val>
          <c:smooth val="0"/>
        </c:ser>
        <c:ser>
          <c:idx val="2"/>
          <c:order val="2"/>
          <c:tx>
            <c:strRef>
              <c:f>'Avaliação'!$G$50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'Avaliação'!$H$47:$N$47</c:f>
            </c:strRef>
          </c:cat>
          <c:val>
            <c:numRef>
              <c:f>'Avaliação'!$H$50:$N$50</c:f>
              <c:numCache/>
            </c:numRef>
          </c:val>
          <c:smooth val="0"/>
        </c:ser>
        <c:ser>
          <c:idx val="3"/>
          <c:order val="3"/>
          <c:tx>
            <c:strRef>
              <c:f>'Avaliação'!$G$51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'Avaliação'!$H$47:$N$47</c:f>
            </c:strRef>
          </c:cat>
          <c:val>
            <c:numRef>
              <c:f>'Avaliação'!$H$51:$N$51</c:f>
              <c:numCache/>
            </c:numRef>
          </c:val>
          <c:smooth val="0"/>
        </c:ser>
        <c:ser>
          <c:idx val="4"/>
          <c:order val="4"/>
          <c:tx>
            <c:strRef>
              <c:f>'Avaliação'!$G$52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'Avaliação'!$H$47:$N$47</c:f>
            </c:strRef>
          </c:cat>
          <c:val>
            <c:numRef>
              <c:f>'Avaliação'!$H$52:$N$52</c:f>
              <c:numCache/>
            </c:numRef>
          </c:val>
          <c:smooth val="0"/>
        </c:ser>
        <c:ser>
          <c:idx val="5"/>
          <c:order val="5"/>
          <c:tx>
            <c:strRef>
              <c:f>'Avaliação'!$G$53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'Avaliação'!$H$47:$N$47</c:f>
            </c:strRef>
          </c:cat>
          <c:val>
            <c:numRef>
              <c:f>'Avaliação'!$H$53:$N$53</c:f>
              <c:numCache/>
            </c:numRef>
          </c:val>
          <c:smooth val="0"/>
        </c:ser>
        <c:ser>
          <c:idx val="6"/>
          <c:order val="6"/>
          <c:tx>
            <c:strRef>
              <c:f>'Avaliação'!$G$57</c:f>
            </c:strRef>
          </c:tx>
          <c:spPr>
            <a:ln cmpd="sng">
              <a:solidFill>
                <a:srgbClr val="7BAAF7"/>
              </a:solidFill>
              <a:prstDash val="dash"/>
            </a:ln>
          </c:spPr>
          <c:marker>
            <c:symbol val="none"/>
          </c:marker>
          <c:cat>
            <c:strRef>
              <c:f>'Avaliação'!$H$47:$N$47</c:f>
            </c:strRef>
          </c:cat>
          <c:val>
            <c:numRef>
              <c:f>'Avaliação'!$H$57:$N$57</c:f>
              <c:numCache/>
            </c:numRef>
          </c:val>
          <c:smooth val="0"/>
        </c:ser>
        <c:ser>
          <c:idx val="7"/>
          <c:order val="7"/>
          <c:tx>
            <c:strRef>
              <c:f>'Avaliação'!$G$58</c:f>
            </c:strRef>
          </c:tx>
          <c:spPr>
            <a:ln cmpd="sng">
              <a:solidFill>
                <a:srgbClr val="F07B72"/>
              </a:solidFill>
              <a:prstDash val="dash"/>
            </a:ln>
          </c:spPr>
          <c:marker>
            <c:symbol val="none"/>
          </c:marker>
          <c:cat>
            <c:strRef>
              <c:f>'Avaliação'!$H$47:$N$47</c:f>
            </c:strRef>
          </c:cat>
          <c:val>
            <c:numRef>
              <c:f>'Avaliação'!$H$58:$N$58</c:f>
              <c:numCache/>
            </c:numRef>
          </c:val>
          <c:smooth val="0"/>
        </c:ser>
        <c:ser>
          <c:idx val="8"/>
          <c:order val="8"/>
          <c:tx>
            <c:strRef>
              <c:f>'Avaliação'!$G$59</c:f>
            </c:strRef>
          </c:tx>
          <c:spPr>
            <a:ln cmpd="sng">
              <a:solidFill>
                <a:srgbClr val="FCD04F"/>
              </a:solidFill>
              <a:prstDash val="dash"/>
            </a:ln>
          </c:spPr>
          <c:marker>
            <c:symbol val="none"/>
          </c:marker>
          <c:cat>
            <c:strRef>
              <c:f>'Avaliação'!$H$47:$N$47</c:f>
            </c:strRef>
          </c:cat>
          <c:val>
            <c:numRef>
              <c:f>'Avaliação'!$H$59:$N$59</c:f>
              <c:numCache/>
            </c:numRef>
          </c:val>
          <c:smooth val="0"/>
        </c:ser>
        <c:ser>
          <c:idx val="9"/>
          <c:order val="9"/>
          <c:tx>
            <c:strRef>
              <c:f>'Avaliação'!$G$60</c:f>
            </c:strRef>
          </c:tx>
          <c:spPr>
            <a:ln cmpd="sng">
              <a:solidFill>
                <a:srgbClr val="71C287"/>
              </a:solidFill>
              <a:prstDash val="dash"/>
            </a:ln>
          </c:spPr>
          <c:marker>
            <c:symbol val="none"/>
          </c:marker>
          <c:cat>
            <c:strRef>
              <c:f>'Avaliação'!$H$47:$N$47</c:f>
            </c:strRef>
          </c:cat>
          <c:val>
            <c:numRef>
              <c:f>'Avaliação'!$H$60:$N$60</c:f>
              <c:numCache/>
            </c:numRef>
          </c:val>
          <c:smooth val="0"/>
        </c:ser>
        <c:ser>
          <c:idx val="10"/>
          <c:order val="10"/>
          <c:tx>
            <c:strRef>
              <c:f>'Avaliação'!$G$61</c:f>
            </c:strRef>
          </c:tx>
          <c:spPr>
            <a:ln cmpd="sng">
              <a:solidFill>
                <a:srgbClr val="FF994D"/>
              </a:solidFill>
              <a:prstDash val="dash"/>
            </a:ln>
          </c:spPr>
          <c:marker>
            <c:symbol val="none"/>
          </c:marker>
          <c:cat>
            <c:strRef>
              <c:f>'Avaliação'!$H$47:$N$47</c:f>
            </c:strRef>
          </c:cat>
          <c:val>
            <c:numRef>
              <c:f>'Avaliação'!$H$61:$N$61</c:f>
              <c:numCache/>
            </c:numRef>
          </c:val>
          <c:smooth val="0"/>
        </c:ser>
        <c:ser>
          <c:idx val="11"/>
          <c:order val="11"/>
          <c:tx>
            <c:strRef>
              <c:f>'Avaliação'!$G$62</c:f>
            </c:strRef>
          </c:tx>
          <c:spPr>
            <a:ln cmpd="sng">
              <a:solidFill>
                <a:srgbClr val="7ED1D7"/>
              </a:solidFill>
              <a:prstDash val="dash"/>
            </a:ln>
          </c:spPr>
          <c:marker>
            <c:symbol val="none"/>
          </c:marker>
          <c:cat>
            <c:strRef>
              <c:f>'Avaliação'!$H$47:$N$47</c:f>
            </c:strRef>
          </c:cat>
          <c:val>
            <c:numRef>
              <c:f>'Avaliação'!$H$62:$N$62</c:f>
              <c:numCache/>
            </c:numRef>
          </c:val>
          <c:smooth val="0"/>
        </c:ser>
        <c:axId val="192907149"/>
        <c:axId val="393837022"/>
      </c:lineChart>
      <c:catAx>
        <c:axId val="1929071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Years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3837022"/>
      </c:catAx>
      <c:valAx>
        <c:axId val="393837022"/>
        <c:scaling>
          <c:orientation val="minMax"/>
          <c:max val="30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Power [kW]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9071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000000"/>
                </a:solidFill>
                <a:latin typeface="+mn-lt"/>
              </a:defRPr>
            </a:pPr>
            <a:r>
              <a:rPr b="1" sz="1400">
                <a:solidFill>
                  <a:srgbClr val="000000"/>
                </a:solidFill>
                <a:latin typeface="+mn-lt"/>
              </a:rPr>
              <a:t>Capital Cost of Compression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'Avaliação'!$G$120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'Avaliação'!$H$47:$N$47</c:f>
            </c:strRef>
          </c:cat>
          <c:val>
            <c:numRef>
              <c:f>'Avaliação'!$H$120:$N$120</c:f>
              <c:numCache/>
            </c:numRef>
          </c:val>
          <c:smooth val="0"/>
        </c:ser>
        <c:ser>
          <c:idx val="1"/>
          <c:order val="1"/>
          <c:tx>
            <c:strRef>
              <c:f>'Avaliação'!$G$121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'Avaliação'!$H$47:$N$47</c:f>
            </c:strRef>
          </c:cat>
          <c:val>
            <c:numRef>
              <c:f>'Avaliação'!$H$121:$N$121</c:f>
              <c:numCache/>
            </c:numRef>
          </c:val>
          <c:smooth val="0"/>
        </c:ser>
        <c:ser>
          <c:idx val="2"/>
          <c:order val="2"/>
          <c:tx>
            <c:strRef>
              <c:f>'Avaliação'!$G$122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'Avaliação'!$H$47:$N$47</c:f>
            </c:strRef>
          </c:cat>
          <c:val>
            <c:numRef>
              <c:f>'Avaliação'!$H$122:$N$122</c:f>
              <c:numCache/>
            </c:numRef>
          </c:val>
          <c:smooth val="0"/>
        </c:ser>
        <c:ser>
          <c:idx val="3"/>
          <c:order val="3"/>
          <c:tx>
            <c:strRef>
              <c:f>'Avaliação'!$G$123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'Avaliação'!$H$47:$N$47</c:f>
            </c:strRef>
          </c:cat>
          <c:val>
            <c:numRef>
              <c:f>'Avaliação'!$H$123:$N$123</c:f>
              <c:numCache/>
            </c:numRef>
          </c:val>
          <c:smooth val="0"/>
        </c:ser>
        <c:ser>
          <c:idx val="4"/>
          <c:order val="4"/>
          <c:tx>
            <c:strRef>
              <c:f>'Avaliação'!$G$124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'Avaliação'!$H$47:$N$47</c:f>
            </c:strRef>
          </c:cat>
          <c:val>
            <c:numRef>
              <c:f>'Avaliação'!$H$124:$N$124</c:f>
              <c:numCache/>
            </c:numRef>
          </c:val>
          <c:smooth val="0"/>
        </c:ser>
        <c:ser>
          <c:idx val="5"/>
          <c:order val="5"/>
          <c:tx>
            <c:strRef>
              <c:f>'Avaliação'!$G$125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'Avaliação'!$H$47:$N$47</c:f>
            </c:strRef>
          </c:cat>
          <c:val>
            <c:numRef>
              <c:f>'Avaliação'!$H$125:$N$125</c:f>
              <c:numCache/>
            </c:numRef>
          </c:val>
          <c:smooth val="0"/>
        </c:ser>
        <c:ser>
          <c:idx val="6"/>
          <c:order val="6"/>
          <c:tx>
            <c:strRef>
              <c:f>'Avaliação'!$G$129</c:f>
            </c:strRef>
          </c:tx>
          <c:spPr>
            <a:ln cmpd="sng">
              <a:solidFill>
                <a:srgbClr val="7BAAF7"/>
              </a:solidFill>
              <a:prstDash val="dash"/>
            </a:ln>
          </c:spPr>
          <c:marker>
            <c:symbol val="none"/>
          </c:marker>
          <c:cat>
            <c:strRef>
              <c:f>'Avaliação'!$H$47:$N$47</c:f>
            </c:strRef>
          </c:cat>
          <c:val>
            <c:numRef>
              <c:f>'Avaliação'!$H$129:$N$129</c:f>
              <c:numCache/>
            </c:numRef>
          </c:val>
          <c:smooth val="0"/>
        </c:ser>
        <c:ser>
          <c:idx val="7"/>
          <c:order val="7"/>
          <c:tx>
            <c:strRef>
              <c:f>'Avaliação'!$G$130</c:f>
            </c:strRef>
          </c:tx>
          <c:spPr>
            <a:ln cmpd="sng">
              <a:solidFill>
                <a:srgbClr val="F07B72"/>
              </a:solidFill>
              <a:prstDash val="dash"/>
            </a:ln>
          </c:spPr>
          <c:marker>
            <c:symbol val="none"/>
          </c:marker>
          <c:cat>
            <c:strRef>
              <c:f>'Avaliação'!$H$47:$N$47</c:f>
            </c:strRef>
          </c:cat>
          <c:val>
            <c:numRef>
              <c:f>'Avaliação'!$H$130:$N$130</c:f>
              <c:numCache/>
            </c:numRef>
          </c:val>
          <c:smooth val="0"/>
        </c:ser>
        <c:ser>
          <c:idx val="8"/>
          <c:order val="8"/>
          <c:tx>
            <c:strRef>
              <c:f>'Avaliação'!$G$131</c:f>
            </c:strRef>
          </c:tx>
          <c:spPr>
            <a:ln cmpd="sng">
              <a:solidFill>
                <a:srgbClr val="FCD04F"/>
              </a:solidFill>
              <a:prstDash val="dash"/>
            </a:ln>
          </c:spPr>
          <c:marker>
            <c:symbol val="none"/>
          </c:marker>
          <c:cat>
            <c:strRef>
              <c:f>'Avaliação'!$H$47:$N$47</c:f>
            </c:strRef>
          </c:cat>
          <c:val>
            <c:numRef>
              <c:f>'Avaliação'!$H$131:$N$131</c:f>
              <c:numCache/>
            </c:numRef>
          </c:val>
          <c:smooth val="0"/>
        </c:ser>
        <c:ser>
          <c:idx val="9"/>
          <c:order val="9"/>
          <c:tx>
            <c:strRef>
              <c:f>'Avaliação'!$G$132</c:f>
            </c:strRef>
          </c:tx>
          <c:spPr>
            <a:ln cmpd="sng">
              <a:solidFill>
                <a:srgbClr val="71C287"/>
              </a:solidFill>
              <a:prstDash val="dash"/>
            </a:ln>
          </c:spPr>
          <c:marker>
            <c:symbol val="none"/>
          </c:marker>
          <c:cat>
            <c:strRef>
              <c:f>'Avaliação'!$H$47:$N$47</c:f>
            </c:strRef>
          </c:cat>
          <c:val>
            <c:numRef>
              <c:f>'Avaliação'!$H$132:$N$132</c:f>
              <c:numCache/>
            </c:numRef>
          </c:val>
          <c:smooth val="0"/>
        </c:ser>
        <c:ser>
          <c:idx val="10"/>
          <c:order val="10"/>
          <c:tx>
            <c:strRef>
              <c:f>'Avaliação'!$G$133</c:f>
            </c:strRef>
          </c:tx>
          <c:spPr>
            <a:ln cmpd="sng">
              <a:solidFill>
                <a:srgbClr val="FF994D"/>
              </a:solidFill>
              <a:prstDash val="dash"/>
            </a:ln>
          </c:spPr>
          <c:marker>
            <c:symbol val="none"/>
          </c:marker>
          <c:cat>
            <c:strRef>
              <c:f>'Avaliação'!$H$47:$N$47</c:f>
            </c:strRef>
          </c:cat>
          <c:val>
            <c:numRef>
              <c:f>'Avaliação'!$H$133:$N$133</c:f>
              <c:numCache/>
            </c:numRef>
          </c:val>
          <c:smooth val="0"/>
        </c:ser>
        <c:ser>
          <c:idx val="11"/>
          <c:order val="11"/>
          <c:tx>
            <c:strRef>
              <c:f>'Avaliação'!$G$134</c:f>
            </c:strRef>
          </c:tx>
          <c:spPr>
            <a:ln cmpd="sng">
              <a:solidFill>
                <a:srgbClr val="7ED1D7"/>
              </a:solidFill>
              <a:prstDash val="dash"/>
            </a:ln>
          </c:spPr>
          <c:marker>
            <c:symbol val="none"/>
          </c:marker>
          <c:cat>
            <c:strRef>
              <c:f>'Avaliação'!$H$47:$N$47</c:f>
            </c:strRef>
          </c:cat>
          <c:val>
            <c:numRef>
              <c:f>'Avaliação'!$H$134:$N$134</c:f>
              <c:numCache/>
            </c:numRef>
          </c:val>
          <c:smooth val="0"/>
        </c:ser>
        <c:axId val="1283061571"/>
        <c:axId val="2030117985"/>
      </c:lineChart>
      <c:catAx>
        <c:axId val="12830615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Years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0117985"/>
      </c:catAx>
      <c:valAx>
        <c:axId val="20301179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[$/kW]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30615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Relationship Id="rId4" Type="http://schemas.openxmlformats.org/officeDocument/2006/relationships/chart" Target="../charts/chart2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Relationship Id="rId4" Type="http://schemas.openxmlformats.org/officeDocument/2006/relationships/chart" Target="../charts/chart1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114300</xdr:colOff>
      <xdr:row>11</xdr:row>
      <xdr:rowOff>200025</xdr:rowOff>
    </xdr:from>
    <xdr:ext cx="5629275" cy="33813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114300</xdr:colOff>
      <xdr:row>29</xdr:row>
      <xdr:rowOff>114300</xdr:rowOff>
    </xdr:from>
    <xdr:ext cx="5629275" cy="37052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9525</xdr:colOff>
      <xdr:row>63</xdr:row>
      <xdr:rowOff>19050</xdr:rowOff>
    </xdr:from>
    <xdr:ext cx="7010400" cy="5219700"/>
    <xdr:graphicFrame>
      <xdr:nvGraphicFramePr>
        <xdr:cNvPr id="22" name="Chart 2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9525</xdr:colOff>
      <xdr:row>135</xdr:row>
      <xdr:rowOff>28575</xdr:rowOff>
    </xdr:from>
    <xdr:ext cx="7058025" cy="5219700"/>
    <xdr:graphicFrame>
      <xdr:nvGraphicFramePr>
        <xdr:cNvPr id="23" name="Chart 2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9525</xdr:colOff>
      <xdr:row>204</xdr:row>
      <xdr:rowOff>95250</xdr:rowOff>
    </xdr:from>
    <xdr:ext cx="7058025" cy="5105400"/>
    <xdr:graphicFrame>
      <xdr:nvGraphicFramePr>
        <xdr:cNvPr id="24" name="Chart 2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13</xdr:col>
      <xdr:colOff>476250</xdr:colOff>
      <xdr:row>205</xdr:row>
      <xdr:rowOff>123825</xdr:rowOff>
    </xdr:from>
    <xdr:ext cx="7058025" cy="5105400"/>
    <xdr:graphicFrame>
      <xdr:nvGraphicFramePr>
        <xdr:cNvPr id="25" name="Chart 2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438150</xdr:colOff>
      <xdr:row>13</xdr:row>
      <xdr:rowOff>114300</xdr:rowOff>
    </xdr:from>
    <xdr:ext cx="5000625" cy="309562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219075</xdr:colOff>
      <xdr:row>29</xdr:row>
      <xdr:rowOff>133350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17</xdr:col>
      <xdr:colOff>609600</xdr:colOff>
      <xdr:row>13</xdr:row>
      <xdr:rowOff>114300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17</xdr:col>
      <xdr:colOff>609600</xdr:colOff>
      <xdr:row>31</xdr:row>
      <xdr:rowOff>190500</xdr:rowOff>
    </xdr:from>
    <xdr:ext cx="6315075" cy="41814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</xdr:col>
      <xdr:colOff>438150</xdr:colOff>
      <xdr:row>29</xdr:row>
      <xdr:rowOff>133350</xdr:rowOff>
    </xdr:from>
    <xdr:ext cx="5000625" cy="309562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9525</xdr:colOff>
      <xdr:row>63</xdr:row>
      <xdr:rowOff>19050</xdr:rowOff>
    </xdr:from>
    <xdr:ext cx="7981950" cy="593407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9525</xdr:colOff>
      <xdr:row>135</xdr:row>
      <xdr:rowOff>28575</xdr:rowOff>
    </xdr:from>
    <xdr:ext cx="7981950" cy="5934075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9525</xdr:colOff>
      <xdr:row>205</xdr:row>
      <xdr:rowOff>38100</xdr:rowOff>
    </xdr:from>
    <xdr:ext cx="7981950" cy="4924425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16</xdr:col>
      <xdr:colOff>809625</xdr:colOff>
      <xdr:row>194</xdr:row>
      <xdr:rowOff>85725</xdr:rowOff>
    </xdr:from>
    <xdr:ext cx="5715000" cy="3533775"/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114300</xdr:colOff>
      <xdr:row>11</xdr:row>
      <xdr:rowOff>200025</xdr:rowOff>
    </xdr:from>
    <xdr:ext cx="5629275" cy="3381375"/>
    <xdr:graphicFrame>
      <xdr:nvGraphicFramePr>
        <xdr:cNvPr id="12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495300</xdr:colOff>
      <xdr:row>30</xdr:row>
      <xdr:rowOff>142875</xdr:rowOff>
    </xdr:from>
    <xdr:ext cx="6781800" cy="4486275"/>
    <xdr:graphicFrame>
      <xdr:nvGraphicFramePr>
        <xdr:cNvPr id="13" name="Chart 1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438150</xdr:colOff>
      <xdr:row>13</xdr:row>
      <xdr:rowOff>114300</xdr:rowOff>
    </xdr:from>
    <xdr:ext cx="5000625" cy="3095625"/>
    <xdr:graphicFrame>
      <xdr:nvGraphicFramePr>
        <xdr:cNvPr id="14" name="Chart 1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219075</xdr:colOff>
      <xdr:row>29</xdr:row>
      <xdr:rowOff>133350</xdr:rowOff>
    </xdr:from>
    <xdr:ext cx="5715000" cy="3533775"/>
    <xdr:graphicFrame>
      <xdr:nvGraphicFramePr>
        <xdr:cNvPr id="15" name="Chart 1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17</xdr:col>
      <xdr:colOff>609600</xdr:colOff>
      <xdr:row>13</xdr:row>
      <xdr:rowOff>114300</xdr:rowOff>
    </xdr:from>
    <xdr:ext cx="5715000" cy="3533775"/>
    <xdr:graphicFrame>
      <xdr:nvGraphicFramePr>
        <xdr:cNvPr id="16" name="Chart 1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17</xdr:col>
      <xdr:colOff>609600</xdr:colOff>
      <xdr:row>31</xdr:row>
      <xdr:rowOff>190500</xdr:rowOff>
    </xdr:from>
    <xdr:ext cx="6315075" cy="4181475"/>
    <xdr:graphicFrame>
      <xdr:nvGraphicFramePr>
        <xdr:cNvPr id="17" name="Chart 1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</xdr:col>
      <xdr:colOff>219075</xdr:colOff>
      <xdr:row>29</xdr:row>
      <xdr:rowOff>133350</xdr:rowOff>
    </xdr:from>
    <xdr:ext cx="7143750" cy="4419600"/>
    <xdr:graphicFrame>
      <xdr:nvGraphicFramePr>
        <xdr:cNvPr id="18" name="Chart 1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9525</xdr:colOff>
      <xdr:row>63</xdr:row>
      <xdr:rowOff>19050</xdr:rowOff>
    </xdr:from>
    <xdr:ext cx="7010400" cy="5219700"/>
    <xdr:graphicFrame>
      <xdr:nvGraphicFramePr>
        <xdr:cNvPr id="19" name="Chart 1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9525</xdr:colOff>
      <xdr:row>135</xdr:row>
      <xdr:rowOff>28575</xdr:rowOff>
    </xdr:from>
    <xdr:ext cx="7058025" cy="5219700"/>
    <xdr:graphicFrame>
      <xdr:nvGraphicFramePr>
        <xdr:cNvPr id="20" name="Chart 2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9525</xdr:colOff>
      <xdr:row>204</xdr:row>
      <xdr:rowOff>95250</xdr:rowOff>
    </xdr:from>
    <xdr:ext cx="7058025" cy="5105400"/>
    <xdr:graphicFrame>
      <xdr:nvGraphicFramePr>
        <xdr:cNvPr id="21" name="Chart 2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9.88"/>
    <col customWidth="1" min="2" max="2" width="8.0"/>
    <col customWidth="1" min="3" max="3" width="11.25"/>
    <col customWidth="1" min="4" max="4" width="15.5"/>
    <col customWidth="1" min="5" max="5" width="16.88"/>
    <col customWidth="1" min="7" max="7" width="5.63"/>
    <col customWidth="1" min="8" max="8" width="25.63"/>
    <col customWidth="1" min="9" max="10" width="18.75"/>
  </cols>
  <sheetData>
    <row r="1">
      <c r="A1" s="1" t="s">
        <v>0</v>
      </c>
      <c r="B1" s="1"/>
      <c r="C1" s="1" t="s">
        <v>1</v>
      </c>
      <c r="D1" s="1" t="s">
        <v>2</v>
      </c>
      <c r="E1" s="1" t="s">
        <v>3</v>
      </c>
    </row>
    <row r="2">
      <c r="A2" s="1" t="s">
        <v>4</v>
      </c>
      <c r="B2" s="2">
        <v>0.1</v>
      </c>
      <c r="C2" s="1" t="s">
        <v>5</v>
      </c>
      <c r="D2" s="1" t="s">
        <v>6</v>
      </c>
      <c r="E2" s="1" t="s">
        <v>7</v>
      </c>
    </row>
    <row r="3">
      <c r="A3" s="1" t="s">
        <v>8</v>
      </c>
      <c r="B3" s="2">
        <v>15.0</v>
      </c>
      <c r="C3" s="1" t="s">
        <v>5</v>
      </c>
      <c r="D3" s="1" t="s">
        <v>9</v>
      </c>
      <c r="E3" s="1" t="s">
        <v>10</v>
      </c>
    </row>
    <row r="4">
      <c r="A4" s="1" t="s">
        <v>11</v>
      </c>
      <c r="B4" s="2">
        <v>7.38</v>
      </c>
      <c r="C4" s="1" t="s">
        <v>5</v>
      </c>
      <c r="D4" s="1" t="s">
        <v>12</v>
      </c>
      <c r="E4" s="1" t="s">
        <v>7</v>
      </c>
      <c r="G4" s="1"/>
      <c r="H4" s="3" t="s">
        <v>13</v>
      </c>
      <c r="I4" s="3" t="s">
        <v>14</v>
      </c>
      <c r="J4" s="3" t="s">
        <v>15</v>
      </c>
      <c r="K4" s="3" t="s">
        <v>16</v>
      </c>
      <c r="L4" s="3" t="s">
        <v>17</v>
      </c>
    </row>
    <row r="5">
      <c r="A5" s="1" t="s">
        <v>18</v>
      </c>
      <c r="B5" s="2">
        <v>4.0</v>
      </c>
      <c r="C5" s="4" t="s">
        <v>19</v>
      </c>
      <c r="D5" s="1" t="s">
        <v>20</v>
      </c>
      <c r="E5" s="1" t="s">
        <v>21</v>
      </c>
      <c r="G5" s="1"/>
      <c r="H5" s="3" t="s">
        <v>22</v>
      </c>
      <c r="I5" s="3" t="s">
        <v>23</v>
      </c>
      <c r="J5" s="3" t="s">
        <v>24</v>
      </c>
      <c r="K5" s="3" t="s">
        <v>25</v>
      </c>
      <c r="L5" s="3" t="s">
        <v>26</v>
      </c>
    </row>
    <row r="6">
      <c r="A6" s="1" t="s">
        <v>27</v>
      </c>
      <c r="B6" s="2">
        <v>44.01</v>
      </c>
      <c r="C6" s="1" t="s">
        <v>28</v>
      </c>
      <c r="D6" s="1" t="s">
        <v>29</v>
      </c>
      <c r="E6" s="1" t="s">
        <v>30</v>
      </c>
      <c r="H6" s="3" t="s">
        <v>31</v>
      </c>
      <c r="I6" s="3" t="s">
        <v>32</v>
      </c>
      <c r="J6" s="3" t="s">
        <v>33</v>
      </c>
      <c r="K6" s="3" t="s">
        <v>34</v>
      </c>
      <c r="L6" s="3" t="s">
        <v>35</v>
      </c>
    </row>
    <row r="7">
      <c r="A7" s="1" t="s">
        <v>36</v>
      </c>
      <c r="B7" s="2">
        <v>8.314</v>
      </c>
      <c r="C7" s="1" t="s">
        <v>37</v>
      </c>
      <c r="D7" s="1" t="s">
        <v>38</v>
      </c>
      <c r="E7" s="1" t="s">
        <v>30</v>
      </c>
      <c r="H7" s="3" t="s">
        <v>39</v>
      </c>
      <c r="I7" s="3" t="s">
        <v>40</v>
      </c>
      <c r="J7" s="3" t="s">
        <v>41</v>
      </c>
      <c r="K7" s="3" t="s">
        <v>42</v>
      </c>
      <c r="L7" s="3" t="s">
        <v>43</v>
      </c>
    </row>
    <row r="8">
      <c r="A8" s="1" t="s">
        <v>44</v>
      </c>
      <c r="B8" s="2">
        <v>313.15</v>
      </c>
      <c r="C8" s="1" t="s">
        <v>45</v>
      </c>
      <c r="D8" s="1" t="s">
        <v>46</v>
      </c>
      <c r="E8" s="1" t="s">
        <v>21</v>
      </c>
    </row>
    <row r="9">
      <c r="A9" s="1" t="s">
        <v>47</v>
      </c>
      <c r="B9" s="2">
        <v>0.82</v>
      </c>
      <c r="C9" s="4" t="s">
        <v>19</v>
      </c>
      <c r="D9" s="1" t="s">
        <v>48</v>
      </c>
      <c r="E9" s="1" t="s">
        <v>49</v>
      </c>
    </row>
    <row r="10">
      <c r="A10" s="1" t="s">
        <v>50</v>
      </c>
      <c r="B10" s="1">
        <v>65000.0</v>
      </c>
    </row>
    <row r="11">
      <c r="A11" s="1" t="s">
        <v>51</v>
      </c>
      <c r="B11" s="1">
        <v>630.0</v>
      </c>
      <c r="D11" s="5"/>
    </row>
    <row r="12">
      <c r="A12" s="1" t="s">
        <v>52</v>
      </c>
      <c r="B12" s="1">
        <v>0.75</v>
      </c>
      <c r="E12" s="1">
        <v>356.0</v>
      </c>
    </row>
    <row r="13">
      <c r="A13" s="1"/>
      <c r="E13" s="1"/>
      <c r="H13" s="6" t="s">
        <v>53</v>
      </c>
      <c r="I13" s="7"/>
      <c r="J13" s="8"/>
    </row>
    <row r="14">
      <c r="A14" s="1" t="s">
        <v>54</v>
      </c>
      <c r="E14" s="1" t="s">
        <v>55</v>
      </c>
      <c r="H14" s="9" t="s">
        <v>56</v>
      </c>
      <c r="I14" s="6" t="s">
        <v>57</v>
      </c>
      <c r="J14" s="8"/>
    </row>
    <row r="15">
      <c r="A15" s="1" t="s">
        <v>58</v>
      </c>
      <c r="B15" s="10">
        <f>(B4/B2)^(1/B5)</f>
        <v>2.930988338</v>
      </c>
      <c r="H15" s="11"/>
      <c r="I15" s="9" t="s">
        <v>59</v>
      </c>
      <c r="J15" s="9" t="s">
        <v>60</v>
      </c>
    </row>
    <row r="16">
      <c r="A16" s="1"/>
      <c r="H16" s="9">
        <v>300.0</v>
      </c>
      <c r="I16" s="9">
        <v>1176.0</v>
      </c>
      <c r="J16" s="9">
        <v>56.0</v>
      </c>
    </row>
    <row r="17">
      <c r="B17" s="1" t="s">
        <v>61</v>
      </c>
      <c r="C17" s="5">
        <f>(1000/(24*3600))*($B$10*C18*$B$7*$B$8/($B$6*$B$9))*(C19/(C19-1))*($B$15^(((C19-1)/C19))-1)</f>
        <v>65321.96527</v>
      </c>
      <c r="D17" s="12">
        <f>((22.26+((5.981*10^-2)*$E$12)+((-3.501*10^-5)*$E$12^2)+((7.469*10^-9)*$E$12^3))/44.01)/D18</f>
        <v>1.267002209</v>
      </c>
      <c r="E17" s="1" t="s">
        <v>62</v>
      </c>
      <c r="F17" s="5">
        <f>((1000*10)/(24*36))*((B10*(B3-B4))/(B11*B12))</f>
        <v>12132.56908</v>
      </c>
      <c r="H17" s="9">
        <v>5000.0</v>
      </c>
      <c r="I17" s="9">
        <v>19605.0</v>
      </c>
      <c r="J17" s="9">
        <v>933.0</v>
      </c>
    </row>
    <row r="18">
      <c r="B18" s="1" t="s">
        <v>63</v>
      </c>
      <c r="C18" s="1">
        <v>0.995</v>
      </c>
      <c r="D18" s="13">
        <f>((22.26+((5.981*10^-2)*$E$12)+((-3.501*10^-5)*$E$12^2)+((7.469*10^-9)*$E$12^3))/44.01)-(8.314/44.01)</f>
        <v>0.7075282686</v>
      </c>
      <c r="H18" s="9">
        <v>10000.0</v>
      </c>
      <c r="I18" s="9">
        <v>39210.0</v>
      </c>
      <c r="J18" s="9">
        <v>1867.0</v>
      </c>
    </row>
    <row r="19">
      <c r="A19" s="14">
        <v>1.277</v>
      </c>
      <c r="B19" s="1" t="s">
        <v>64</v>
      </c>
      <c r="C19" s="15">
        <f>D17/C18</f>
        <v>1.273369055</v>
      </c>
      <c r="D19" s="12">
        <f>D17/C18</f>
        <v>1.273369055</v>
      </c>
      <c r="H19" s="9">
        <v>15000.0</v>
      </c>
      <c r="I19" s="9">
        <v>58816.0</v>
      </c>
      <c r="J19" s="9">
        <v>2800.0</v>
      </c>
    </row>
    <row r="20">
      <c r="H20" s="9">
        <v>20000.0</v>
      </c>
      <c r="I20" s="9">
        <v>78421.0</v>
      </c>
      <c r="J20" s="9">
        <v>3733.0</v>
      </c>
    </row>
    <row r="21">
      <c r="B21" s="1" t="s">
        <v>65</v>
      </c>
      <c r="C21" s="5">
        <f>(1000/(24*3600))*($B$10*C22*$B$7*$B$8/($B$6*$B$9))*(C23/(C23-1))*($B$15^(((C23-1)/C23))-1)</f>
        <v>64988.51034</v>
      </c>
      <c r="D21" s="12">
        <f>((22.26+((5.981*10^-2)*$E$12)+((-3.501*10^-5)*$E$12^2)+((7.469*10^-9)*$E$12^3))/44.01)/D22</f>
        <v>1.267002209</v>
      </c>
      <c r="H21" s="9">
        <v>25000.0</v>
      </c>
      <c r="I21" s="9">
        <v>98026.0</v>
      </c>
      <c r="J21" s="9">
        <v>4666.0</v>
      </c>
    </row>
    <row r="22">
      <c r="B22" s="1" t="s">
        <v>63</v>
      </c>
      <c r="C22" s="1">
        <v>0.986</v>
      </c>
      <c r="D22" s="13">
        <f>((22.26+((5.981*10^-2)*$E$12)+((-3.501*10^-5)*$E$12^2)+((7.469*10^-9)*$E$12^3))/44.01)-(8.314/44.01)</f>
        <v>0.7075282686</v>
      </c>
      <c r="E22" s="1" t="s">
        <v>66</v>
      </c>
      <c r="F22" s="5">
        <f>SUM(C17,C21,C25,C29)</f>
        <v>254867.7663</v>
      </c>
      <c r="H22" s="9">
        <v>30000.0</v>
      </c>
      <c r="I22" s="9">
        <v>117631.0</v>
      </c>
      <c r="J22" s="9">
        <v>5600.0</v>
      </c>
    </row>
    <row r="23">
      <c r="A23" s="14">
        <v>1.286</v>
      </c>
      <c r="B23" s="1" t="s">
        <v>64</v>
      </c>
      <c r="C23" s="15">
        <f>D21/C22</f>
        <v>1.284992099</v>
      </c>
      <c r="D23" s="12">
        <f>D21/C22</f>
        <v>1.284992099</v>
      </c>
      <c r="E23" s="1" t="s">
        <v>67</v>
      </c>
      <c r="F23" s="1">
        <f>ROUNDUP(F22/60000,0)</f>
        <v>5</v>
      </c>
      <c r="H23" s="9">
        <v>35000.0</v>
      </c>
      <c r="I23" s="9">
        <v>137236.0</v>
      </c>
      <c r="J23" s="9">
        <v>6533.0</v>
      </c>
    </row>
    <row r="24">
      <c r="H24" s="9">
        <v>40000.0</v>
      </c>
      <c r="I24" s="9">
        <v>156842.0</v>
      </c>
      <c r="J24" s="9">
        <v>7466.0</v>
      </c>
    </row>
    <row r="25">
      <c r="B25" s="1" t="s">
        <v>68</v>
      </c>
      <c r="C25" s="5">
        <f>(1000/(24*3600))*($B$10*C26*$B$7*$B$8/($B$6*$B$9))*(C27/(C27-1))*($B$15^(((C27-1)/C27))-1)</f>
        <v>63967.80136</v>
      </c>
      <c r="D25" s="12">
        <f>((22.26+((5.981*10^-2)*$E$12)+((-3.501*10^-5)*$E$12^2)+((7.469*10^-9)*$E$12^3))/44.01)/D26</f>
        <v>1.267002209</v>
      </c>
      <c r="H25" s="9">
        <v>45000.0</v>
      </c>
      <c r="I25" s="9">
        <v>176447.0</v>
      </c>
      <c r="J25" s="9">
        <v>8399.0</v>
      </c>
    </row>
    <row r="26">
      <c r="B26" s="1" t="s">
        <v>63</v>
      </c>
      <c r="C26" s="1">
        <v>0.959</v>
      </c>
      <c r="D26" s="13">
        <f>((22.26+((5.981*10^-2)*$E$12)+((-3.501*10^-5)*$E$12^2)+((7.469*10^-9)*$E$12^3))/44.01)-(8.314/44.01)</f>
        <v>0.7075282686</v>
      </c>
      <c r="H26" s="9">
        <v>50000.0</v>
      </c>
      <c r="I26" s="9">
        <v>196052.0</v>
      </c>
      <c r="J26" s="9">
        <v>9333.0</v>
      </c>
    </row>
    <row r="27">
      <c r="A27" s="14">
        <v>1.379</v>
      </c>
      <c r="B27" s="1" t="s">
        <v>64</v>
      </c>
      <c r="C27" s="15">
        <f>D25/C26</f>
        <v>1.321170187</v>
      </c>
      <c r="D27" s="12">
        <f>D25/C26</f>
        <v>1.321170187</v>
      </c>
      <c r="H27" s="9">
        <v>55000.0</v>
      </c>
      <c r="I27" s="9">
        <v>215657.0</v>
      </c>
      <c r="J27" s="9">
        <v>10266.0</v>
      </c>
    </row>
    <row r="28">
      <c r="H28" s="9">
        <v>60000.0</v>
      </c>
      <c r="I28" s="9">
        <v>235263.0</v>
      </c>
      <c r="J28" s="9">
        <v>11199.0</v>
      </c>
    </row>
    <row r="29">
      <c r="B29" s="1" t="s">
        <v>69</v>
      </c>
      <c r="C29" s="5">
        <f>(1000/(24*3600))*($B$10*C30*$B$7*$B$8/($B$6*$B$9))*(C31/(C31-1))*($B$15^(((C31-1)/C31))-1)</f>
        <v>60589.48934</v>
      </c>
      <c r="D29" s="12">
        <f>((22.26+((5.981*10^-2)*$E$12)+((-3.501*10^-5)*$E$12^2)+((7.469*10^-9)*$E$12^3))/44.01)/D30</f>
        <v>1.267002209</v>
      </c>
      <c r="H29" s="9">
        <v>65000.0</v>
      </c>
      <c r="I29" s="9">
        <v>254868.0</v>
      </c>
      <c r="J29" s="9">
        <v>12133.0</v>
      </c>
    </row>
    <row r="30">
      <c r="B30" s="1" t="s">
        <v>63</v>
      </c>
      <c r="C30" s="1">
        <v>0.875</v>
      </c>
      <c r="D30" s="13">
        <f>((22.26+((5.981*10^-2)*$E$12)+((-3.501*10^-5)*$E$12^2)+((7.469*10^-9)*$E$12^3))/44.01)-(8.314/44.01)</f>
        <v>0.7075282686</v>
      </c>
    </row>
    <row r="31">
      <c r="A31" s="14">
        <v>1.704</v>
      </c>
      <c r="B31" s="1" t="s">
        <v>64</v>
      </c>
      <c r="C31" s="15">
        <f>D29/C30</f>
        <v>1.448002525</v>
      </c>
      <c r="D31" s="12">
        <f>D29/C30</f>
        <v>1.448002525</v>
      </c>
    </row>
    <row r="32">
      <c r="H32" s="6" t="s">
        <v>70</v>
      </c>
      <c r="I32" s="7"/>
      <c r="J32" s="8"/>
    </row>
    <row r="33">
      <c r="C33" s="5"/>
      <c r="H33" s="9" t="s">
        <v>56</v>
      </c>
      <c r="I33" s="6" t="s">
        <v>57</v>
      </c>
      <c r="J33" s="8"/>
    </row>
    <row r="34">
      <c r="H34" s="11"/>
      <c r="I34" s="9" t="s">
        <v>59</v>
      </c>
      <c r="J34" s="9" t="s">
        <v>60</v>
      </c>
    </row>
    <row r="35">
      <c r="H35" s="9">
        <v>1000.0</v>
      </c>
      <c r="I35" s="9">
        <v>3921.0</v>
      </c>
      <c r="J35" s="9">
        <v>187.0</v>
      </c>
    </row>
    <row r="36">
      <c r="H36" s="9">
        <v>5000.0</v>
      </c>
      <c r="I36" s="9">
        <f>I17</f>
        <v>19605</v>
      </c>
      <c r="J36" s="9">
        <v>933.0</v>
      </c>
    </row>
    <row r="37">
      <c r="H37" s="9">
        <v>15000.0</v>
      </c>
      <c r="I37" s="9">
        <f>I19</f>
        <v>58816</v>
      </c>
      <c r="J37" s="9">
        <v>2800.0</v>
      </c>
    </row>
    <row r="38">
      <c r="H38" s="9">
        <v>25000.0</v>
      </c>
      <c r="I38" s="9">
        <f>I21</f>
        <v>98026</v>
      </c>
      <c r="J38" s="9">
        <v>4666.0</v>
      </c>
    </row>
    <row r="39">
      <c r="H39" s="9">
        <v>35000.0</v>
      </c>
      <c r="I39" s="9">
        <f>I23</f>
        <v>137236</v>
      </c>
      <c r="J39" s="9">
        <v>6533.0</v>
      </c>
    </row>
    <row r="40">
      <c r="C40" s="5"/>
      <c r="H40" s="9">
        <v>45000.0</v>
      </c>
      <c r="I40" s="9">
        <f>I25</f>
        <v>176447</v>
      </c>
      <c r="J40" s="9">
        <v>8399.0</v>
      </c>
    </row>
    <row r="41">
      <c r="H41" s="9">
        <v>55000.0</v>
      </c>
      <c r="I41" s="9">
        <f>I27</f>
        <v>215657</v>
      </c>
      <c r="J41" s="9">
        <v>10266.0</v>
      </c>
    </row>
    <row r="42">
      <c r="H42" s="9">
        <v>65000.0</v>
      </c>
      <c r="I42" s="9">
        <f>I29</f>
        <v>254868</v>
      </c>
      <c r="J42" s="9">
        <v>12133.0</v>
      </c>
    </row>
    <row r="44">
      <c r="J44" s="16"/>
    </row>
  </sheetData>
  <mergeCells count="4">
    <mergeCell ref="H13:J13"/>
    <mergeCell ref="I14:J14"/>
    <mergeCell ref="H32:J32"/>
    <mergeCell ref="I33:J33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7" max="7" width="16.5"/>
    <col customWidth="1" min="14" max="14" width="6.5"/>
    <col customWidth="1" min="15" max="15" width="16.5"/>
    <col customWidth="1" min="22" max="22" width="1.88"/>
    <col customWidth="1" min="23" max="23" width="16.5"/>
  </cols>
  <sheetData>
    <row r="1">
      <c r="A1" s="1"/>
      <c r="B1" s="2"/>
      <c r="C1" s="1"/>
      <c r="H1" s="23" t="s">
        <v>304</v>
      </c>
      <c r="I1" s="7"/>
      <c r="J1" s="7"/>
      <c r="K1" s="7"/>
      <c r="L1" s="7"/>
      <c r="M1" s="8"/>
    </row>
    <row r="2">
      <c r="A2" s="1" t="s">
        <v>4</v>
      </c>
      <c r="B2" s="2">
        <v>0.1</v>
      </c>
      <c r="C2" s="1" t="s">
        <v>5</v>
      </c>
      <c r="H2" s="24">
        <v>2025.0</v>
      </c>
      <c r="I2" s="24">
        <v>2026.0</v>
      </c>
      <c r="J2" s="24">
        <v>2027.0</v>
      </c>
      <c r="K2" s="24">
        <v>2028.0</v>
      </c>
      <c r="L2" s="24">
        <v>2029.0</v>
      </c>
      <c r="M2" s="24">
        <v>2030.0</v>
      </c>
    </row>
    <row r="3">
      <c r="A3" s="1" t="s">
        <v>8</v>
      </c>
      <c r="B3" s="2">
        <v>15.0</v>
      </c>
      <c r="C3" s="1" t="s">
        <v>5</v>
      </c>
      <c r="G3" s="39" t="s">
        <v>305</v>
      </c>
      <c r="H3" s="40">
        <v>1252184.659</v>
      </c>
      <c r="I3" s="40">
        <v>1242492.403</v>
      </c>
      <c r="J3" s="40">
        <v>1239475.497</v>
      </c>
      <c r="K3" s="40">
        <v>1238880.071</v>
      </c>
      <c r="L3" s="40">
        <v>1238802.736</v>
      </c>
      <c r="M3" s="40">
        <v>1238796.014</v>
      </c>
    </row>
    <row r="4">
      <c r="A4" s="1" t="s">
        <v>11</v>
      </c>
      <c r="B4" s="2">
        <v>7.38</v>
      </c>
      <c r="C4" s="1" t="s">
        <v>5</v>
      </c>
      <c r="G4" s="39" t="s">
        <v>306</v>
      </c>
      <c r="H4" s="40">
        <v>1519019.851</v>
      </c>
      <c r="I4" s="40">
        <v>1519730.033</v>
      </c>
      <c r="J4" s="40">
        <v>1519924.657</v>
      </c>
      <c r="K4" s="40">
        <v>1519972.28</v>
      </c>
      <c r="L4" s="40">
        <v>1519982.635</v>
      </c>
      <c r="M4" s="40">
        <v>1519984.615</v>
      </c>
    </row>
    <row r="5">
      <c r="A5" s="1" t="s">
        <v>18</v>
      </c>
      <c r="B5" s="2">
        <v>4.0</v>
      </c>
      <c r="C5" s="4" t="s">
        <v>19</v>
      </c>
      <c r="G5" s="39" t="s">
        <v>307</v>
      </c>
      <c r="H5" s="40">
        <v>1.334097468E7</v>
      </c>
      <c r="I5" s="40">
        <v>1.33178944E7</v>
      </c>
      <c r="J5" s="40">
        <v>1.331761809E7</v>
      </c>
      <c r="K5" s="40">
        <v>1.331951881E7</v>
      </c>
      <c r="L5" s="40">
        <v>1.331937618E7</v>
      </c>
      <c r="M5" s="40">
        <v>1.331868339E7</v>
      </c>
    </row>
    <row r="6">
      <c r="A6" s="1" t="s">
        <v>27</v>
      </c>
      <c r="B6" s="2">
        <v>44.01</v>
      </c>
      <c r="C6" s="1" t="s">
        <v>28</v>
      </c>
      <c r="G6" s="39" t="s">
        <v>308</v>
      </c>
      <c r="H6" s="40">
        <v>2074743.226</v>
      </c>
      <c r="I6" s="40">
        <v>1921092.989</v>
      </c>
      <c r="J6" s="40">
        <v>1776351.196</v>
      </c>
      <c r="K6" s="40">
        <v>1657053.206</v>
      </c>
      <c r="L6" s="40">
        <v>1569027.716</v>
      </c>
      <c r="M6" s="40">
        <v>1510201.067</v>
      </c>
    </row>
    <row r="7">
      <c r="A7" s="1" t="s">
        <v>36</v>
      </c>
      <c r="B7" s="2">
        <v>8.314</v>
      </c>
      <c r="C7" s="1" t="s">
        <v>37</v>
      </c>
      <c r="G7" s="39" t="s">
        <v>309</v>
      </c>
      <c r="H7" s="40">
        <v>1.806026072E7</v>
      </c>
      <c r="I7" s="40">
        <v>1.775677236E7</v>
      </c>
      <c r="J7" s="40">
        <v>1.75406337E7</v>
      </c>
      <c r="K7" s="40">
        <v>1.744846867E7</v>
      </c>
      <c r="L7" s="40">
        <v>1.742302375E7</v>
      </c>
      <c r="M7" s="40">
        <v>1.741834003E7</v>
      </c>
    </row>
    <row r="8">
      <c r="A8" s="1" t="s">
        <v>44</v>
      </c>
      <c r="B8" s="2">
        <v>313.15</v>
      </c>
      <c r="C8" s="1" t="s">
        <v>45</v>
      </c>
      <c r="G8" s="39" t="s">
        <v>310</v>
      </c>
      <c r="H8" s="40">
        <v>9801580.517</v>
      </c>
      <c r="I8" s="40">
        <v>9772826.204</v>
      </c>
      <c r="J8" s="40">
        <v>9788235.121</v>
      </c>
      <c r="K8" s="40">
        <v>9823698.5</v>
      </c>
      <c r="L8" s="40">
        <v>9856964.277</v>
      </c>
      <c r="M8" s="40">
        <v>9878515.706</v>
      </c>
    </row>
    <row r="9">
      <c r="A9" s="1" t="s">
        <v>47</v>
      </c>
      <c r="B9" s="2">
        <v>0.82</v>
      </c>
      <c r="C9" s="4" t="s">
        <v>19</v>
      </c>
    </row>
    <row r="10">
      <c r="A10" s="1" t="s">
        <v>50</v>
      </c>
      <c r="B10" s="2">
        <v>25000.0</v>
      </c>
      <c r="H10" s="23" t="s">
        <v>311</v>
      </c>
      <c r="I10" s="7"/>
      <c r="J10" s="7"/>
      <c r="K10" s="7"/>
      <c r="L10" s="7"/>
      <c r="M10" s="8"/>
    </row>
    <row r="11">
      <c r="A11" s="1" t="s">
        <v>51</v>
      </c>
      <c r="B11" s="2">
        <v>630.0</v>
      </c>
      <c r="H11" s="24">
        <v>2025.0</v>
      </c>
      <c r="I11" s="24">
        <v>2026.0</v>
      </c>
      <c r="J11" s="24">
        <v>2027.0</v>
      </c>
      <c r="K11" s="24">
        <v>2028.0</v>
      </c>
      <c r="L11" s="24">
        <v>2029.0</v>
      </c>
      <c r="M11" s="24">
        <v>2030.0</v>
      </c>
    </row>
    <row r="12">
      <c r="A12" s="1" t="s">
        <v>52</v>
      </c>
      <c r="B12" s="2">
        <v>0.75</v>
      </c>
      <c r="E12" s="1">
        <v>356.0</v>
      </c>
      <c r="G12" s="39" t="s">
        <v>312</v>
      </c>
      <c r="H12" s="27">
        <v>1.320980197941484</v>
      </c>
      <c r="I12" s="27">
        <v>1.300378776602809</v>
      </c>
      <c r="J12" s="27">
        <v>1.280098645895011</v>
      </c>
      <c r="K12" s="27">
        <v>1.260134795111898</v>
      </c>
      <c r="L12" s="27">
        <v>1.240482291692028</v>
      </c>
      <c r="M12" s="27">
        <v>1.22113628</v>
      </c>
    </row>
    <row r="13">
      <c r="G13" s="39" t="s">
        <v>313</v>
      </c>
      <c r="H13" s="27">
        <v>1.554675873546904</v>
      </c>
      <c r="I13" s="27">
        <v>1.530429838090867</v>
      </c>
      <c r="J13" s="27">
        <v>1.506561933051167</v>
      </c>
      <c r="K13" s="27">
        <v>1.483066261273526</v>
      </c>
      <c r="L13" s="27">
        <v>1.459937017573066</v>
      </c>
      <c r="M13" s="27">
        <v>1.4371684873</v>
      </c>
    </row>
    <row r="14">
      <c r="A14" s="1" t="s">
        <v>54</v>
      </c>
      <c r="G14" s="39" t="s">
        <v>314</v>
      </c>
      <c r="H14" s="27">
        <v>13.30267878641728</v>
      </c>
      <c r="I14" s="27">
        <v>13.09521610753753</v>
      </c>
      <c r="J14" s="27">
        <v>12.89098892459202</v>
      </c>
      <c r="K14" s="27">
        <v>12.68994677822104</v>
      </c>
      <c r="L14" s="27">
        <v>12.49203999600667</v>
      </c>
      <c r="M14" s="27">
        <v>12.2972196802</v>
      </c>
    </row>
    <row r="15">
      <c r="A15" s="1" t="s">
        <v>58</v>
      </c>
      <c r="B15" s="10">
        <f>(B4/B2)^(1/B5)</f>
        <v>2.930988338</v>
      </c>
      <c r="G15" s="39" t="s">
        <v>315</v>
      </c>
      <c r="H15" s="27">
        <v>2.248367591513654</v>
      </c>
      <c r="I15" s="27">
        <v>2.213303047662674</v>
      </c>
      <c r="J15" s="27">
        <v>2.178785354887166</v>
      </c>
      <c r="K15" s="27">
        <v>2.144805984740276</v>
      </c>
      <c r="L15" s="27">
        <v>2.111356541781023</v>
      </c>
      <c r="M15" s="27">
        <v>2.0784287615</v>
      </c>
    </row>
    <row r="16">
      <c r="A16" s="1"/>
      <c r="G16" s="39" t="s">
        <v>316</v>
      </c>
      <c r="H16" s="27">
        <v>23.26429764301862</v>
      </c>
      <c r="I16" s="27">
        <v>22.90147797423096</v>
      </c>
      <c r="J16" s="27">
        <v>22.54431668009442</v>
      </c>
      <c r="K16" s="27">
        <v>22.19272551510731</v>
      </c>
      <c r="L16" s="27">
        <v>21.84661761000565</v>
      </c>
      <c r="M16" s="27">
        <v>21.5059074503</v>
      </c>
    </row>
    <row r="17">
      <c r="B17" s="1" t="s">
        <v>61</v>
      </c>
      <c r="C17" s="5">
        <f>(1000/(24*3600))*($B$10*C18*$B$7*$B$8/($B$6*$B$9))*(C19/(C19-1))*($B$15^(((C19-1)/C19))-1)</f>
        <v>25123.83279</v>
      </c>
      <c r="D17" s="12">
        <f>((22.26+((5.981*10^-2)*$E$12)+((-3.501*10^-5)*$E$12^2)+((7.469*10^-9)*$E$12^3))/44.01)/D18</f>
        <v>1.267002209</v>
      </c>
      <c r="G17" s="39" t="s">
        <v>317</v>
      </c>
      <c r="H17" s="27">
        <v>8.801083716781038</v>
      </c>
      <c r="I17" s="27">
        <v>8.663825918239539</v>
      </c>
      <c r="J17" s="27">
        <v>8.528708731452992</v>
      </c>
      <c r="K17" s="27">
        <v>8.395698772389787</v>
      </c>
      <c r="L17" s="27">
        <v>8.26476317766086</v>
      </c>
      <c r="M17" s="27">
        <v>8.1358695964</v>
      </c>
    </row>
    <row r="18">
      <c r="B18" s="1" t="s">
        <v>63</v>
      </c>
      <c r="C18" s="1">
        <v>0.995</v>
      </c>
      <c r="D18" s="13">
        <f>((22.26+((5.981*10^-2)*$E$12)+((-3.501*10^-5)*$E$12^2)+((7.469*10^-9)*$E$12^3))/44.01)-(8.314/44.01)</f>
        <v>0.7075282686</v>
      </c>
    </row>
    <row r="19">
      <c r="A19" s="14">
        <v>1.277</v>
      </c>
      <c r="B19" s="1" t="s">
        <v>64</v>
      </c>
      <c r="C19" s="15">
        <f>D17/C18</f>
        <v>1.273369055</v>
      </c>
      <c r="D19" s="12">
        <f>D17/C18</f>
        <v>1.273369055</v>
      </c>
      <c r="H19" s="23" t="s">
        <v>318</v>
      </c>
      <c r="I19" s="7"/>
      <c r="J19" s="7"/>
      <c r="K19" s="7"/>
      <c r="L19" s="7"/>
      <c r="M19" s="8"/>
    </row>
    <row r="20">
      <c r="H20" s="24">
        <v>2025.0</v>
      </c>
      <c r="I20" s="24">
        <v>2026.0</v>
      </c>
      <c r="J20" s="24">
        <v>2027.0</v>
      </c>
      <c r="K20" s="24">
        <v>2028.0</v>
      </c>
      <c r="L20" s="24">
        <v>2029.0</v>
      </c>
      <c r="M20" s="24">
        <v>2030.0</v>
      </c>
    </row>
    <row r="21">
      <c r="B21" s="1" t="s">
        <v>65</v>
      </c>
      <c r="C21" s="5">
        <f>(1000/(24*3600))*($B$10*C22*$B$7*$B$8/($B$6*$B$9))*(C23/(C23-1))*($B$15^(((C23-1)/C23))-1)</f>
        <v>24995.5809</v>
      </c>
      <c r="D21" s="12">
        <f>((22.26+((5.981*10^-2)*$E$12)+((-3.501*10^-5)*$E$12^2)+((7.469*10^-9)*$E$12^3))/44.01)/D22</f>
        <v>1.267002209</v>
      </c>
      <c r="G21" s="39" t="s">
        <v>312</v>
      </c>
      <c r="H21" s="26">
        <f t="shared" ref="H21:M21" si="1">H12*10^6</f>
        <v>1320980.198</v>
      </c>
      <c r="I21" s="26">
        <f t="shared" si="1"/>
        <v>1300378.777</v>
      </c>
      <c r="J21" s="26">
        <f t="shared" si="1"/>
        <v>1280098.646</v>
      </c>
      <c r="K21" s="26">
        <f t="shared" si="1"/>
        <v>1260134.795</v>
      </c>
      <c r="L21" s="26">
        <f t="shared" si="1"/>
        <v>1240482.292</v>
      </c>
      <c r="M21" s="26">
        <f t="shared" si="1"/>
        <v>1221136.28</v>
      </c>
    </row>
    <row r="22">
      <c r="B22" s="1" t="s">
        <v>63</v>
      </c>
      <c r="C22" s="1">
        <v>0.986</v>
      </c>
      <c r="D22" s="13">
        <f>((22.26+((5.981*10^-2)*$E$12)+((-3.501*10^-5)*$E$12^2)+((7.469*10^-9)*$E$12^3))/44.01)-(8.314/44.01)</f>
        <v>0.7075282686</v>
      </c>
      <c r="G22" s="39" t="s">
        <v>313</v>
      </c>
      <c r="H22" s="26">
        <f t="shared" ref="H22:M22" si="2">H13*10^6</f>
        <v>1554675.874</v>
      </c>
      <c r="I22" s="26">
        <f t="shared" si="2"/>
        <v>1530429.838</v>
      </c>
      <c r="J22" s="26">
        <f t="shared" si="2"/>
        <v>1506561.933</v>
      </c>
      <c r="K22" s="26">
        <f t="shared" si="2"/>
        <v>1483066.261</v>
      </c>
      <c r="L22" s="26">
        <f t="shared" si="2"/>
        <v>1459937.018</v>
      </c>
      <c r="M22" s="26">
        <f t="shared" si="2"/>
        <v>1437168.487</v>
      </c>
    </row>
    <row r="23">
      <c r="A23" s="14">
        <v>1.286</v>
      </c>
      <c r="B23" s="1" t="s">
        <v>64</v>
      </c>
      <c r="C23" s="15">
        <f>D21/C22</f>
        <v>1.284992099</v>
      </c>
      <c r="D23" s="12">
        <f>D21/C22</f>
        <v>1.284992099</v>
      </c>
      <c r="G23" s="39" t="s">
        <v>314</v>
      </c>
      <c r="H23" s="26">
        <f t="shared" ref="H23:M23" si="3">H14*10^6</f>
        <v>13302678.79</v>
      </c>
      <c r="I23" s="26">
        <f t="shared" si="3"/>
        <v>13095216.11</v>
      </c>
      <c r="J23" s="26">
        <f t="shared" si="3"/>
        <v>12890988.92</v>
      </c>
      <c r="K23" s="26">
        <f t="shared" si="3"/>
        <v>12689946.78</v>
      </c>
      <c r="L23" s="26">
        <f t="shared" si="3"/>
        <v>12492040</v>
      </c>
      <c r="M23" s="26">
        <f t="shared" si="3"/>
        <v>12297219.68</v>
      </c>
    </row>
    <row r="24">
      <c r="G24" s="39" t="s">
        <v>315</v>
      </c>
      <c r="H24" s="26">
        <f t="shared" ref="H24:M24" si="4">H15*10^6</f>
        <v>2248367.592</v>
      </c>
      <c r="I24" s="26">
        <f t="shared" si="4"/>
        <v>2213303.048</v>
      </c>
      <c r="J24" s="26">
        <f t="shared" si="4"/>
        <v>2178785.355</v>
      </c>
      <c r="K24" s="26">
        <f t="shared" si="4"/>
        <v>2144805.985</v>
      </c>
      <c r="L24" s="26">
        <f t="shared" si="4"/>
        <v>2111356.542</v>
      </c>
      <c r="M24" s="26">
        <f t="shared" si="4"/>
        <v>2078428.762</v>
      </c>
    </row>
    <row r="25">
      <c r="B25" s="1" t="s">
        <v>68</v>
      </c>
      <c r="C25" s="5">
        <f>(1000/(24*3600))*($B$10*C26*$B$7*$B$8/($B$6*$B$9))*(C27/(C27-1))*($B$15^(((C27-1)/C27))-1)</f>
        <v>24603.00052</v>
      </c>
      <c r="D25" s="12">
        <f>((22.26+((5.981*10^-2)*$E$12)+((-3.501*10^-5)*$E$12^2)+((7.469*10^-9)*$E$12^3))/44.01)/D26</f>
        <v>1.267002209</v>
      </c>
      <c r="G25" s="39" t="s">
        <v>316</v>
      </c>
      <c r="H25" s="26">
        <f t="shared" ref="H25:M25" si="5">H16*10^6</f>
        <v>23264297.64</v>
      </c>
      <c r="I25" s="26">
        <f t="shared" si="5"/>
        <v>22901477.97</v>
      </c>
      <c r="J25" s="26">
        <f t="shared" si="5"/>
        <v>22544316.68</v>
      </c>
      <c r="K25" s="26">
        <f t="shared" si="5"/>
        <v>22192725.52</v>
      </c>
      <c r="L25" s="26">
        <f t="shared" si="5"/>
        <v>21846617.61</v>
      </c>
      <c r="M25" s="26">
        <f t="shared" si="5"/>
        <v>21505907.45</v>
      </c>
    </row>
    <row r="26">
      <c r="B26" s="1" t="s">
        <v>63</v>
      </c>
      <c r="C26" s="1">
        <v>0.959</v>
      </c>
      <c r="D26" s="13">
        <f>((22.26+((5.981*10^-2)*$E$12)+((-3.501*10^-5)*$E$12^2)+((7.469*10^-9)*$E$12^3))/44.01)-(8.314/44.01)</f>
        <v>0.7075282686</v>
      </c>
      <c r="G26" s="39" t="s">
        <v>317</v>
      </c>
      <c r="H26" s="26">
        <f t="shared" ref="H26:M26" si="6">H17*10^6</f>
        <v>8801083.717</v>
      </c>
      <c r="I26" s="26">
        <f t="shared" si="6"/>
        <v>8663825.918</v>
      </c>
      <c r="J26" s="26">
        <f t="shared" si="6"/>
        <v>8528708.731</v>
      </c>
      <c r="K26" s="26">
        <f t="shared" si="6"/>
        <v>8395698.772</v>
      </c>
      <c r="L26" s="26">
        <f t="shared" si="6"/>
        <v>8264763.178</v>
      </c>
      <c r="M26" s="26">
        <f t="shared" si="6"/>
        <v>8135869.596</v>
      </c>
    </row>
    <row r="27">
      <c r="A27" s="14">
        <v>1.379</v>
      </c>
      <c r="B27" s="1" t="s">
        <v>64</v>
      </c>
      <c r="C27" s="15">
        <f>D25/C26</f>
        <v>1.321170187</v>
      </c>
      <c r="D27" s="12">
        <f>D25/C26</f>
        <v>1.321170187</v>
      </c>
    </row>
    <row r="28">
      <c r="H28" s="41" t="s">
        <v>319</v>
      </c>
      <c r="I28" s="7"/>
      <c r="J28" s="7"/>
      <c r="K28" s="7"/>
      <c r="L28" s="7"/>
      <c r="M28" s="8"/>
    </row>
    <row r="29">
      <c r="B29" s="1" t="s">
        <v>69</v>
      </c>
      <c r="C29" s="5">
        <f>(1000/(24*3600))*($B$10*C30*$B$7*$B$8/($B$6*$B$9))*(C31/(C31-1))*($B$15^(((C31-1)/C31))-1)</f>
        <v>23303.64974</v>
      </c>
      <c r="D29" s="12">
        <f>((22.26+((5.981*10^-2)*$E$12)+((-3.501*10^-5)*$E$12^2)+((7.469*10^-9)*$E$12^3))/44.01)/D30</f>
        <v>1.267002209</v>
      </c>
      <c r="H29" s="24">
        <v>2025.0</v>
      </c>
      <c r="I29" s="24">
        <v>2026.0</v>
      </c>
      <c r="J29" s="24">
        <v>2027.0</v>
      </c>
      <c r="K29" s="24">
        <v>2028.0</v>
      </c>
      <c r="L29" s="24">
        <v>2029.0</v>
      </c>
      <c r="M29" s="24">
        <v>2030.0</v>
      </c>
    </row>
    <row r="30">
      <c r="B30" s="1" t="s">
        <v>63</v>
      </c>
      <c r="C30" s="1">
        <v>0.875</v>
      </c>
      <c r="D30" s="13">
        <f>((22.26+((5.981*10^-2)*$E$12)+((-3.501*10^-5)*$E$12^2)+((7.469*10^-9)*$E$12^3))/44.01)-(8.314/44.01)</f>
        <v>0.7075282686</v>
      </c>
      <c r="G30" s="39" t="s">
        <v>305</v>
      </c>
      <c r="H30" s="26">
        <f t="shared" ref="H30:M30" si="7">H3*0.76</f>
        <v>951660.3408</v>
      </c>
      <c r="I30" s="26">
        <f t="shared" si="7"/>
        <v>944294.2263</v>
      </c>
      <c r="J30" s="26">
        <f t="shared" si="7"/>
        <v>942001.3777</v>
      </c>
      <c r="K30" s="26">
        <f t="shared" si="7"/>
        <v>941548.854</v>
      </c>
      <c r="L30" s="26">
        <f t="shared" si="7"/>
        <v>941490.0794</v>
      </c>
      <c r="M30" s="26">
        <f t="shared" si="7"/>
        <v>941484.9706</v>
      </c>
    </row>
    <row r="31">
      <c r="A31" s="14">
        <v>1.704</v>
      </c>
      <c r="B31" s="1" t="s">
        <v>64</v>
      </c>
      <c r="C31" s="15">
        <f>D29/C30</f>
        <v>1.448002525</v>
      </c>
      <c r="D31" s="12">
        <f>D29/C30</f>
        <v>1.448002525</v>
      </c>
      <c r="G31" s="39" t="s">
        <v>306</v>
      </c>
      <c r="H31" s="26">
        <f t="shared" ref="H31:M31" si="8">H4*0.76</f>
        <v>1154455.087</v>
      </c>
      <c r="I31" s="26">
        <f t="shared" si="8"/>
        <v>1154994.825</v>
      </c>
      <c r="J31" s="26">
        <f t="shared" si="8"/>
        <v>1155142.739</v>
      </c>
      <c r="K31" s="26">
        <f t="shared" si="8"/>
        <v>1155178.933</v>
      </c>
      <c r="L31" s="26">
        <f t="shared" si="8"/>
        <v>1155186.803</v>
      </c>
      <c r="M31" s="26">
        <f t="shared" si="8"/>
        <v>1155188.307</v>
      </c>
    </row>
    <row r="32">
      <c r="G32" s="39" t="s">
        <v>307</v>
      </c>
      <c r="H32" s="26">
        <f t="shared" ref="H32:M32" si="9">H5*0.76</f>
        <v>10139140.76</v>
      </c>
      <c r="I32" s="26">
        <f t="shared" si="9"/>
        <v>10121599.74</v>
      </c>
      <c r="J32" s="26">
        <f t="shared" si="9"/>
        <v>10121389.75</v>
      </c>
      <c r="K32" s="26">
        <f t="shared" si="9"/>
        <v>10122834.3</v>
      </c>
      <c r="L32" s="26">
        <f t="shared" si="9"/>
        <v>10122725.9</v>
      </c>
      <c r="M32" s="26">
        <f t="shared" si="9"/>
        <v>10122199.38</v>
      </c>
    </row>
    <row r="33">
      <c r="G33" s="39" t="s">
        <v>308</v>
      </c>
      <c r="H33" s="26">
        <f t="shared" ref="H33:M33" si="10">H6*0.76</f>
        <v>1576804.852</v>
      </c>
      <c r="I33" s="26">
        <f t="shared" si="10"/>
        <v>1460030.672</v>
      </c>
      <c r="J33" s="26">
        <f t="shared" si="10"/>
        <v>1350026.909</v>
      </c>
      <c r="K33" s="26">
        <f t="shared" si="10"/>
        <v>1259360.437</v>
      </c>
      <c r="L33" s="26">
        <f t="shared" si="10"/>
        <v>1192461.064</v>
      </c>
      <c r="M33" s="26">
        <f t="shared" si="10"/>
        <v>1147752.811</v>
      </c>
    </row>
    <row r="34">
      <c r="G34" s="39" t="s">
        <v>309</v>
      </c>
      <c r="H34" s="26">
        <f t="shared" ref="H34:M34" si="11">H7*0.76</f>
        <v>13725798.15</v>
      </c>
      <c r="I34" s="26">
        <f t="shared" si="11"/>
        <v>13495146.99</v>
      </c>
      <c r="J34" s="26">
        <f t="shared" si="11"/>
        <v>13330881.61</v>
      </c>
      <c r="K34" s="26">
        <f t="shared" si="11"/>
        <v>13260836.19</v>
      </c>
      <c r="L34" s="26">
        <f t="shared" si="11"/>
        <v>13241498.05</v>
      </c>
      <c r="M34" s="26">
        <f t="shared" si="11"/>
        <v>13237938.42</v>
      </c>
    </row>
    <row r="35">
      <c r="A35" s="1" t="s">
        <v>67</v>
      </c>
      <c r="B35" s="1">
        <f>ROUNDUP(H48/60000,0)</f>
        <v>1</v>
      </c>
      <c r="G35" s="39" t="s">
        <v>310</v>
      </c>
      <c r="H35" s="26">
        <f t="shared" ref="H35:M35" si="12">H8*0.76</f>
        <v>7449201.193</v>
      </c>
      <c r="I35" s="26">
        <f t="shared" si="12"/>
        <v>7427347.915</v>
      </c>
      <c r="J35" s="26">
        <f t="shared" si="12"/>
        <v>7439058.692</v>
      </c>
      <c r="K35" s="26">
        <f t="shared" si="12"/>
        <v>7466010.86</v>
      </c>
      <c r="L35" s="26">
        <f t="shared" si="12"/>
        <v>7491292.851</v>
      </c>
      <c r="M35" s="26">
        <f t="shared" si="12"/>
        <v>7507671.937</v>
      </c>
    </row>
    <row r="37">
      <c r="H37" s="41" t="s">
        <v>320</v>
      </c>
      <c r="I37" s="7"/>
      <c r="J37" s="7"/>
      <c r="K37" s="7"/>
      <c r="L37" s="7"/>
      <c r="M37" s="8"/>
    </row>
    <row r="38">
      <c r="H38" s="24">
        <v>2025.0</v>
      </c>
      <c r="I38" s="24">
        <v>2026.0</v>
      </c>
      <c r="J38" s="24">
        <v>2027.0</v>
      </c>
      <c r="K38" s="24">
        <v>2028.0</v>
      </c>
      <c r="L38" s="24">
        <v>2029.0</v>
      </c>
      <c r="M38" s="24">
        <v>2030.0</v>
      </c>
    </row>
    <row r="39">
      <c r="G39" s="39" t="s">
        <v>312</v>
      </c>
      <c r="H39" s="26">
        <f t="shared" ref="H39:M39" si="13">H21*0.76</f>
        <v>1003944.95</v>
      </c>
      <c r="I39" s="26">
        <f t="shared" si="13"/>
        <v>988287.8702</v>
      </c>
      <c r="J39" s="26">
        <f t="shared" si="13"/>
        <v>972874.9709</v>
      </c>
      <c r="K39" s="26">
        <f t="shared" si="13"/>
        <v>957702.4443</v>
      </c>
      <c r="L39" s="26">
        <f t="shared" si="13"/>
        <v>942766.5417</v>
      </c>
      <c r="M39" s="26">
        <f t="shared" si="13"/>
        <v>928063.5728</v>
      </c>
      <c r="N39" s="19"/>
      <c r="O39" s="5"/>
    </row>
    <row r="40">
      <c r="G40" s="39" t="s">
        <v>313</v>
      </c>
      <c r="H40" s="26">
        <f t="shared" ref="H40:M40" si="14">H22*0.76</f>
        <v>1181553.664</v>
      </c>
      <c r="I40" s="26">
        <f t="shared" si="14"/>
        <v>1163126.677</v>
      </c>
      <c r="J40" s="26">
        <f t="shared" si="14"/>
        <v>1144987.069</v>
      </c>
      <c r="K40" s="26">
        <f t="shared" si="14"/>
        <v>1127130.359</v>
      </c>
      <c r="L40" s="26">
        <f t="shared" si="14"/>
        <v>1109552.133</v>
      </c>
      <c r="M40" s="26">
        <f t="shared" si="14"/>
        <v>1092248.05</v>
      </c>
      <c r="N40" s="19"/>
      <c r="O40" s="5"/>
    </row>
    <row r="41">
      <c r="G41" s="39" t="s">
        <v>314</v>
      </c>
      <c r="H41" s="26">
        <f t="shared" ref="H41:M41" si="15">H23*0.76</f>
        <v>10110035.88</v>
      </c>
      <c r="I41" s="26">
        <f t="shared" si="15"/>
        <v>9952364.242</v>
      </c>
      <c r="J41" s="26">
        <f t="shared" si="15"/>
        <v>9797151.583</v>
      </c>
      <c r="K41" s="26">
        <f t="shared" si="15"/>
        <v>9644359.551</v>
      </c>
      <c r="L41" s="26">
        <f t="shared" si="15"/>
        <v>9493950.397</v>
      </c>
      <c r="M41" s="26">
        <f t="shared" si="15"/>
        <v>9345886.957</v>
      </c>
      <c r="N41" s="19"/>
      <c r="O41" s="5"/>
    </row>
    <row r="42">
      <c r="G42" s="39" t="s">
        <v>315</v>
      </c>
      <c r="H42" s="26">
        <f t="shared" ref="H42:M42" si="16">H24*0.76</f>
        <v>1708759.37</v>
      </c>
      <c r="I42" s="26">
        <f t="shared" si="16"/>
        <v>1682110.316</v>
      </c>
      <c r="J42" s="26">
        <f t="shared" si="16"/>
        <v>1655876.87</v>
      </c>
      <c r="K42" s="26">
        <f t="shared" si="16"/>
        <v>1630052.548</v>
      </c>
      <c r="L42" s="26">
        <f t="shared" si="16"/>
        <v>1604630.972</v>
      </c>
      <c r="M42" s="26">
        <f t="shared" si="16"/>
        <v>1579605.859</v>
      </c>
      <c r="N42" s="19"/>
      <c r="O42" s="5"/>
    </row>
    <row r="43">
      <c r="G43" s="39" t="s">
        <v>316</v>
      </c>
      <c r="H43" s="26">
        <f t="shared" ref="H43:M43" si="17">H25*0.76</f>
        <v>17680866.21</v>
      </c>
      <c r="I43" s="26">
        <f t="shared" si="17"/>
        <v>17405123.26</v>
      </c>
      <c r="J43" s="26">
        <f t="shared" si="17"/>
        <v>17133680.68</v>
      </c>
      <c r="K43" s="26">
        <f t="shared" si="17"/>
        <v>16866471.39</v>
      </c>
      <c r="L43" s="26">
        <f t="shared" si="17"/>
        <v>16603429.38</v>
      </c>
      <c r="M43" s="26">
        <f t="shared" si="17"/>
        <v>16344489.66</v>
      </c>
      <c r="N43" s="19"/>
      <c r="O43" s="5"/>
    </row>
    <row r="44">
      <c r="G44" s="39" t="s">
        <v>317</v>
      </c>
      <c r="H44" s="26">
        <f t="shared" ref="H44:M44" si="18">H26*0.76</f>
        <v>6688823.625</v>
      </c>
      <c r="I44" s="26">
        <f t="shared" si="18"/>
        <v>6584507.698</v>
      </c>
      <c r="J44" s="26">
        <f t="shared" si="18"/>
        <v>6481818.636</v>
      </c>
      <c r="K44" s="26">
        <f t="shared" si="18"/>
        <v>6380731.067</v>
      </c>
      <c r="L44" s="26">
        <f t="shared" si="18"/>
        <v>6281220.015</v>
      </c>
      <c r="M44" s="26">
        <f t="shared" si="18"/>
        <v>6183260.893</v>
      </c>
      <c r="N44" s="19"/>
      <c r="O44" s="5"/>
    </row>
    <row r="46">
      <c r="H46" s="42" t="s">
        <v>321</v>
      </c>
      <c r="I46" s="7"/>
      <c r="J46" s="7"/>
      <c r="K46" s="7"/>
      <c r="L46" s="7"/>
      <c r="M46" s="8"/>
    </row>
    <row r="47">
      <c r="H47" s="24">
        <v>2025.0</v>
      </c>
      <c r="I47" s="24">
        <v>2026.0</v>
      </c>
      <c r="J47" s="24">
        <v>2027.0</v>
      </c>
      <c r="K47" s="24">
        <v>2028.0</v>
      </c>
      <c r="L47" s="24">
        <v>2029.0</v>
      </c>
      <c r="M47" s="24">
        <v>2030.0</v>
      </c>
    </row>
    <row r="48">
      <c r="G48" s="39" t="s">
        <v>305</v>
      </c>
      <c r="H48" s="28">
        <f t="shared" ref="H48:M48" si="19">((1000/(24*3600))*((H30/365)*$C$18*$B$7*$B$8/($B$6*$B$9))*($C$19/($C$19-1))*($B$15^((($C$19-1)/$C$19))-1))+((1000/(24*3600))*((H30/365)*$C$22*$B$7*$B$8/($B$6*$B$9))*($C$23/($C$23-1))*($B$15^((($C$23-1)/$C$23))-1))+((1000/(24*3600))*((H30/365)*$C$26*$B$7*$B$8/($B$6*$B$9))*($C$27/($C$27-1))*($B$15^((($C$27-1)/$C$27))-1))+((1000/(24*3600))*((H30/365)*$C$30*$B$7*$B$8/($B$6*$B$9))*($C$31/($C$31-1))*($B$15^((($C$31-1)/$C$31))-1))</f>
        <v>10223.28958</v>
      </c>
      <c r="I48" s="28">
        <f t="shared" si="19"/>
        <v>10144.15849</v>
      </c>
      <c r="J48" s="28">
        <f t="shared" si="19"/>
        <v>10119.52738</v>
      </c>
      <c r="K48" s="28">
        <f t="shared" si="19"/>
        <v>10114.6661</v>
      </c>
      <c r="L48" s="28">
        <f t="shared" si="19"/>
        <v>10114.03471</v>
      </c>
      <c r="M48" s="28">
        <f t="shared" si="19"/>
        <v>10113.97983</v>
      </c>
    </row>
    <row r="49">
      <c r="G49" s="39" t="s">
        <v>306</v>
      </c>
      <c r="H49" s="28">
        <f t="shared" ref="H49:M49" si="20">((1000/(24*3600))*((H31/365)*$C$18*$B$7*$B$8/($B$6*$B$9))*($C$19/($C$19-1))*($B$15^((($C$19-1)/$C$19))-1))+((1000/(24*3600))*((H31/365)*$C$22*$B$7*$B$8/($B$6*$B$9))*($C$23/($C$23-1))*($B$15^((($C$23-1)/$C$23))-1))+((1000/(24*3600))*((H31/365)*$C$26*$B$7*$B$8/($B$6*$B$9))*($C$27/($C$27-1))*($B$15^((($C$27-1)/$C$27))-1))+((1000/(24*3600))*((H31/365)*$C$30*$B$7*$B$8/($B$6*$B$9))*($C$31/($C$31-1))*($B$15^((($C$31-1)/$C$31))-1))</f>
        <v>12401.82884</v>
      </c>
      <c r="I49" s="28">
        <f t="shared" si="20"/>
        <v>12407.62702</v>
      </c>
      <c r="J49" s="28">
        <f t="shared" si="20"/>
        <v>12409.21601</v>
      </c>
      <c r="K49" s="28">
        <f t="shared" si="20"/>
        <v>12409.60482</v>
      </c>
      <c r="L49" s="28">
        <f t="shared" si="20"/>
        <v>12409.68936</v>
      </c>
      <c r="M49" s="28">
        <f t="shared" si="20"/>
        <v>12409.70552</v>
      </c>
    </row>
    <row r="50">
      <c r="G50" s="39" t="s">
        <v>307</v>
      </c>
      <c r="H50" s="28">
        <f t="shared" ref="H50:M50" si="21">((1000/(24*3600))*((H32/365)*$C$18*$B$7*$B$8/($B$6*$B$9))*($C$19/($C$19-1))*($B$15^((($C$19-1)/$C$19))-1))+((1000/(24*3600))*((H32/365)*$C$22*$B$7*$B$8/($B$6*$B$9))*($C$23/($C$23-1))*($B$15^((($C$23-1)/$C$23))-1))+((1000/(24*3600))*((H32/365)*$C$26*$B$7*$B$8/($B$6*$B$9))*($C$27/($C$27-1))*($B$15^((($C$27-1)/$C$27))-1))+((1000/(24*3600))*((H32/365)*$C$30*$B$7*$B$8/($B$6*$B$9))*($C$31/($C$31-1))*($B$15^((($C$31-1)/$C$31))-1))</f>
        <v>108920.5546</v>
      </c>
      <c r="I50" s="28">
        <f t="shared" si="21"/>
        <v>108732.1188</v>
      </c>
      <c r="J50" s="28">
        <f t="shared" si="21"/>
        <v>108729.8629</v>
      </c>
      <c r="K50" s="28">
        <f t="shared" si="21"/>
        <v>108745.3811</v>
      </c>
      <c r="L50" s="28">
        <f t="shared" si="21"/>
        <v>108744.2166</v>
      </c>
      <c r="M50" s="28">
        <f t="shared" si="21"/>
        <v>108738.5604</v>
      </c>
    </row>
    <row r="51">
      <c r="G51" s="39" t="s">
        <v>308</v>
      </c>
      <c r="H51" s="28">
        <f t="shared" ref="H51:M51" si="22">((1000/(24*3600))*((H33/365)*$C$18*$B$7*$B$8/($B$6*$B$9))*($C$19/($C$19-1))*($B$15^((($C$19-1)/$C$19))-1))+((1000/(24*3600))*((H33/365)*$C$22*$B$7*$B$8/($B$6*$B$9))*($C$23/($C$23-1))*($B$15^((($C$23-1)/$C$23))-1))+((1000/(24*3600))*((H33/365)*$C$26*$B$7*$B$8/($B$6*$B$9))*($C$27/($C$27-1))*($B$15^((($C$27-1)/$C$27))-1))+((1000/(24*3600))*((H33/365)*$C$30*$B$7*$B$8/($B$6*$B$9))*($C$31/($C$31-1))*($B$15^((($C$31-1)/$C$31))-1))</f>
        <v>16938.95597</v>
      </c>
      <c r="I51" s="28">
        <f t="shared" si="22"/>
        <v>15684.49973</v>
      </c>
      <c r="J51" s="28">
        <f t="shared" si="22"/>
        <v>14502.77525</v>
      </c>
      <c r="K51" s="28">
        <f t="shared" si="22"/>
        <v>13528.7832</v>
      </c>
      <c r="L51" s="28">
        <f t="shared" si="22"/>
        <v>12810.11118</v>
      </c>
      <c r="M51" s="28">
        <f t="shared" si="22"/>
        <v>12329.82909</v>
      </c>
    </row>
    <row r="52">
      <c r="G52" s="39" t="s">
        <v>309</v>
      </c>
      <c r="H52" s="28">
        <f t="shared" ref="H52:M52" si="23">((1000/(24*3600))*((H34/365)*$C$18*$B$7*$B$8/($B$6*$B$9))*($C$19/($C$19-1))*($B$15^((($C$19-1)/$C$19))-1))+((1000/(24*3600))*((H34/365)*$C$22*$B$7*$B$8/($B$6*$B$9))*($C$23/($C$23-1))*($B$15^((($C$23-1)/$C$23))-1))+((1000/(24*3600))*((H34/365)*$C$26*$B$7*$B$8/($B$6*$B$9))*($C$27/($C$27-1))*($B$15^((($C$27-1)/$C$27))-1))+((1000/(24*3600))*((H34/365)*$C$30*$B$7*$B$8/($B$6*$B$9))*($C$31/($C$31-1))*($B$15^((($C$31-1)/$C$31))-1))</f>
        <v>147450.5169</v>
      </c>
      <c r="I52" s="28">
        <f t="shared" si="23"/>
        <v>144972.7279</v>
      </c>
      <c r="J52" s="28">
        <f t="shared" si="23"/>
        <v>143208.0935</v>
      </c>
      <c r="K52" s="28">
        <f t="shared" si="23"/>
        <v>142455.6248</v>
      </c>
      <c r="L52" s="28">
        <f t="shared" si="23"/>
        <v>142247.8833</v>
      </c>
      <c r="M52" s="28">
        <f t="shared" si="23"/>
        <v>142209.6437</v>
      </c>
    </row>
    <row r="53">
      <c r="G53" s="39" t="s">
        <v>310</v>
      </c>
      <c r="H53" s="28">
        <f t="shared" ref="H53:M53" si="24">((1000/(24*3600))*((H35/365)*$C$18*$B$7*$B$8/($B$6*$B$9))*($C$19/($C$19-1))*($B$15^((($C$19-1)/$C$19))-1))+((1000/(24*3600))*((H35/365)*$C$22*$B$7*$B$8/($B$6*$B$9))*($C$23/($C$23-1))*($B$15^((($C$23-1)/$C$23))-1))+((1000/(24*3600))*((H35/365)*$C$26*$B$7*$B$8/($B$6*$B$9))*($C$27/($C$27-1))*($B$15^((($C$27-1)/$C$27))-1))+((1000/(24*3600))*((H35/365)*$C$30*$B$7*$B$8/($B$6*$B$9))*($C$31/($C$31-1))*($B$15^((($C$31-1)/$C$31))-1))</f>
        <v>80023.65727</v>
      </c>
      <c r="I53" s="28">
        <f t="shared" si="24"/>
        <v>79788.89663</v>
      </c>
      <c r="J53" s="28">
        <f t="shared" si="24"/>
        <v>79914.70062</v>
      </c>
      <c r="K53" s="28">
        <f t="shared" si="24"/>
        <v>80204.2365</v>
      </c>
      <c r="L53" s="28">
        <f t="shared" si="24"/>
        <v>80475.83037</v>
      </c>
      <c r="M53" s="28">
        <f t="shared" si="24"/>
        <v>80651.78405</v>
      </c>
    </row>
    <row r="55">
      <c r="H55" s="42" t="s">
        <v>322</v>
      </c>
      <c r="I55" s="7"/>
      <c r="J55" s="7"/>
      <c r="K55" s="7"/>
      <c r="L55" s="7"/>
      <c r="M55" s="8"/>
    </row>
    <row r="56">
      <c r="H56" s="24">
        <v>2025.0</v>
      </c>
      <c r="I56" s="24">
        <v>2026.0</v>
      </c>
      <c r="J56" s="24">
        <v>2027.0</v>
      </c>
      <c r="K56" s="24">
        <v>2028.0</v>
      </c>
      <c r="L56" s="24">
        <v>2029.0</v>
      </c>
      <c r="M56" s="24">
        <v>2030.0</v>
      </c>
    </row>
    <row r="57">
      <c r="G57" s="39" t="s">
        <v>312</v>
      </c>
      <c r="H57" s="28">
        <f t="shared" ref="H57:M57" si="25">((1000/(24*3600))*((H39/365)*$C$18*$B$7*$B$8/($B$6*$B$9))*($C$19/($C$19-1))*($B$15^((($C$19-1)/$C$19))-1))+((1000/(24*3600))*((H39/365)*$C$22*$B$7*$B$8/($B$6*$B$9))*($C$23/($C$23-1))*($B$15^((($C$23-1)/$C$23))-1))+((1000/(24*3600))*((H39/365)*$C$26*$B$7*$B$8/($B$6*$B$9))*($C$27/($C$27-1))*($B$15^((($C$27-1)/$C$27))-1))+((1000/(24*3600))*((H39/365)*$C$30*$B$7*$B$8/($B$6*$B$9))*($C$31/($C$31-1))*($B$15^((($C$31-1)/$C$31))-1))</f>
        <v>10784.96131</v>
      </c>
      <c r="I57" s="28">
        <f t="shared" si="25"/>
        <v>10616.76383</v>
      </c>
      <c r="J57" s="28">
        <f t="shared" si="25"/>
        <v>10451.18949</v>
      </c>
      <c r="K57" s="28">
        <f t="shared" si="25"/>
        <v>10288.19738</v>
      </c>
      <c r="L57" s="28">
        <f t="shared" si="25"/>
        <v>10127.74721</v>
      </c>
      <c r="M57" s="28">
        <f t="shared" si="25"/>
        <v>9969.799359</v>
      </c>
    </row>
    <row r="58">
      <c r="G58" s="39" t="s">
        <v>313</v>
      </c>
      <c r="H58" s="28">
        <f t="shared" ref="H58:M58" si="26">((1000/(24*3600))*((H40/365)*$C$18*$B$7*$B$8/($B$6*$B$9))*($C$19/($C$19-1))*($B$15^((($C$19-1)/$C$19))-1))+((1000/(24*3600))*((H40/365)*$C$22*$B$7*$B$8/($B$6*$B$9))*($C$23/($C$23-1))*($B$15^((($C$23-1)/$C$23))-1))+((1000/(24*3600))*((H40/365)*$C$26*$B$7*$B$8/($B$6*$B$9))*($C$27/($C$27-1))*($B$15^((($C$27-1)/$C$27))-1))+((1000/(24*3600))*((H40/365)*$C$30*$B$7*$B$8/($B$6*$B$9))*($C$31/($C$31-1))*($B$15^((($C$31-1)/$C$31))-1))</f>
        <v>12692.93754</v>
      </c>
      <c r="I58" s="28">
        <f t="shared" si="26"/>
        <v>12494.98411</v>
      </c>
      <c r="J58" s="28">
        <f t="shared" si="26"/>
        <v>12300.11788</v>
      </c>
      <c r="K58" s="28">
        <f t="shared" si="26"/>
        <v>12108.2907</v>
      </c>
      <c r="L58" s="28">
        <f t="shared" si="26"/>
        <v>11919.45517</v>
      </c>
      <c r="M58" s="28">
        <f t="shared" si="26"/>
        <v>11733.56463</v>
      </c>
    </row>
    <row r="59">
      <c r="G59" s="39" t="s">
        <v>314</v>
      </c>
      <c r="H59" s="28">
        <f t="shared" ref="H59:M59" si="27">((1000/(24*3600))*((H41/365)*$C$18*$B$7*$B$8/($B$6*$B$9))*($C$19/($C$19-1))*($B$15^((($C$19-1)/$C$19))-1))+((1000/(24*3600))*((H41/365)*$C$22*$B$7*$B$8/($B$6*$B$9))*($C$23/($C$23-1))*($B$15^((($C$23-1)/$C$23))-1))+((1000/(24*3600))*((H41/365)*$C$26*$B$7*$B$8/($B$6*$B$9))*($C$27/($C$27-1))*($B$15^((($C$27-1)/$C$27))-1))+((1000/(24*3600))*((H41/365)*$C$30*$B$7*$B$8/($B$6*$B$9))*($C$31/($C$31-1))*($B$15^((($C$31-1)/$C$31))-1))</f>
        <v>108607.893</v>
      </c>
      <c r="I59" s="28">
        <f t="shared" si="27"/>
        <v>106914.0925</v>
      </c>
      <c r="J59" s="28">
        <f t="shared" si="27"/>
        <v>105246.7077</v>
      </c>
      <c r="K59" s="28">
        <f t="shared" si="27"/>
        <v>103605.3267</v>
      </c>
      <c r="L59" s="28">
        <f t="shared" si="27"/>
        <v>101989.544</v>
      </c>
      <c r="M59" s="28">
        <f t="shared" si="27"/>
        <v>100398.9603</v>
      </c>
    </row>
    <row r="60">
      <c r="G60" s="39" t="s">
        <v>315</v>
      </c>
      <c r="H60" s="28">
        <f t="shared" ref="H60:M60" si="28">((1000/(24*3600))*((H42/365)*$C$18*$B$7*$B$8/($B$6*$B$9))*($C$19/($C$19-1))*($B$15^((($C$19-1)/$C$19))-1))+((1000/(24*3600))*((H42/365)*$C$22*$B$7*$B$8/($B$6*$B$9))*($C$23/($C$23-1))*($B$15^((($C$23-1)/$C$23))-1))+((1000/(24*3600))*((H42/365)*$C$26*$B$7*$B$8/($B$6*$B$9))*($C$27/($C$27-1))*($B$15^((($C$27-1)/$C$27))-1))+((1000/(24*3600))*((H42/365)*$C$30*$B$7*$B$8/($B$6*$B$9))*($C$31/($C$31-1))*($B$15^((($C$31-1)/$C$31))-1))</f>
        <v>18356.48825</v>
      </c>
      <c r="I60" s="28">
        <f t="shared" si="28"/>
        <v>18070.2086</v>
      </c>
      <c r="J60" s="28">
        <f t="shared" si="28"/>
        <v>17788.39364</v>
      </c>
      <c r="K60" s="28">
        <f t="shared" si="28"/>
        <v>17510.97374</v>
      </c>
      <c r="L60" s="28">
        <f t="shared" si="28"/>
        <v>17237.88036</v>
      </c>
      <c r="M60" s="28">
        <f t="shared" si="28"/>
        <v>16969.04602</v>
      </c>
    </row>
    <row r="61">
      <c r="G61" s="39" t="s">
        <v>316</v>
      </c>
      <c r="H61" s="28">
        <f t="shared" ref="H61:M61" si="29">((1000/(24*3600))*((H43/365)*$C$18*$B$7*$B$8/($B$6*$B$9))*($C$19/($C$19-1))*($B$15^((($C$19-1)/$C$19))-1))+((1000/(24*3600))*((H43/365)*$C$22*$B$7*$B$8/($B$6*$B$9))*($C$23/($C$23-1))*($B$15^((($C$23-1)/$C$23))-1))+((1000/(24*3600))*((H43/365)*$C$26*$B$7*$B$8/($B$6*$B$9))*($C$27/($C$27-1))*($B$15^((($C$27-1)/$C$27))-1))+((1000/(24*3600))*((H43/365)*$C$30*$B$7*$B$8/($B$6*$B$9))*($C$31/($C$31-1))*($B$15^((($C$31-1)/$C$31))-1))</f>
        <v>189938.1613</v>
      </c>
      <c r="I61" s="28">
        <f t="shared" si="29"/>
        <v>186975.97</v>
      </c>
      <c r="J61" s="28">
        <f t="shared" si="29"/>
        <v>184059.9757</v>
      </c>
      <c r="K61" s="28">
        <f t="shared" si="29"/>
        <v>181189.4579</v>
      </c>
      <c r="L61" s="28">
        <f t="shared" si="29"/>
        <v>178363.7075</v>
      </c>
      <c r="M61" s="28">
        <f t="shared" si="29"/>
        <v>175582.0262</v>
      </c>
    </row>
    <row r="62">
      <c r="G62" s="39" t="s">
        <v>317</v>
      </c>
      <c r="H62" s="28">
        <f t="shared" ref="H62:M62" si="30">((1000/(24*3600))*((H44/365)*$C$18*$B$7*$B$8/($B$6*$B$9))*($C$19/($C$19-1))*($B$15^((($C$19-1)/$C$19))-1))+((1000/(24*3600))*((H44/365)*$C$22*$B$7*$B$8/($B$6*$B$9))*($C$23/($C$23-1))*($B$15^((($C$23-1)/$C$23))-1))+((1000/(24*3600))*((H44/365)*$C$26*$B$7*$B$8/($B$6*$B$9))*($C$27/($C$27-1))*($B$15^((($C$27-1)/$C$27))-1))+((1000/(24*3600))*((H44/365)*$C$30*$B$7*$B$8/($B$6*$B$9))*($C$31/($C$31-1))*($B$15^((($C$31-1)/$C$31))-1))</f>
        <v>71855.23863</v>
      </c>
      <c r="I62" s="28">
        <f t="shared" si="30"/>
        <v>70734.61619</v>
      </c>
      <c r="J62" s="28">
        <f t="shared" si="30"/>
        <v>69631.47049</v>
      </c>
      <c r="K62" s="28">
        <f t="shared" si="30"/>
        <v>68545.52895</v>
      </c>
      <c r="L62" s="28">
        <f t="shared" si="30"/>
        <v>67476.52328</v>
      </c>
      <c r="M62" s="28">
        <f t="shared" si="30"/>
        <v>66424.18935</v>
      </c>
    </row>
    <row r="100">
      <c r="A100" s="1" t="s">
        <v>77</v>
      </c>
      <c r="B100" s="1">
        <v>0.1275</v>
      </c>
      <c r="H100" s="23" t="s">
        <v>323</v>
      </c>
      <c r="I100" s="7"/>
      <c r="J100" s="7"/>
      <c r="K100" s="7"/>
      <c r="L100" s="7"/>
      <c r="M100" s="8"/>
    </row>
    <row r="101">
      <c r="A101" s="1" t="s">
        <v>92</v>
      </c>
      <c r="B101" s="1">
        <v>0.05</v>
      </c>
      <c r="H101" s="24">
        <v>2025.0</v>
      </c>
      <c r="I101" s="24">
        <v>2026.0</v>
      </c>
      <c r="J101" s="24">
        <v>2027.0</v>
      </c>
      <c r="K101" s="24">
        <v>2028.0</v>
      </c>
      <c r="L101" s="24">
        <v>2029.0</v>
      </c>
      <c r="M101" s="24">
        <v>2030.0</v>
      </c>
    </row>
    <row r="102">
      <c r="A102" s="1" t="s">
        <v>93</v>
      </c>
      <c r="B102" s="15">
        <v>0.0815</v>
      </c>
      <c r="G102" s="39" t="s">
        <v>305</v>
      </c>
      <c r="H102" s="28">
        <f t="shared" ref="H102:H107" si="31">(((1000*H30/365)/(24*3600*(ROUNDUP(H48/60000,0))))*(ROUNDUP(H48/60000,0)))*(((0.13*(10^6))/(((1000*H30/365)/(24*3600*(ROUNDUP(H48/60000,0))))^0.71))+(((1.4*(10^6))*(ln($B$4/$B$2)))/(((1000*H30/365)/(24*3600*(ROUNDUP(H48/60000,0))))^0.6)))*$B$110</f>
        <v>40800000.39</v>
      </c>
      <c r="I102" s="28">
        <f t="shared" ref="I102:I107" si="32">(((1000*I30/365)/(24*3600*(ROUNDUP(I48/60000,0))))*(ROUNDUP(I48/60000,0)))*(((0.13*(10^6))/(((1000*I30/365)/(24*3600*(ROUNDUP(I48/60000,0))))^0.71))+(((1.4*(10^6))*(ln($B$4/$B$2)))/(((1000*I30/365)/(24*3600*(ROUNDUP(I48/60000,0))))^0.6)))*$A$113</f>
        <v>41987659.88</v>
      </c>
      <c r="J102" s="28">
        <f t="shared" ref="J102:J107" si="33">(((1000*J30/365)/(24*3600*(ROUNDUP(J48/60000,0))))*(ROUNDUP(J48/60000,0)))*(((0.13*(10^6))/(((1000*J30/365)/(24*3600*(ROUNDUP(J48/60000,0))))^0.71))+(((1.4*(10^6))*(ln($B$4/$B$2)))/(((1000*J30/365)/(24*3600*(ROUNDUP(J48/60000,0))))^0.6)))*$B$113</f>
        <v>43301902.65</v>
      </c>
      <c r="K102" s="28">
        <f t="shared" ref="K102:K107" si="34">(((1000*K30/365)/(24*3600*(ROUNDUP(K48/60000,0))))*(ROUNDUP(K48/60000,0)))*(((0.13*(10^6))/(((1000*K30/365)/(24*3600*(ROUNDUP(K48/60000,0))))^0.71))+(((1.4*(10^6))*(ln($B$4/$B$2)))/(((1000*K30/365)/(24*3600*(ROUNDUP(K48/60000,0))))^0.6)))*$C$113</f>
        <v>44691998.05</v>
      </c>
      <c r="L102" s="28">
        <f t="shared" ref="L102:L107" si="35">(((1000*L30/365)/(24*3600*(ROUNDUP(L48/60000,0))))*(ROUNDUP(L48/60000,0)))*(((0.13*(10^6))/(((1000*L30/365)/(24*3600*(ROUNDUP(L48/60000,0))))^0.71))+(((1.4*(10^6))*(ln($B$4/$B$2)))/(((1000*L30/365)/(24*3600*(ROUNDUP(L48/60000,0))))^0.6)))*$D$113</f>
        <v>46134402.23</v>
      </c>
      <c r="M102" s="28">
        <f t="shared" ref="M102:M107" si="36">(((1000*M30/365)/(24*3600*(ROUNDUP(M48/60000,0))))*(ROUNDUP(M48/60000,0)))*(((0.13*(10^6))/(((1000*M30/365)/(24*3600*(ROUNDUP(M48/60000,0))))^0.71))+(((1.4*(10^6))*(ln($B$4/$B$2)))/(((1000*M30/365)/(24*3600*(ROUNDUP(M48/60000,0))))^0.6)))*$E$113</f>
        <v>47624440.47</v>
      </c>
    </row>
    <row r="103">
      <c r="A103" s="1" t="s">
        <v>71</v>
      </c>
      <c r="B103" s="1">
        <v>0.8</v>
      </c>
      <c r="G103" s="39" t="s">
        <v>306</v>
      </c>
      <c r="H103" s="28">
        <f t="shared" si="31"/>
        <v>44064073.95</v>
      </c>
      <c r="I103" s="28">
        <f t="shared" si="32"/>
        <v>45495815.47</v>
      </c>
      <c r="J103" s="28">
        <f t="shared" si="33"/>
        <v>46967726.59</v>
      </c>
      <c r="K103" s="28">
        <f t="shared" si="34"/>
        <v>48485389.41</v>
      </c>
      <c r="L103" s="28">
        <f t="shared" si="35"/>
        <v>50051603.35</v>
      </c>
      <c r="M103" s="28">
        <f t="shared" si="36"/>
        <v>51668296.95</v>
      </c>
    </row>
    <row r="104">
      <c r="D104" s="5"/>
      <c r="G104" s="39" t="s">
        <v>307</v>
      </c>
      <c r="H104" s="28">
        <f t="shared" si="31"/>
        <v>158934115.2</v>
      </c>
      <c r="I104" s="28">
        <f t="shared" si="32"/>
        <v>163954472.2</v>
      </c>
      <c r="J104" s="28">
        <f t="shared" si="33"/>
        <v>169248801.8</v>
      </c>
      <c r="K104" s="28">
        <f t="shared" si="34"/>
        <v>174725478.5</v>
      </c>
      <c r="L104" s="28">
        <f t="shared" si="35"/>
        <v>180368341.5</v>
      </c>
      <c r="M104" s="28">
        <f t="shared" si="36"/>
        <v>186190378</v>
      </c>
    </row>
    <row r="105">
      <c r="G105" s="39" t="s">
        <v>308</v>
      </c>
      <c r="H105" s="28">
        <f t="shared" si="31"/>
        <v>49892502.39</v>
      </c>
      <c r="I105" s="28">
        <f t="shared" si="32"/>
        <v>49948899.93</v>
      </c>
      <c r="J105" s="28">
        <f t="shared" si="33"/>
        <v>49977726.64</v>
      </c>
      <c r="K105" s="28">
        <f t="shared" si="34"/>
        <v>50182513.42</v>
      </c>
      <c r="L105" s="28">
        <f t="shared" si="35"/>
        <v>50688927.57</v>
      </c>
      <c r="M105" s="28">
        <f t="shared" si="36"/>
        <v>51535536.09</v>
      </c>
    </row>
    <row r="106">
      <c r="A106" s="1" t="s">
        <v>73</v>
      </c>
      <c r="B106" s="10">
        <f>(1000*H30/365)/(24*3600*B35)</f>
        <v>30.17695145</v>
      </c>
      <c r="C106" s="1" t="s">
        <v>74</v>
      </c>
      <c r="G106" s="39" t="s">
        <v>309</v>
      </c>
      <c r="H106" s="28">
        <f t="shared" si="31"/>
        <v>228847710.2</v>
      </c>
      <c r="I106" s="28">
        <f t="shared" si="32"/>
        <v>234648886</v>
      </c>
      <c r="J106" s="28">
        <f t="shared" si="33"/>
        <v>241048347.3</v>
      </c>
      <c r="K106" s="28">
        <f t="shared" si="34"/>
        <v>248312175.9</v>
      </c>
      <c r="L106" s="28">
        <f t="shared" si="35"/>
        <v>256183579.9</v>
      </c>
      <c r="M106" s="28">
        <f t="shared" si="36"/>
        <v>264429967</v>
      </c>
    </row>
    <row r="107">
      <c r="A107" s="1" t="s">
        <v>88</v>
      </c>
      <c r="B107" s="5">
        <f>(B106*B35)*(((0.13*(10^6))/(B106^0.71))+(((1.14*(10^6))*(ln($B$4/$B$2)))/(B106^0.6)))*2.107</f>
        <v>41104462.22</v>
      </c>
      <c r="D107" s="5">
        <f>(B107/H48)</f>
        <v>4020.668874</v>
      </c>
      <c r="G107" s="39" t="s">
        <v>310</v>
      </c>
      <c r="H107" s="28">
        <f t="shared" si="31"/>
        <v>140553999.6</v>
      </c>
      <c r="I107" s="28">
        <f t="shared" si="32"/>
        <v>144924073.1</v>
      </c>
      <c r="J107" s="28">
        <f t="shared" si="33"/>
        <v>149699102.4</v>
      </c>
      <c r="K107" s="28">
        <f t="shared" si="34"/>
        <v>154757319.2</v>
      </c>
      <c r="L107" s="28">
        <f t="shared" si="35"/>
        <v>159971402.6</v>
      </c>
      <c r="M107" s="28">
        <f t="shared" si="36"/>
        <v>165282308.5</v>
      </c>
    </row>
    <row r="109">
      <c r="A109" s="1" t="s">
        <v>324</v>
      </c>
      <c r="B109" s="1">
        <v>1.0323</v>
      </c>
      <c r="H109" s="23" t="s">
        <v>325</v>
      </c>
      <c r="I109" s="7"/>
      <c r="J109" s="7"/>
      <c r="K109" s="7"/>
      <c r="L109" s="7"/>
      <c r="M109" s="8"/>
    </row>
    <row r="110">
      <c r="A110" s="1" t="s">
        <v>326</v>
      </c>
      <c r="B110" s="12">
        <f>800/468.2</f>
        <v>1.708671508</v>
      </c>
      <c r="H110" s="24">
        <v>2025.0</v>
      </c>
      <c r="I110" s="24">
        <v>2026.0</v>
      </c>
      <c r="J110" s="24">
        <v>2027.0</v>
      </c>
      <c r="K110" s="24">
        <v>2028.0</v>
      </c>
      <c r="L110" s="24">
        <v>2029.0</v>
      </c>
      <c r="M110" s="24">
        <v>2030.0</v>
      </c>
    </row>
    <row r="111">
      <c r="G111" s="39" t="s">
        <v>312</v>
      </c>
      <c r="H111" s="28">
        <f t="shared" ref="H111:H116" si="37">(((1000*H39/365)/(24*3600*(ROUNDUP(H57/60000,0))))*(ROUNDUP(H57/60000,0)))*(((0.13*(10^6))/(((1000*H39/365)/(24*3600*(ROUNDUP(H57/60000,0))))^0.71))+(((1.4*(10^6))*(ln($B$4/$B$2)))/(((1000*H39/365)/(24*3600*(ROUNDUP(H57/60000,0))))^0.6)))*$B$110</f>
        <v>41678692.19</v>
      </c>
      <c r="I111" s="28">
        <f t="shared" ref="I111:I116" si="38">(((1000*I39/365)/(24*3600*(ROUNDUP(I57/60000,0))))*(ROUNDUP(I57/60000,0)))*(((0.13*(10^6))/(((1000*I39/365)/(24*3600*(ROUNDUP(I57/60000,0))))^0.71))+(((1.4*(10^6))*(ln($B$4/$B$2)))/(((1000*I39/365)/(24*3600*(ROUNDUP(I57/60000,0))))^0.6)))*$A$113</f>
        <v>42756324.37</v>
      </c>
      <c r="J111" s="28">
        <f t="shared" ref="J111:J116" si="39">(((1000*J39/365)/(24*3600*(ROUNDUP(J57/60000,0))))*(ROUNDUP(J57/60000,0)))*(((0.13*(10^6))/(((1000*J39/365)/(24*3600*(ROUNDUP(J57/60000,0))))^0.71))+(((1.4*(10^6))*(ln($B$4/$B$2)))/(((1000*J39/365)/(24*3600*(ROUNDUP(J57/60000,0))))^0.6)))*$B$113</f>
        <v>43861821.37</v>
      </c>
      <c r="K111" s="28">
        <f t="shared" ref="K111:K116" si="40">(((1000*K39/365)/(24*3600*(ROUNDUP(K57/60000,0))))*(ROUNDUP(K57/60000,0)))*(((0.13*(10^6))/(((1000*K39/365)/(24*3600*(ROUNDUP(K57/60000,0))))^0.71))+(((1.4*(10^6))*(ln($B$4/$B$2)))/(((1000*K39/365)/(24*3600*(ROUNDUP(K57/60000,0))))^0.6)))*$C$113</f>
        <v>44995903.77</v>
      </c>
      <c r="L111" s="28">
        <f t="shared" ref="L111:L116" si="41">(((1000*L39/365)/(24*3600*(ROUNDUP(L57/60000,0))))*(ROUNDUP(L57/60000,0)))*(((0.13*(10^6))/(((1000*L39/365)/(24*3600*(ROUNDUP(L57/60000,0))))^0.71))+(((1.4*(10^6))*(ln($B$4/$B$2)))/(((1000*L39/365)/(24*3600*(ROUNDUP(L57/60000,0))))^0.6)))*$D$113</f>
        <v>46159310.77</v>
      </c>
      <c r="M111" s="28">
        <f t="shared" ref="M111:M116" si="42">(((1000*M39/365)/(24*3600*(ROUNDUP(M57/60000,0))))*(ROUNDUP(M57/60000,0)))*(((0.13*(10^6))/(((1000*M39/365)/(24*3600*(ROUNDUP(M57/60000,0))))^0.71))+(((1.4*(10^6))*(ln($B$4/$B$2)))/(((1000*M39/365)/(24*3600*(ROUNDUP(M57/60000,0))))^0.6)))*$E$113</f>
        <v>47352800.67</v>
      </c>
    </row>
    <row r="112">
      <c r="A112" s="43">
        <v>2026.0</v>
      </c>
      <c r="B112" s="1">
        <v>2027.0</v>
      </c>
      <c r="C112" s="1">
        <v>2028.0</v>
      </c>
      <c r="D112" s="1">
        <v>2029.0</v>
      </c>
      <c r="E112" s="1">
        <v>2030.0</v>
      </c>
      <c r="G112" s="39" t="s">
        <v>313</v>
      </c>
      <c r="H112" s="28">
        <f t="shared" si="37"/>
        <v>44473300.25</v>
      </c>
      <c r="I112" s="28">
        <f t="shared" si="38"/>
        <v>45623168.91</v>
      </c>
      <c r="J112" s="28">
        <f t="shared" si="39"/>
        <v>46802769.7</v>
      </c>
      <c r="K112" s="28">
        <f t="shared" si="40"/>
        <v>48012871.45</v>
      </c>
      <c r="L112" s="28">
        <f t="shared" si="41"/>
        <v>49254262.88</v>
      </c>
      <c r="M112" s="28">
        <f t="shared" si="42"/>
        <v>50527753.11</v>
      </c>
    </row>
    <row r="113">
      <c r="A113" s="12">
        <f>B110*B109</f>
        <v>1.763861598</v>
      </c>
      <c r="B113" s="12">
        <f>A113*B109</f>
        <v>1.820834327</v>
      </c>
      <c r="C113" s="12">
        <f>B113*B109</f>
        <v>1.879647276</v>
      </c>
      <c r="D113" s="12">
        <f>C113*B109</f>
        <v>1.940359883</v>
      </c>
      <c r="E113" s="12">
        <f>D113*B109</f>
        <v>2.003033507</v>
      </c>
      <c r="G113" s="39" t="s">
        <v>314</v>
      </c>
      <c r="H113" s="28">
        <f t="shared" si="37"/>
        <v>158752079</v>
      </c>
      <c r="I113" s="28">
        <f t="shared" si="38"/>
        <v>162856067.4</v>
      </c>
      <c r="J113" s="28">
        <f t="shared" si="39"/>
        <v>167066156.3</v>
      </c>
      <c r="K113" s="28">
        <f t="shared" si="40"/>
        <v>171385089</v>
      </c>
      <c r="L113" s="28">
        <f t="shared" si="41"/>
        <v>175815679.4</v>
      </c>
      <c r="M113" s="28">
        <f t="shared" si="42"/>
        <v>180360814.6</v>
      </c>
    </row>
    <row r="114">
      <c r="B114" s="10"/>
      <c r="G114" s="39" t="s">
        <v>315</v>
      </c>
      <c r="H114" s="28">
        <f t="shared" si="37"/>
        <v>51516167.9</v>
      </c>
      <c r="I114" s="28">
        <f t="shared" si="38"/>
        <v>52848080.48</v>
      </c>
      <c r="J114" s="28">
        <f t="shared" si="39"/>
        <v>54214430.88</v>
      </c>
      <c r="K114" s="28">
        <f t="shared" si="40"/>
        <v>55616109.58</v>
      </c>
      <c r="L114" s="28">
        <f t="shared" si="41"/>
        <v>57054030.09</v>
      </c>
      <c r="M114" s="28">
        <f t="shared" si="42"/>
        <v>58529129.53</v>
      </c>
    </row>
    <row r="115">
      <c r="B115" s="10"/>
      <c r="G115" s="39" t="s">
        <v>316</v>
      </c>
      <c r="H115" s="28">
        <f t="shared" si="37"/>
        <v>300965375.3</v>
      </c>
      <c r="I115" s="28">
        <f t="shared" si="38"/>
        <v>308745894.6</v>
      </c>
      <c r="J115" s="28">
        <f t="shared" si="39"/>
        <v>316727566.5</v>
      </c>
      <c r="K115" s="28">
        <f t="shared" si="40"/>
        <v>324915591.7</v>
      </c>
      <c r="L115" s="28">
        <f t="shared" si="41"/>
        <v>280364728.6</v>
      </c>
      <c r="M115" s="28">
        <f t="shared" si="42"/>
        <v>287612533.9</v>
      </c>
    </row>
    <row r="116">
      <c r="B116" s="10"/>
      <c r="G116" s="39" t="s">
        <v>317</v>
      </c>
      <c r="H116" s="28">
        <f t="shared" si="37"/>
        <v>134649415</v>
      </c>
      <c r="I116" s="28">
        <f t="shared" si="38"/>
        <v>138130445.9</v>
      </c>
      <c r="J116" s="28">
        <f t="shared" si="39"/>
        <v>141701475.6</v>
      </c>
      <c r="K116" s="28">
        <f t="shared" si="40"/>
        <v>145364831.2</v>
      </c>
      <c r="L116" s="28">
        <f t="shared" si="41"/>
        <v>149122899.8</v>
      </c>
      <c r="M116" s="28">
        <f t="shared" si="42"/>
        <v>152978130.3</v>
      </c>
    </row>
    <row r="118">
      <c r="H118" s="44" t="s">
        <v>327</v>
      </c>
      <c r="I118" s="7"/>
      <c r="J118" s="7"/>
      <c r="K118" s="7"/>
      <c r="L118" s="7"/>
      <c r="M118" s="8"/>
    </row>
    <row r="119">
      <c r="H119" s="24">
        <v>2025.0</v>
      </c>
      <c r="I119" s="24">
        <v>2026.0</v>
      </c>
      <c r="J119" s="24">
        <v>2027.0</v>
      </c>
      <c r="K119" s="24">
        <v>2028.0</v>
      </c>
      <c r="L119" s="24">
        <v>2029.0</v>
      </c>
      <c r="M119" s="24">
        <v>2030.0</v>
      </c>
    </row>
    <row r="120">
      <c r="G120" s="39" t="s">
        <v>305</v>
      </c>
      <c r="H120" s="28">
        <f t="shared" ref="H120:M120" si="43">H102/H48</f>
        <v>3990.887675</v>
      </c>
      <c r="I120" s="28">
        <f t="shared" si="43"/>
        <v>4139.097385</v>
      </c>
      <c r="J120" s="28">
        <f t="shared" si="43"/>
        <v>4279.043975</v>
      </c>
      <c r="K120" s="28">
        <f t="shared" si="43"/>
        <v>4418.534196</v>
      </c>
      <c r="L120" s="28">
        <f t="shared" si="43"/>
        <v>4561.424155</v>
      </c>
      <c r="M120" s="28">
        <f t="shared" si="43"/>
        <v>4708.773526</v>
      </c>
    </row>
    <row r="121">
      <c r="G121" s="39" t="s">
        <v>306</v>
      </c>
      <c r="H121" s="28">
        <f t="shared" ref="H121:M121" si="44">H103/H49</f>
        <v>3553.030325</v>
      </c>
      <c r="I121" s="28">
        <f t="shared" si="44"/>
        <v>3666.762015</v>
      </c>
      <c r="J121" s="28">
        <f t="shared" si="44"/>
        <v>3784.906844</v>
      </c>
      <c r="K121" s="28">
        <f t="shared" si="44"/>
        <v>3907.085691</v>
      </c>
      <c r="L121" s="28">
        <f t="shared" si="44"/>
        <v>4033.26803</v>
      </c>
      <c r="M121" s="28">
        <f t="shared" si="44"/>
        <v>4163.539324</v>
      </c>
    </row>
    <row r="122">
      <c r="G122" s="39" t="s">
        <v>307</v>
      </c>
      <c r="H122" s="28">
        <f t="shared" ref="H122:M122" si="45">H104/H50</f>
        <v>1459.174679</v>
      </c>
      <c r="I122" s="28">
        <f t="shared" si="45"/>
        <v>1507.875263</v>
      </c>
      <c r="J122" s="28">
        <f t="shared" si="45"/>
        <v>1556.599055</v>
      </c>
      <c r="K122" s="28">
        <f t="shared" si="45"/>
        <v>1606.73931</v>
      </c>
      <c r="L122" s="28">
        <f t="shared" si="45"/>
        <v>1658.64767</v>
      </c>
      <c r="M122" s="28">
        <f t="shared" si="45"/>
        <v>1712.275547</v>
      </c>
    </row>
    <row r="123">
      <c r="G123" s="39" t="s">
        <v>308</v>
      </c>
      <c r="H123" s="28">
        <f t="shared" ref="H123:M123" si="46">H105/H51</f>
        <v>2945.429605</v>
      </c>
      <c r="I123" s="28">
        <f t="shared" si="46"/>
        <v>3184.602684</v>
      </c>
      <c r="J123" s="28">
        <f t="shared" si="46"/>
        <v>3446.080201</v>
      </c>
      <c r="K123" s="28">
        <f t="shared" si="46"/>
        <v>3709.314628</v>
      </c>
      <c r="L123" s="28">
        <f t="shared" si="46"/>
        <v>3956.946731</v>
      </c>
      <c r="M123" s="28">
        <f t="shared" si="46"/>
        <v>4179.744561</v>
      </c>
    </row>
    <row r="124">
      <c r="G124" s="39" t="s">
        <v>309</v>
      </c>
      <c r="H124" s="28">
        <f t="shared" ref="H124:M124" si="47">H106/H52</f>
        <v>1552.030573</v>
      </c>
      <c r="I124" s="28">
        <f t="shared" si="47"/>
        <v>1618.572606</v>
      </c>
      <c r="J124" s="28">
        <f t="shared" si="47"/>
        <v>1683.203382</v>
      </c>
      <c r="K124" s="28">
        <f t="shared" si="47"/>
        <v>1743.08439</v>
      </c>
      <c r="L124" s="28">
        <f t="shared" si="47"/>
        <v>1800.965849</v>
      </c>
      <c r="M124" s="28">
        <f t="shared" si="47"/>
        <v>1859.43766</v>
      </c>
    </row>
    <row r="125">
      <c r="G125" s="39" t="s">
        <v>310</v>
      </c>
      <c r="H125" s="28">
        <f t="shared" ref="H125:M125" si="48">H107/H53</f>
        <v>1756.405598</v>
      </c>
      <c r="I125" s="28">
        <f t="shared" si="48"/>
        <v>1816.343868</v>
      </c>
      <c r="J125" s="28">
        <f t="shared" si="48"/>
        <v>1873.236104</v>
      </c>
      <c r="K125" s="28">
        <f t="shared" si="48"/>
        <v>1929.540457</v>
      </c>
      <c r="L125" s="28">
        <f t="shared" si="48"/>
        <v>1987.819223</v>
      </c>
      <c r="M125" s="28">
        <f t="shared" si="48"/>
        <v>2049.332329</v>
      </c>
    </row>
    <row r="127">
      <c r="H127" s="44" t="s">
        <v>328</v>
      </c>
      <c r="I127" s="7"/>
      <c r="J127" s="7"/>
      <c r="K127" s="7"/>
      <c r="L127" s="7"/>
      <c r="M127" s="8"/>
    </row>
    <row r="128">
      <c r="H128" s="24">
        <v>2025.0</v>
      </c>
      <c r="I128" s="24">
        <v>2026.0</v>
      </c>
      <c r="J128" s="24">
        <v>2027.0</v>
      </c>
      <c r="K128" s="24">
        <v>2028.0</v>
      </c>
      <c r="L128" s="24">
        <v>2029.0</v>
      </c>
      <c r="M128" s="24">
        <v>2030.0</v>
      </c>
    </row>
    <row r="129">
      <c r="G129" s="39" t="s">
        <v>312</v>
      </c>
      <c r="H129" s="28">
        <f t="shared" ref="H129:M129" si="49">H111/H57</f>
        <v>3864.519399</v>
      </c>
      <c r="I129" s="28">
        <f t="shared" si="49"/>
        <v>4027.246442</v>
      </c>
      <c r="J129" s="28">
        <f t="shared" si="49"/>
        <v>4196.825768</v>
      </c>
      <c r="K129" s="28">
        <f t="shared" si="49"/>
        <v>4373.545931</v>
      </c>
      <c r="L129" s="28">
        <f t="shared" si="49"/>
        <v>4557.707632</v>
      </c>
      <c r="M129" s="28">
        <f t="shared" si="49"/>
        <v>4749.624237</v>
      </c>
    </row>
    <row r="130">
      <c r="G130" s="39" t="s">
        <v>313</v>
      </c>
      <c r="H130" s="28">
        <f t="shared" ref="H130:M130" si="50">H112/H58</f>
        <v>3503.783117</v>
      </c>
      <c r="I130" s="28">
        <f t="shared" si="50"/>
        <v>3651.318681</v>
      </c>
      <c r="J130" s="28">
        <f t="shared" si="50"/>
        <v>3805.06676</v>
      </c>
      <c r="K130" s="28">
        <f t="shared" si="50"/>
        <v>3965.288962</v>
      </c>
      <c r="L130" s="28">
        <f t="shared" si="50"/>
        <v>4132.257909</v>
      </c>
      <c r="M130" s="28">
        <f t="shared" si="50"/>
        <v>4306.257706</v>
      </c>
    </row>
    <row r="131">
      <c r="G131" s="39" t="s">
        <v>314</v>
      </c>
      <c r="H131" s="28">
        <f t="shared" ref="H131:M131" si="51">H113/H59</f>
        <v>1461.69928</v>
      </c>
      <c r="I131" s="28">
        <f t="shared" si="51"/>
        <v>1523.242293</v>
      </c>
      <c r="J131" s="28">
        <f t="shared" si="51"/>
        <v>1587.376555</v>
      </c>
      <c r="K131" s="28">
        <f t="shared" si="51"/>
        <v>1654.211172</v>
      </c>
      <c r="L131" s="28">
        <f t="shared" si="51"/>
        <v>1723.859844</v>
      </c>
      <c r="M131" s="28">
        <f t="shared" si="51"/>
        <v>1796.441059</v>
      </c>
    </row>
    <row r="132">
      <c r="G132" s="39" t="s">
        <v>315</v>
      </c>
      <c r="H132" s="28">
        <f t="shared" ref="H132:M132" si="52">H114/H60</f>
        <v>2806.428289</v>
      </c>
      <c r="I132" s="28">
        <f t="shared" si="52"/>
        <v>2924.597146</v>
      </c>
      <c r="J132" s="28">
        <f t="shared" si="52"/>
        <v>3047.741802</v>
      </c>
      <c r="K132" s="28">
        <f t="shared" si="52"/>
        <v>3176.071783</v>
      </c>
      <c r="L132" s="28">
        <f t="shared" si="52"/>
        <v>3309.805434</v>
      </c>
      <c r="M132" s="28">
        <f t="shared" si="52"/>
        <v>3449.170299</v>
      </c>
    </row>
    <row r="133">
      <c r="G133" s="39" t="s">
        <v>316</v>
      </c>
      <c r="H133" s="28">
        <f t="shared" ref="H133:M133" si="53">H115/H61</f>
        <v>1584.544008</v>
      </c>
      <c r="I133" s="28">
        <f t="shared" si="53"/>
        <v>1651.259756</v>
      </c>
      <c r="J133" s="28">
        <f t="shared" si="53"/>
        <v>1720.784572</v>
      </c>
      <c r="K133" s="28">
        <f t="shared" si="53"/>
        <v>1793.236734</v>
      </c>
      <c r="L133" s="28">
        <f t="shared" si="53"/>
        <v>1571.87094</v>
      </c>
      <c r="M133" s="28">
        <f t="shared" si="53"/>
        <v>1638.052255</v>
      </c>
    </row>
    <row r="134">
      <c r="G134" s="39" t="s">
        <v>317</v>
      </c>
      <c r="H134" s="28">
        <f t="shared" ref="H134:M134" si="54">H116/H62</f>
        <v>1873.898376</v>
      </c>
      <c r="I134" s="28">
        <f t="shared" si="54"/>
        <v>1952.798408</v>
      </c>
      <c r="J134" s="28">
        <f t="shared" si="54"/>
        <v>2035.020582</v>
      </c>
      <c r="K134" s="28">
        <f t="shared" si="54"/>
        <v>2120.704784</v>
      </c>
      <c r="L134" s="28">
        <f t="shared" si="54"/>
        <v>2209.996789</v>
      </c>
      <c r="M134" s="28">
        <f t="shared" si="54"/>
        <v>2303.04851</v>
      </c>
    </row>
    <row r="168">
      <c r="H168" s="23" t="s">
        <v>329</v>
      </c>
      <c r="I168" s="7"/>
      <c r="J168" s="7"/>
      <c r="K168" s="7"/>
      <c r="L168" s="7"/>
      <c r="M168" s="8"/>
      <c r="P168" s="23" t="s">
        <v>330</v>
      </c>
      <c r="Q168" s="7"/>
      <c r="R168" s="7"/>
      <c r="S168" s="7"/>
      <c r="T168" s="7"/>
      <c r="U168" s="8"/>
      <c r="X168" s="23" t="s">
        <v>331</v>
      </c>
      <c r="Y168" s="7"/>
      <c r="Z168" s="7"/>
      <c r="AA168" s="7"/>
      <c r="AB168" s="7"/>
      <c r="AC168" s="8"/>
    </row>
    <row r="169">
      <c r="H169" s="24">
        <v>2025.0</v>
      </c>
      <c r="I169" s="24">
        <v>2026.0</v>
      </c>
      <c r="J169" s="24">
        <v>2027.0</v>
      </c>
      <c r="K169" s="24">
        <v>2028.0</v>
      </c>
      <c r="L169" s="24">
        <v>2029.0</v>
      </c>
      <c r="M169" s="24">
        <v>2030.0</v>
      </c>
      <c r="P169" s="24">
        <v>2025.0</v>
      </c>
      <c r="Q169" s="24">
        <v>2026.0</v>
      </c>
      <c r="R169" s="24">
        <v>2027.0</v>
      </c>
      <c r="S169" s="24">
        <v>2028.0</v>
      </c>
      <c r="T169" s="24">
        <v>2029.0</v>
      </c>
      <c r="U169" s="24">
        <v>2030.0</v>
      </c>
      <c r="X169" s="24">
        <v>2025.0</v>
      </c>
      <c r="Y169" s="24">
        <v>2026.0</v>
      </c>
      <c r="Z169" s="24">
        <v>2027.0</v>
      </c>
      <c r="AA169" s="24">
        <v>2028.0</v>
      </c>
      <c r="AB169" s="24">
        <v>2029.0</v>
      </c>
      <c r="AC169" s="24">
        <v>2030.0</v>
      </c>
    </row>
    <row r="170">
      <c r="G170" s="39" t="s">
        <v>305</v>
      </c>
      <c r="H170" s="28">
        <f t="shared" ref="H170:M170" si="55">H102*$B$100</f>
        <v>5202000.05</v>
      </c>
      <c r="I170" s="28">
        <f t="shared" si="55"/>
        <v>5353426.634</v>
      </c>
      <c r="J170" s="28">
        <f t="shared" si="55"/>
        <v>5520992.588</v>
      </c>
      <c r="K170" s="28">
        <f t="shared" si="55"/>
        <v>5698229.751</v>
      </c>
      <c r="L170" s="28">
        <f t="shared" si="55"/>
        <v>5882136.284</v>
      </c>
      <c r="M170" s="28">
        <f t="shared" si="55"/>
        <v>6072116.16</v>
      </c>
      <c r="O170" s="39" t="s">
        <v>305</v>
      </c>
      <c r="P170" s="28">
        <f t="shared" ref="P170:U170" si="56">H102*$B$101</f>
        <v>2040000.02</v>
      </c>
      <c r="Q170" s="28">
        <f t="shared" si="56"/>
        <v>2099382.994</v>
      </c>
      <c r="R170" s="28">
        <f t="shared" si="56"/>
        <v>2165095.132</v>
      </c>
      <c r="S170" s="28">
        <f t="shared" si="56"/>
        <v>2234599.903</v>
      </c>
      <c r="T170" s="28">
        <f t="shared" si="56"/>
        <v>2306720.112</v>
      </c>
      <c r="U170" s="28">
        <f t="shared" si="56"/>
        <v>2381222.024</v>
      </c>
      <c r="W170" s="39" t="s">
        <v>305</v>
      </c>
      <c r="X170" s="28">
        <f t="shared" ref="X170:AC170" si="57">H48*$B$102*$B$103*24*365</f>
        <v>5839052.292</v>
      </c>
      <c r="Y170" s="28">
        <f t="shared" si="57"/>
        <v>5793856.41</v>
      </c>
      <c r="Z170" s="28">
        <f t="shared" si="57"/>
        <v>5779788.3</v>
      </c>
      <c r="AA170" s="28">
        <f t="shared" si="57"/>
        <v>5777011.773</v>
      </c>
      <c r="AB170" s="28">
        <f t="shared" si="57"/>
        <v>5776651.153</v>
      </c>
      <c r="AC170" s="28">
        <f t="shared" si="57"/>
        <v>5776619.808</v>
      </c>
    </row>
    <row r="171">
      <c r="G171" s="39" t="s">
        <v>306</v>
      </c>
      <c r="H171" s="28">
        <f t="shared" ref="H171:M171" si="58">H103*$B$100</f>
        <v>5618169.429</v>
      </c>
      <c r="I171" s="28">
        <f t="shared" si="58"/>
        <v>5800716.472</v>
      </c>
      <c r="J171" s="28">
        <f t="shared" si="58"/>
        <v>5988385.14</v>
      </c>
      <c r="K171" s="28">
        <f t="shared" si="58"/>
        <v>6181887.15</v>
      </c>
      <c r="L171" s="28">
        <f t="shared" si="58"/>
        <v>6381579.427</v>
      </c>
      <c r="M171" s="28">
        <f t="shared" si="58"/>
        <v>6587707.861</v>
      </c>
      <c r="O171" s="39" t="s">
        <v>306</v>
      </c>
      <c r="P171" s="28">
        <f t="shared" ref="P171:U171" si="59">H103*$B$101</f>
        <v>2203203.698</v>
      </c>
      <c r="Q171" s="28">
        <f t="shared" si="59"/>
        <v>2274790.773</v>
      </c>
      <c r="R171" s="28">
        <f t="shared" si="59"/>
        <v>2348386.329</v>
      </c>
      <c r="S171" s="28">
        <f t="shared" si="59"/>
        <v>2424269.471</v>
      </c>
      <c r="T171" s="28">
        <f t="shared" si="59"/>
        <v>2502580.167</v>
      </c>
      <c r="U171" s="28">
        <f t="shared" si="59"/>
        <v>2583414.848</v>
      </c>
      <c r="W171" s="39" t="s">
        <v>306</v>
      </c>
      <c r="X171" s="28">
        <f t="shared" ref="X171:AC171" si="60">H49*$B$102*$B$103*24*365</f>
        <v>7083329.346</v>
      </c>
      <c r="Y171" s="28">
        <f t="shared" si="60"/>
        <v>7086640.99</v>
      </c>
      <c r="Z171" s="28">
        <f t="shared" si="60"/>
        <v>7087548.54</v>
      </c>
      <c r="AA171" s="28">
        <f t="shared" si="60"/>
        <v>7087770.61</v>
      </c>
      <c r="AB171" s="28">
        <f t="shared" si="60"/>
        <v>7087818.897</v>
      </c>
      <c r="AC171" s="28">
        <f t="shared" si="60"/>
        <v>7087828.13</v>
      </c>
    </row>
    <row r="172">
      <c r="G172" s="39" t="s">
        <v>307</v>
      </c>
      <c r="H172" s="28">
        <f t="shared" ref="H172:M172" si="61">H104*$B$100</f>
        <v>20264099.69</v>
      </c>
      <c r="I172" s="28">
        <f t="shared" si="61"/>
        <v>20904195.21</v>
      </c>
      <c r="J172" s="28">
        <f t="shared" si="61"/>
        <v>21579222.23</v>
      </c>
      <c r="K172" s="28">
        <f t="shared" si="61"/>
        <v>22277498.51</v>
      </c>
      <c r="L172" s="28">
        <f t="shared" si="61"/>
        <v>22996963.54</v>
      </c>
      <c r="M172" s="28">
        <f t="shared" si="61"/>
        <v>23739273.19</v>
      </c>
      <c r="O172" s="39" t="s">
        <v>307</v>
      </c>
      <c r="P172" s="28">
        <f t="shared" ref="P172:U172" si="62">H104*$B$101</f>
        <v>7946705.759</v>
      </c>
      <c r="Q172" s="28">
        <f t="shared" si="62"/>
        <v>8197723.611</v>
      </c>
      <c r="R172" s="28">
        <f t="shared" si="62"/>
        <v>8462440.09</v>
      </c>
      <c r="S172" s="28">
        <f t="shared" si="62"/>
        <v>8736273.926</v>
      </c>
      <c r="T172" s="28">
        <f t="shared" si="62"/>
        <v>9018417.074</v>
      </c>
      <c r="U172" s="28">
        <f t="shared" si="62"/>
        <v>9309518.899</v>
      </c>
      <c r="W172" s="39" t="s">
        <v>307</v>
      </c>
      <c r="X172" s="28">
        <f t="shared" ref="X172:AC172" si="63">H50*$B$102*$B$103*24*365</f>
        <v>62210192.58</v>
      </c>
      <c r="Y172" s="28">
        <f t="shared" si="63"/>
        <v>62102567.11</v>
      </c>
      <c r="Z172" s="28">
        <f t="shared" si="63"/>
        <v>62101278.65</v>
      </c>
      <c r="AA172" s="28">
        <f t="shared" si="63"/>
        <v>62110141.88</v>
      </c>
      <c r="AB172" s="28">
        <f t="shared" si="63"/>
        <v>62109476.78</v>
      </c>
      <c r="AC172" s="28">
        <f t="shared" si="63"/>
        <v>62106246.24</v>
      </c>
    </row>
    <row r="173">
      <c r="G173" s="39" t="s">
        <v>308</v>
      </c>
      <c r="H173" s="28">
        <f t="shared" ref="H173:M173" si="64">H105*$B$100</f>
        <v>6361294.055</v>
      </c>
      <c r="I173" s="28">
        <f t="shared" si="64"/>
        <v>6368484.741</v>
      </c>
      <c r="J173" s="28">
        <f t="shared" si="64"/>
        <v>6372160.147</v>
      </c>
      <c r="K173" s="28">
        <f t="shared" si="64"/>
        <v>6398270.461</v>
      </c>
      <c r="L173" s="28">
        <f t="shared" si="64"/>
        <v>6462838.266</v>
      </c>
      <c r="M173" s="28">
        <f t="shared" si="64"/>
        <v>6570780.851</v>
      </c>
      <c r="O173" s="39" t="s">
        <v>308</v>
      </c>
      <c r="P173" s="28">
        <f t="shared" ref="P173:U173" si="65">H105*$B$101</f>
        <v>2494625.12</v>
      </c>
      <c r="Q173" s="28">
        <f t="shared" si="65"/>
        <v>2497444.996</v>
      </c>
      <c r="R173" s="28">
        <f t="shared" si="65"/>
        <v>2498886.332</v>
      </c>
      <c r="S173" s="28">
        <f t="shared" si="65"/>
        <v>2509125.671</v>
      </c>
      <c r="T173" s="28">
        <f t="shared" si="65"/>
        <v>2534446.379</v>
      </c>
      <c r="U173" s="28">
        <f t="shared" si="65"/>
        <v>2576776.804</v>
      </c>
      <c r="W173" s="39" t="s">
        <v>308</v>
      </c>
      <c r="X173" s="28">
        <f t="shared" ref="X173:AC173" si="66">H51*$B$102*$B$103*24*365</f>
        <v>9674718.582</v>
      </c>
      <c r="Y173" s="28">
        <f t="shared" si="66"/>
        <v>8958233.388</v>
      </c>
      <c r="Z173" s="28">
        <f t="shared" si="66"/>
        <v>8283289.088</v>
      </c>
      <c r="AA173" s="28">
        <f t="shared" si="66"/>
        <v>7726991.583</v>
      </c>
      <c r="AB173" s="28">
        <f t="shared" si="66"/>
        <v>7316520.622</v>
      </c>
      <c r="AC173" s="28">
        <f t="shared" si="66"/>
        <v>7042206.545</v>
      </c>
    </row>
    <row r="174">
      <c r="G174" s="39" t="s">
        <v>309</v>
      </c>
      <c r="H174" s="28">
        <f t="shared" ref="H174:M174" si="67">H106*$B$100</f>
        <v>29178083.06</v>
      </c>
      <c r="I174" s="28">
        <f t="shared" si="67"/>
        <v>29917732.97</v>
      </c>
      <c r="J174" s="28">
        <f t="shared" si="67"/>
        <v>30733664.29</v>
      </c>
      <c r="K174" s="28">
        <f t="shared" si="67"/>
        <v>31659802.43</v>
      </c>
      <c r="L174" s="28">
        <f t="shared" si="67"/>
        <v>32663406.44</v>
      </c>
      <c r="M174" s="28">
        <f t="shared" si="67"/>
        <v>33714820.8</v>
      </c>
      <c r="O174" s="39" t="s">
        <v>309</v>
      </c>
      <c r="P174" s="28">
        <f t="shared" ref="P174:U174" si="68">H106*$B$101</f>
        <v>11442385.51</v>
      </c>
      <c r="Q174" s="28">
        <f t="shared" si="68"/>
        <v>11732444.3</v>
      </c>
      <c r="R174" s="28">
        <f t="shared" si="68"/>
        <v>12052417.37</v>
      </c>
      <c r="S174" s="28">
        <f t="shared" si="68"/>
        <v>12415608.79</v>
      </c>
      <c r="T174" s="28">
        <f t="shared" si="68"/>
        <v>12809179</v>
      </c>
      <c r="U174" s="28">
        <f t="shared" si="68"/>
        <v>13221498.35</v>
      </c>
      <c r="W174" s="39" t="s">
        <v>309</v>
      </c>
      <c r="X174" s="28">
        <f t="shared" ref="X174:AC174" si="69">H52*$B$102*$B$103*24*365</f>
        <v>84216657.65</v>
      </c>
      <c r="Y174" s="28">
        <f t="shared" si="69"/>
        <v>82801463.5</v>
      </c>
      <c r="Z174" s="28">
        <f t="shared" si="69"/>
        <v>81793589.04</v>
      </c>
      <c r="AA174" s="28">
        <f t="shared" si="69"/>
        <v>81363815.03</v>
      </c>
      <c r="AB174" s="28">
        <f t="shared" si="69"/>
        <v>81245163.02</v>
      </c>
      <c r="AC174" s="28">
        <f t="shared" si="69"/>
        <v>81223322.4</v>
      </c>
    </row>
    <row r="175">
      <c r="G175" s="39" t="s">
        <v>310</v>
      </c>
      <c r="H175" s="28">
        <f t="shared" ref="H175:M175" si="70">H107*$B$100</f>
        <v>17920634.95</v>
      </c>
      <c r="I175" s="28">
        <f t="shared" si="70"/>
        <v>18477819.32</v>
      </c>
      <c r="J175" s="28">
        <f t="shared" si="70"/>
        <v>19086635.56</v>
      </c>
      <c r="K175" s="28">
        <f t="shared" si="70"/>
        <v>19731558.2</v>
      </c>
      <c r="L175" s="28">
        <f t="shared" si="70"/>
        <v>20396353.83</v>
      </c>
      <c r="M175" s="28">
        <f t="shared" si="70"/>
        <v>21073494.33</v>
      </c>
      <c r="O175" s="39" t="s">
        <v>310</v>
      </c>
      <c r="P175" s="28">
        <f t="shared" ref="P175:U175" si="71">H107*$B$101</f>
        <v>7027699.981</v>
      </c>
      <c r="Q175" s="28">
        <f t="shared" si="71"/>
        <v>7246203.657</v>
      </c>
      <c r="R175" s="28">
        <f t="shared" si="71"/>
        <v>7484955.122</v>
      </c>
      <c r="S175" s="28">
        <f t="shared" si="71"/>
        <v>7737865.959</v>
      </c>
      <c r="T175" s="28">
        <f t="shared" si="71"/>
        <v>7998570.128</v>
      </c>
      <c r="U175" s="28">
        <f t="shared" si="71"/>
        <v>8264115.423</v>
      </c>
      <c r="W175" s="39" t="s">
        <v>310</v>
      </c>
      <c r="X175" s="28">
        <f t="shared" ref="X175:AC175" si="72">H53*$B$102*$B$103*24*365</f>
        <v>45705671.9</v>
      </c>
      <c r="Y175" s="28">
        <f t="shared" si="72"/>
        <v>45571587.89</v>
      </c>
      <c r="Z175" s="28">
        <f t="shared" si="72"/>
        <v>45643441.09</v>
      </c>
      <c r="AA175" s="28">
        <f t="shared" si="72"/>
        <v>45808810.09</v>
      </c>
      <c r="AB175" s="28">
        <f t="shared" si="72"/>
        <v>45963931.47</v>
      </c>
      <c r="AC175" s="28">
        <f t="shared" si="72"/>
        <v>46064427.76</v>
      </c>
    </row>
    <row r="177">
      <c r="H177" s="23" t="s">
        <v>332</v>
      </c>
      <c r="I177" s="7"/>
      <c r="J177" s="7"/>
      <c r="K177" s="7"/>
      <c r="L177" s="7"/>
      <c r="M177" s="8"/>
      <c r="P177" s="23" t="s">
        <v>333</v>
      </c>
      <c r="Q177" s="7"/>
      <c r="R177" s="7"/>
      <c r="S177" s="7"/>
      <c r="T177" s="7"/>
      <c r="U177" s="8"/>
      <c r="X177" s="23" t="s">
        <v>334</v>
      </c>
      <c r="Y177" s="7"/>
      <c r="Z177" s="7"/>
      <c r="AA177" s="7"/>
      <c r="AB177" s="7"/>
      <c r="AC177" s="8"/>
    </row>
    <row r="178">
      <c r="H178" s="24">
        <v>2025.0</v>
      </c>
      <c r="I178" s="24">
        <v>2026.0</v>
      </c>
      <c r="J178" s="24">
        <v>2027.0</v>
      </c>
      <c r="K178" s="24">
        <v>2028.0</v>
      </c>
      <c r="L178" s="24">
        <v>2029.0</v>
      </c>
      <c r="M178" s="24">
        <v>2030.0</v>
      </c>
      <c r="P178" s="24">
        <v>2025.0</v>
      </c>
      <c r="Q178" s="24">
        <v>2026.0</v>
      </c>
      <c r="R178" s="24">
        <v>2027.0</v>
      </c>
      <c r="S178" s="24">
        <v>2028.0</v>
      </c>
      <c r="T178" s="24">
        <v>2029.0</v>
      </c>
      <c r="U178" s="24">
        <v>2030.0</v>
      </c>
      <c r="X178" s="24">
        <v>2025.0</v>
      </c>
      <c r="Y178" s="24">
        <v>2026.0</v>
      </c>
      <c r="Z178" s="24">
        <v>2027.0</v>
      </c>
      <c r="AA178" s="24">
        <v>2028.0</v>
      </c>
      <c r="AB178" s="24">
        <v>2029.0</v>
      </c>
      <c r="AC178" s="24">
        <v>2030.0</v>
      </c>
    </row>
    <row r="179">
      <c r="G179" s="39" t="s">
        <v>312</v>
      </c>
      <c r="H179" s="28">
        <f t="shared" ref="H179:M179" si="73">H111*$B$100</f>
        <v>5314033.254</v>
      </c>
      <c r="I179" s="28">
        <f t="shared" si="73"/>
        <v>5451431.357</v>
      </c>
      <c r="J179" s="28">
        <f t="shared" si="73"/>
        <v>5592382.225</v>
      </c>
      <c r="K179" s="28">
        <f t="shared" si="73"/>
        <v>5736977.731</v>
      </c>
      <c r="L179" s="28">
        <f t="shared" si="73"/>
        <v>5885312.123</v>
      </c>
      <c r="M179" s="28">
        <f t="shared" si="73"/>
        <v>6037482.085</v>
      </c>
      <c r="O179" s="39" t="s">
        <v>312</v>
      </c>
      <c r="P179" s="28">
        <f t="shared" ref="P179:U179" si="74">H111*$B$101</f>
        <v>2083934.609</v>
      </c>
      <c r="Q179" s="28">
        <f t="shared" si="74"/>
        <v>2137816.218</v>
      </c>
      <c r="R179" s="28">
        <f t="shared" si="74"/>
        <v>2193091.069</v>
      </c>
      <c r="S179" s="28">
        <f t="shared" si="74"/>
        <v>2249795.189</v>
      </c>
      <c r="T179" s="28">
        <f t="shared" si="74"/>
        <v>2307965.538</v>
      </c>
      <c r="U179" s="28">
        <f t="shared" si="74"/>
        <v>2367640.033</v>
      </c>
      <c r="W179" s="39" t="s">
        <v>312</v>
      </c>
      <c r="X179" s="28">
        <f t="shared" ref="X179:AC179" si="75">H57*$B$102*$B$103*24*365</f>
        <v>6159852.22</v>
      </c>
      <c r="Y179" s="28">
        <f t="shared" si="75"/>
        <v>6063785.897</v>
      </c>
      <c r="Z179" s="28">
        <f t="shared" si="75"/>
        <v>5969217.781</v>
      </c>
      <c r="AA179" s="28">
        <f t="shared" si="75"/>
        <v>5876124.508</v>
      </c>
      <c r="AB179" s="28">
        <f t="shared" si="75"/>
        <v>5784483.076</v>
      </c>
      <c r="AC179" s="28">
        <f t="shared" si="75"/>
        <v>5694270.843</v>
      </c>
    </row>
    <row r="180">
      <c r="G180" s="39" t="s">
        <v>313</v>
      </c>
      <c r="H180" s="28">
        <f t="shared" ref="H180:M180" si="76">H112*$B$100</f>
        <v>5670345.782</v>
      </c>
      <c r="I180" s="28">
        <f t="shared" si="76"/>
        <v>5816954.036</v>
      </c>
      <c r="J180" s="28">
        <f t="shared" si="76"/>
        <v>5967353.137</v>
      </c>
      <c r="K180" s="28">
        <f t="shared" si="76"/>
        <v>6121641.11</v>
      </c>
      <c r="L180" s="28">
        <f t="shared" si="76"/>
        <v>6279918.517</v>
      </c>
      <c r="M180" s="28">
        <f t="shared" si="76"/>
        <v>6442288.522</v>
      </c>
      <c r="O180" s="39" t="s">
        <v>313</v>
      </c>
      <c r="P180" s="28">
        <f t="shared" ref="P180:U180" si="77">H112*$B$101</f>
        <v>2223665.013</v>
      </c>
      <c r="Q180" s="28">
        <f t="shared" si="77"/>
        <v>2281158.446</v>
      </c>
      <c r="R180" s="28">
        <f t="shared" si="77"/>
        <v>2340138.485</v>
      </c>
      <c r="S180" s="28">
        <f t="shared" si="77"/>
        <v>2400643.573</v>
      </c>
      <c r="T180" s="28">
        <f t="shared" si="77"/>
        <v>2462713.144</v>
      </c>
      <c r="U180" s="28">
        <f t="shared" si="77"/>
        <v>2526387.656</v>
      </c>
      <c r="W180" s="39" t="s">
        <v>313</v>
      </c>
      <c r="X180" s="28">
        <f t="shared" ref="X180:AC180" si="78">H58*$B$102*$B$103*24*365</f>
        <v>7249596.66</v>
      </c>
      <c r="Y180" s="28">
        <f t="shared" si="78"/>
        <v>7136535.166</v>
      </c>
      <c r="Z180" s="28">
        <f t="shared" si="78"/>
        <v>7025236.928</v>
      </c>
      <c r="AA180" s="28">
        <f t="shared" si="78"/>
        <v>6915674.449</v>
      </c>
      <c r="AB180" s="28">
        <f t="shared" si="78"/>
        <v>6807820.657</v>
      </c>
      <c r="AC180" s="28">
        <f t="shared" si="78"/>
        <v>6701648.905</v>
      </c>
    </row>
    <row r="181">
      <c r="G181" s="39" t="s">
        <v>314</v>
      </c>
      <c r="H181" s="28">
        <f t="shared" ref="H181:M181" si="79">H113*$B$100</f>
        <v>20240890.07</v>
      </c>
      <c r="I181" s="28">
        <f t="shared" si="79"/>
        <v>20764148.59</v>
      </c>
      <c r="J181" s="28">
        <f t="shared" si="79"/>
        <v>21300934.93</v>
      </c>
      <c r="K181" s="28">
        <f t="shared" si="79"/>
        <v>21851598.84</v>
      </c>
      <c r="L181" s="28">
        <f t="shared" si="79"/>
        <v>22416499.13</v>
      </c>
      <c r="M181" s="28">
        <f t="shared" si="79"/>
        <v>22996003.86</v>
      </c>
      <c r="O181" s="39" t="s">
        <v>314</v>
      </c>
      <c r="P181" s="28">
        <f t="shared" ref="P181:U181" si="80">H113*$B$101</f>
        <v>7937603.948</v>
      </c>
      <c r="Q181" s="28">
        <f t="shared" si="80"/>
        <v>8142803.369</v>
      </c>
      <c r="R181" s="28">
        <f t="shared" si="80"/>
        <v>8353307.816</v>
      </c>
      <c r="S181" s="28">
        <f t="shared" si="80"/>
        <v>8569254.448</v>
      </c>
      <c r="T181" s="28">
        <f t="shared" si="80"/>
        <v>8790783.971</v>
      </c>
      <c r="U181" s="28">
        <f t="shared" si="80"/>
        <v>9018040.729</v>
      </c>
      <c r="W181" s="39" t="s">
        <v>314</v>
      </c>
      <c r="X181" s="28">
        <f t="shared" ref="X181:AC181" si="81">H59*$B$102*$B$103*24*365</f>
        <v>62031615.3</v>
      </c>
      <c r="Y181" s="28">
        <f t="shared" si="81"/>
        <v>61064197.74</v>
      </c>
      <c r="Z181" s="28">
        <f t="shared" si="81"/>
        <v>60111867.59</v>
      </c>
      <c r="AA181" s="28">
        <f t="shared" si="81"/>
        <v>59174389.56</v>
      </c>
      <c r="AB181" s="28">
        <f t="shared" si="81"/>
        <v>58251532.03</v>
      </c>
      <c r="AC181" s="28">
        <f t="shared" si="81"/>
        <v>57343066.97</v>
      </c>
    </row>
    <row r="182">
      <c r="G182" s="39" t="s">
        <v>315</v>
      </c>
      <c r="H182" s="28">
        <f t="shared" ref="H182:M182" si="82">H114*$B$100</f>
        <v>6568311.407</v>
      </c>
      <c r="I182" s="28">
        <f t="shared" si="82"/>
        <v>6738130.262</v>
      </c>
      <c r="J182" s="28">
        <f t="shared" si="82"/>
        <v>6912339.937</v>
      </c>
      <c r="K182" s="28">
        <f t="shared" si="82"/>
        <v>7091053.972</v>
      </c>
      <c r="L182" s="28">
        <f t="shared" si="82"/>
        <v>7274388.836</v>
      </c>
      <c r="M182" s="28">
        <f t="shared" si="82"/>
        <v>7462464.015</v>
      </c>
      <c r="O182" s="39" t="s">
        <v>315</v>
      </c>
      <c r="P182" s="28">
        <f t="shared" ref="P182:U182" si="83">H114*$B$101</f>
        <v>2575808.395</v>
      </c>
      <c r="Q182" s="28">
        <f t="shared" si="83"/>
        <v>2642404.024</v>
      </c>
      <c r="R182" s="28">
        <f t="shared" si="83"/>
        <v>2710721.544</v>
      </c>
      <c r="S182" s="28">
        <f t="shared" si="83"/>
        <v>2780805.479</v>
      </c>
      <c r="T182" s="28">
        <f t="shared" si="83"/>
        <v>2852701.504</v>
      </c>
      <c r="U182" s="28">
        <f t="shared" si="83"/>
        <v>2926456.477</v>
      </c>
      <c r="W182" s="39" t="s">
        <v>315</v>
      </c>
      <c r="X182" s="28">
        <f t="shared" ref="X182:AC182" si="84">H60*$B$102*$B$103*24*365</f>
        <v>10484344.98</v>
      </c>
      <c r="Y182" s="28">
        <f t="shared" si="84"/>
        <v>10320835.78</v>
      </c>
      <c r="Z182" s="28">
        <f t="shared" si="84"/>
        <v>10159876.6</v>
      </c>
      <c r="AA182" s="28">
        <f t="shared" si="84"/>
        <v>10001427.67</v>
      </c>
      <c r="AB182" s="28">
        <f t="shared" si="84"/>
        <v>9845449.842</v>
      </c>
      <c r="AC182" s="28">
        <f t="shared" si="84"/>
        <v>9691904.573</v>
      </c>
    </row>
    <row r="183">
      <c r="G183" s="39" t="s">
        <v>316</v>
      </c>
      <c r="H183" s="28">
        <f t="shared" ref="H183:M183" si="85">H115*$B$100</f>
        <v>38373085.35</v>
      </c>
      <c r="I183" s="28">
        <f t="shared" si="85"/>
        <v>39365101.56</v>
      </c>
      <c r="J183" s="28">
        <f t="shared" si="85"/>
        <v>40382764.72</v>
      </c>
      <c r="K183" s="28">
        <f t="shared" si="85"/>
        <v>41426737.95</v>
      </c>
      <c r="L183" s="28">
        <f t="shared" si="85"/>
        <v>35746502.9</v>
      </c>
      <c r="M183" s="28">
        <f t="shared" si="85"/>
        <v>36670598.07</v>
      </c>
      <c r="O183" s="39" t="s">
        <v>316</v>
      </c>
      <c r="P183" s="28">
        <f t="shared" ref="P183:U183" si="86">H115*$B$101</f>
        <v>15048268.76</v>
      </c>
      <c r="Q183" s="28">
        <f t="shared" si="86"/>
        <v>15437294.73</v>
      </c>
      <c r="R183" s="28">
        <f t="shared" si="86"/>
        <v>15836378.32</v>
      </c>
      <c r="S183" s="28">
        <f t="shared" si="86"/>
        <v>16245779.59</v>
      </c>
      <c r="T183" s="28">
        <f t="shared" si="86"/>
        <v>14018236.43</v>
      </c>
      <c r="U183" s="28">
        <f t="shared" si="86"/>
        <v>14380626.69</v>
      </c>
      <c r="W183" s="39" t="s">
        <v>316</v>
      </c>
      <c r="X183" s="28">
        <f t="shared" ref="X183:AC183" si="87">H61*$B$102*$B$103*24*365</f>
        <v>108483560.7</v>
      </c>
      <c r="Y183" s="28">
        <f t="shared" si="87"/>
        <v>106791699.2</v>
      </c>
      <c r="Z183" s="28">
        <f t="shared" si="87"/>
        <v>105126223.2</v>
      </c>
      <c r="AA183" s="28">
        <f t="shared" si="87"/>
        <v>103486721.3</v>
      </c>
      <c r="AB183" s="28">
        <f t="shared" si="87"/>
        <v>101872788.3</v>
      </c>
      <c r="AC183" s="28">
        <f t="shared" si="87"/>
        <v>100284025.4</v>
      </c>
    </row>
    <row r="184">
      <c r="G184" s="39" t="s">
        <v>317</v>
      </c>
      <c r="H184" s="28">
        <f t="shared" ref="H184:M184" si="88">H116*$B$100</f>
        <v>17167800.41</v>
      </c>
      <c r="I184" s="28">
        <f t="shared" si="88"/>
        <v>17611631.85</v>
      </c>
      <c r="J184" s="28">
        <f t="shared" si="88"/>
        <v>18066938.14</v>
      </c>
      <c r="K184" s="28">
        <f t="shared" si="88"/>
        <v>18534015.97</v>
      </c>
      <c r="L184" s="28">
        <f t="shared" si="88"/>
        <v>19013169.72</v>
      </c>
      <c r="M184" s="28">
        <f t="shared" si="88"/>
        <v>19504711.61</v>
      </c>
      <c r="O184" s="39" t="s">
        <v>317</v>
      </c>
      <c r="P184" s="28">
        <f t="shared" ref="P184:U184" si="89">H116*$B$101</f>
        <v>6732470.75</v>
      </c>
      <c r="Q184" s="28">
        <f t="shared" si="89"/>
        <v>6906522.293</v>
      </c>
      <c r="R184" s="28">
        <f t="shared" si="89"/>
        <v>7085073.779</v>
      </c>
      <c r="S184" s="28">
        <f t="shared" si="89"/>
        <v>7268241.559</v>
      </c>
      <c r="T184" s="28">
        <f t="shared" si="89"/>
        <v>7456144.989</v>
      </c>
      <c r="U184" s="28">
        <f t="shared" si="89"/>
        <v>7648906.514</v>
      </c>
      <c r="W184" s="39" t="s">
        <v>317</v>
      </c>
      <c r="X184" s="28">
        <f t="shared" ref="X184:AC184" si="90">H62*$B$102*$B$103*24*365</f>
        <v>41040263.25</v>
      </c>
      <c r="Y184" s="28">
        <f t="shared" si="90"/>
        <v>40400217.51</v>
      </c>
      <c r="Z184" s="28">
        <f t="shared" si="90"/>
        <v>39770153.63</v>
      </c>
      <c r="AA184" s="28">
        <f t="shared" si="90"/>
        <v>39149915.95</v>
      </c>
      <c r="AB184" s="28">
        <f t="shared" si="90"/>
        <v>38539351.23</v>
      </c>
      <c r="AC184" s="28">
        <f t="shared" si="90"/>
        <v>37938308.6</v>
      </c>
    </row>
    <row r="188">
      <c r="H188" s="45" t="s">
        <v>335</v>
      </c>
      <c r="I188" s="7"/>
      <c r="J188" s="7"/>
      <c r="K188" s="7"/>
      <c r="L188" s="7"/>
      <c r="M188" s="8"/>
      <c r="Q188" s="1"/>
      <c r="Y188" s="5"/>
      <c r="Z188" s="5"/>
      <c r="AA188" s="5"/>
    </row>
    <row r="189">
      <c r="H189" s="24">
        <v>2025.0</v>
      </c>
      <c r="I189" s="24">
        <v>2026.0</v>
      </c>
      <c r="J189" s="24">
        <v>2027.0</v>
      </c>
      <c r="K189" s="24">
        <v>2028.0</v>
      </c>
      <c r="L189" s="24">
        <v>2029.0</v>
      </c>
      <c r="M189" s="24">
        <v>2030.0</v>
      </c>
      <c r="P189" s="45" t="s">
        <v>335</v>
      </c>
      <c r="Q189" s="7"/>
      <c r="R189" s="7"/>
      <c r="S189" s="7"/>
      <c r="T189" s="7"/>
      <c r="U189" s="8"/>
      <c r="Y189" s="5"/>
      <c r="Z189" s="5"/>
      <c r="AA189" s="5"/>
    </row>
    <row r="190">
      <c r="G190" s="39" t="s">
        <v>305</v>
      </c>
      <c r="H190" s="28">
        <f t="shared" ref="H190:M190" si="91">H170+P170+X170</f>
        <v>13081052.36</v>
      </c>
      <c r="I190" s="28">
        <f t="shared" si="91"/>
        <v>13246666.04</v>
      </c>
      <c r="J190" s="28">
        <f t="shared" si="91"/>
        <v>13465876.02</v>
      </c>
      <c r="K190" s="28">
        <f t="shared" si="91"/>
        <v>13709841.43</v>
      </c>
      <c r="L190" s="28">
        <f t="shared" si="91"/>
        <v>13965507.55</v>
      </c>
      <c r="M190" s="28">
        <f t="shared" si="91"/>
        <v>14229957.99</v>
      </c>
      <c r="P190" s="24">
        <v>2025.0</v>
      </c>
      <c r="Q190" s="24">
        <v>2026.0</v>
      </c>
      <c r="R190" s="24">
        <v>2027.0</v>
      </c>
      <c r="S190" s="24">
        <v>2028.0</v>
      </c>
      <c r="T190" s="24">
        <v>2029.0</v>
      </c>
      <c r="U190" s="24">
        <v>2030.0</v>
      </c>
      <c r="Y190" s="5"/>
      <c r="Z190" s="5"/>
      <c r="AA190" s="5"/>
    </row>
    <row r="191">
      <c r="G191" s="39" t="s">
        <v>306</v>
      </c>
      <c r="H191" s="28">
        <f t="shared" ref="H191:M191" si="92">H171+P171+X171</f>
        <v>14904702.47</v>
      </c>
      <c r="I191" s="28">
        <f t="shared" si="92"/>
        <v>15162148.24</v>
      </c>
      <c r="J191" s="28">
        <f t="shared" si="92"/>
        <v>15424320.01</v>
      </c>
      <c r="K191" s="28">
        <f t="shared" si="92"/>
        <v>15693927.23</v>
      </c>
      <c r="L191" s="28">
        <f t="shared" si="92"/>
        <v>15971978.49</v>
      </c>
      <c r="M191" s="28">
        <f t="shared" si="92"/>
        <v>16258950.84</v>
      </c>
      <c r="O191" s="39" t="s">
        <v>305</v>
      </c>
      <c r="P191" s="28">
        <f t="shared" ref="P191:U191" si="93">H190/10</f>
        <v>1308105.236</v>
      </c>
      <c r="Q191" s="28">
        <f t="shared" si="93"/>
        <v>1324666.604</v>
      </c>
      <c r="R191" s="28">
        <f t="shared" si="93"/>
        <v>1346587.602</v>
      </c>
      <c r="S191" s="28">
        <f t="shared" si="93"/>
        <v>1370984.143</v>
      </c>
      <c r="T191" s="28">
        <f t="shared" si="93"/>
        <v>1396550.755</v>
      </c>
      <c r="U191" s="28">
        <f t="shared" si="93"/>
        <v>1422995.799</v>
      </c>
      <c r="Y191" s="5"/>
      <c r="Z191" s="5"/>
      <c r="AA191" s="5"/>
    </row>
    <row r="192">
      <c r="G192" s="39" t="s">
        <v>307</v>
      </c>
      <c r="H192" s="28">
        <f t="shared" ref="H192:M192" si="94">H172+P172+X172</f>
        <v>90420998.02</v>
      </c>
      <c r="I192" s="28">
        <f t="shared" si="94"/>
        <v>91204485.93</v>
      </c>
      <c r="J192" s="28">
        <f t="shared" si="94"/>
        <v>92142940.97</v>
      </c>
      <c r="K192" s="28">
        <f t="shared" si="94"/>
        <v>93123914.32</v>
      </c>
      <c r="L192" s="28">
        <f t="shared" si="94"/>
        <v>94124857.4</v>
      </c>
      <c r="M192" s="28">
        <f t="shared" si="94"/>
        <v>95155038.33</v>
      </c>
      <c r="O192" s="39" t="s">
        <v>306</v>
      </c>
      <c r="P192" s="28">
        <f t="shared" ref="P192:U192" si="95">H191/10</f>
        <v>1490470.247</v>
      </c>
      <c r="Q192" s="28">
        <f t="shared" si="95"/>
        <v>1516214.824</v>
      </c>
      <c r="R192" s="28">
        <f t="shared" si="95"/>
        <v>1542432.001</v>
      </c>
      <c r="S192" s="28">
        <f t="shared" si="95"/>
        <v>1569392.723</v>
      </c>
      <c r="T192" s="28">
        <f t="shared" si="95"/>
        <v>1597197.849</v>
      </c>
      <c r="U192" s="28">
        <f t="shared" si="95"/>
        <v>1625895.084</v>
      </c>
      <c r="Y192" s="5"/>
      <c r="Z192" s="5"/>
      <c r="AA192" s="5"/>
    </row>
    <row r="193">
      <c r="G193" s="39" t="s">
        <v>308</v>
      </c>
      <c r="H193" s="28">
        <f t="shared" ref="H193:M193" si="96">H173+P173+X173</f>
        <v>18530637.76</v>
      </c>
      <c r="I193" s="28">
        <f t="shared" si="96"/>
        <v>17824163.13</v>
      </c>
      <c r="J193" s="28">
        <f t="shared" si="96"/>
        <v>17154335.57</v>
      </c>
      <c r="K193" s="28">
        <f t="shared" si="96"/>
        <v>16634387.71</v>
      </c>
      <c r="L193" s="28">
        <f t="shared" si="96"/>
        <v>16313805.27</v>
      </c>
      <c r="M193" s="28">
        <f t="shared" si="96"/>
        <v>16189764.2</v>
      </c>
      <c r="O193" s="39" t="s">
        <v>307</v>
      </c>
      <c r="P193" s="28">
        <f t="shared" ref="P193:U193" si="97">H192/10</f>
        <v>9042099.802</v>
      </c>
      <c r="Q193" s="28">
        <f t="shared" si="97"/>
        <v>9120448.593</v>
      </c>
      <c r="R193" s="28">
        <f t="shared" si="97"/>
        <v>9214294.097</v>
      </c>
      <c r="S193" s="28">
        <f t="shared" si="97"/>
        <v>9312391.432</v>
      </c>
      <c r="T193" s="28">
        <f t="shared" si="97"/>
        <v>9412485.74</v>
      </c>
      <c r="U193" s="28">
        <f t="shared" si="97"/>
        <v>9515503.833</v>
      </c>
      <c r="Y193" s="5"/>
      <c r="Z193" s="5"/>
      <c r="AA193" s="5"/>
    </row>
    <row r="194">
      <c r="G194" s="39" t="s">
        <v>309</v>
      </c>
      <c r="H194" s="28">
        <f t="shared" ref="H194:M194" si="98">H174+P174+X174</f>
        <v>124837126.2</v>
      </c>
      <c r="I194" s="28">
        <f t="shared" si="98"/>
        <v>124451640.8</v>
      </c>
      <c r="J194" s="28">
        <f t="shared" si="98"/>
        <v>124579670.7</v>
      </c>
      <c r="K194" s="28">
        <f t="shared" si="98"/>
        <v>125439226.2</v>
      </c>
      <c r="L194" s="28">
        <f t="shared" si="98"/>
        <v>126717748.5</v>
      </c>
      <c r="M194" s="28">
        <f t="shared" si="98"/>
        <v>128159641.6</v>
      </c>
      <c r="O194" s="39" t="s">
        <v>308</v>
      </c>
      <c r="P194" s="28">
        <f t="shared" ref="P194:U194" si="99">H193/10</f>
        <v>1853063.776</v>
      </c>
      <c r="Q194" s="28">
        <f t="shared" si="99"/>
        <v>1782416.313</v>
      </c>
      <c r="R194" s="28">
        <f t="shared" si="99"/>
        <v>1715433.557</v>
      </c>
      <c r="S194" s="28">
        <f t="shared" si="99"/>
        <v>1663438.771</v>
      </c>
      <c r="T194" s="28">
        <f t="shared" si="99"/>
        <v>1631380.527</v>
      </c>
      <c r="U194" s="28">
        <f t="shared" si="99"/>
        <v>1618976.42</v>
      </c>
      <c r="Y194" s="5"/>
      <c r="Z194" s="5"/>
      <c r="AA194" s="5"/>
    </row>
    <row r="195">
      <c r="G195" s="39" t="s">
        <v>310</v>
      </c>
      <c r="H195" s="28">
        <f t="shared" ref="H195:M195" si="100">H175+P175+X175</f>
        <v>70654006.83</v>
      </c>
      <c r="I195" s="28">
        <f t="shared" si="100"/>
        <v>71295610.87</v>
      </c>
      <c r="J195" s="28">
        <f t="shared" si="100"/>
        <v>72215031.77</v>
      </c>
      <c r="K195" s="28">
        <f t="shared" si="100"/>
        <v>73278234.24</v>
      </c>
      <c r="L195" s="28">
        <f t="shared" si="100"/>
        <v>74358855.42</v>
      </c>
      <c r="M195" s="28">
        <f t="shared" si="100"/>
        <v>75402037.51</v>
      </c>
      <c r="O195" s="39" t="s">
        <v>309</v>
      </c>
      <c r="P195" s="28">
        <f t="shared" ref="P195:U195" si="101">H194/10</f>
        <v>12483712.62</v>
      </c>
      <c r="Q195" s="28">
        <f t="shared" si="101"/>
        <v>12445164.08</v>
      </c>
      <c r="R195" s="28">
        <f t="shared" si="101"/>
        <v>12457967.07</v>
      </c>
      <c r="S195" s="28">
        <f t="shared" si="101"/>
        <v>12543922.62</v>
      </c>
      <c r="T195" s="28">
        <f t="shared" si="101"/>
        <v>12671774.85</v>
      </c>
      <c r="U195" s="28">
        <f t="shared" si="101"/>
        <v>12815964.16</v>
      </c>
      <c r="Y195" s="5"/>
      <c r="Z195" s="5"/>
      <c r="AA195" s="5"/>
    </row>
    <row r="196">
      <c r="O196" s="39" t="s">
        <v>310</v>
      </c>
      <c r="P196" s="28">
        <f t="shared" ref="P196:U196" si="102">H195/10</f>
        <v>7065400.683</v>
      </c>
      <c r="Q196" s="28">
        <f t="shared" si="102"/>
        <v>7129561.087</v>
      </c>
      <c r="R196" s="28">
        <f t="shared" si="102"/>
        <v>7221503.177</v>
      </c>
      <c r="S196" s="28">
        <f t="shared" si="102"/>
        <v>7327823.424</v>
      </c>
      <c r="T196" s="28">
        <f t="shared" si="102"/>
        <v>7435885.542</v>
      </c>
      <c r="U196" s="28">
        <f t="shared" si="102"/>
        <v>7540203.751</v>
      </c>
      <c r="Y196" s="5"/>
      <c r="Z196" s="5"/>
      <c r="AA196" s="5"/>
    </row>
    <row r="197">
      <c r="H197" s="45" t="s">
        <v>336</v>
      </c>
      <c r="I197" s="7"/>
      <c r="J197" s="7"/>
      <c r="K197" s="7"/>
      <c r="L197" s="7"/>
      <c r="M197" s="8"/>
      <c r="Y197" s="5"/>
      <c r="Z197" s="5"/>
      <c r="AA197" s="5"/>
    </row>
    <row r="198">
      <c r="H198" s="24">
        <v>2025.0</v>
      </c>
      <c r="I198" s="24">
        <v>2026.0</v>
      </c>
      <c r="J198" s="24">
        <v>2027.0</v>
      </c>
      <c r="K198" s="24">
        <v>2028.0</v>
      </c>
      <c r="L198" s="24">
        <v>2029.0</v>
      </c>
      <c r="M198" s="24">
        <v>2030.0</v>
      </c>
      <c r="P198" s="45" t="s">
        <v>336</v>
      </c>
      <c r="Q198" s="7"/>
      <c r="R198" s="7"/>
      <c r="S198" s="7"/>
      <c r="T198" s="7"/>
      <c r="U198" s="8"/>
      <c r="Y198" s="5"/>
      <c r="Z198" s="5"/>
      <c r="AA198" s="5"/>
    </row>
    <row r="199">
      <c r="G199" s="39" t="s">
        <v>312</v>
      </c>
      <c r="H199" s="28">
        <f t="shared" ref="H199:M199" si="103">H179+P179+X179</f>
        <v>13557820.08</v>
      </c>
      <c r="I199" s="28">
        <f t="shared" si="103"/>
        <v>13653033.47</v>
      </c>
      <c r="J199" s="28">
        <f t="shared" si="103"/>
        <v>13754691.08</v>
      </c>
      <c r="K199" s="28">
        <f t="shared" si="103"/>
        <v>13862897.43</v>
      </c>
      <c r="L199" s="28">
        <f t="shared" si="103"/>
        <v>13977760.74</v>
      </c>
      <c r="M199" s="28">
        <f t="shared" si="103"/>
        <v>14099392.96</v>
      </c>
      <c r="P199" s="24">
        <v>2025.0</v>
      </c>
      <c r="Q199" s="24">
        <v>2026.0</v>
      </c>
      <c r="R199" s="24">
        <v>2027.0</v>
      </c>
      <c r="S199" s="24">
        <v>2028.0</v>
      </c>
      <c r="T199" s="24">
        <v>2029.0</v>
      </c>
      <c r="U199" s="24">
        <v>2030.0</v>
      </c>
      <c r="Y199" s="5"/>
      <c r="Z199" s="5"/>
      <c r="AA199" s="5"/>
    </row>
    <row r="200">
      <c r="G200" s="39" t="s">
        <v>313</v>
      </c>
      <c r="H200" s="28">
        <f t="shared" ref="H200:M200" si="104">H180+P180+X180</f>
        <v>15143607.45</v>
      </c>
      <c r="I200" s="28">
        <f t="shared" si="104"/>
        <v>15234647.65</v>
      </c>
      <c r="J200" s="28">
        <f t="shared" si="104"/>
        <v>15332728.55</v>
      </c>
      <c r="K200" s="28">
        <f t="shared" si="104"/>
        <v>15437959.13</v>
      </c>
      <c r="L200" s="28">
        <f t="shared" si="104"/>
        <v>15550452.32</v>
      </c>
      <c r="M200" s="28">
        <f t="shared" si="104"/>
        <v>15670325.08</v>
      </c>
      <c r="O200" s="39" t="s">
        <v>312</v>
      </c>
      <c r="P200" s="28">
        <f t="shared" ref="P200:U200" si="105">H199/10</f>
        <v>1355782.008</v>
      </c>
      <c r="Q200" s="28">
        <f t="shared" si="105"/>
        <v>1365303.347</v>
      </c>
      <c r="R200" s="28">
        <f t="shared" si="105"/>
        <v>1375469.108</v>
      </c>
      <c r="S200" s="28">
        <f t="shared" si="105"/>
        <v>1386289.743</v>
      </c>
      <c r="T200" s="28">
        <f t="shared" si="105"/>
        <v>1397776.074</v>
      </c>
      <c r="U200" s="28">
        <f t="shared" si="105"/>
        <v>1409939.296</v>
      </c>
      <c r="Y200" s="5"/>
      <c r="Z200" s="5"/>
      <c r="AA200" s="5"/>
    </row>
    <row r="201">
      <c r="G201" s="39" t="s">
        <v>314</v>
      </c>
      <c r="H201" s="28">
        <f t="shared" ref="H201:M201" si="106">H181+P181+X181</f>
        <v>90210109.32</v>
      </c>
      <c r="I201" s="28">
        <f t="shared" si="106"/>
        <v>89971149.7</v>
      </c>
      <c r="J201" s="28">
        <f t="shared" si="106"/>
        <v>89766110.34</v>
      </c>
      <c r="K201" s="28">
        <f t="shared" si="106"/>
        <v>89595242.85</v>
      </c>
      <c r="L201" s="28">
        <f t="shared" si="106"/>
        <v>89458815.12</v>
      </c>
      <c r="M201" s="28">
        <f t="shared" si="106"/>
        <v>89357111.55</v>
      </c>
      <c r="O201" s="39" t="s">
        <v>313</v>
      </c>
      <c r="P201" s="28">
        <f t="shared" ref="P201:U201" si="107">H200/10</f>
        <v>1514360.745</v>
      </c>
      <c r="Q201" s="28">
        <f t="shared" si="107"/>
        <v>1523464.765</v>
      </c>
      <c r="R201" s="28">
        <f t="shared" si="107"/>
        <v>1533272.855</v>
      </c>
      <c r="S201" s="28">
        <f t="shared" si="107"/>
        <v>1543795.913</v>
      </c>
      <c r="T201" s="28">
        <f t="shared" si="107"/>
        <v>1555045.232</v>
      </c>
      <c r="U201" s="28">
        <f t="shared" si="107"/>
        <v>1567032.508</v>
      </c>
      <c r="Y201" s="5"/>
      <c r="Z201" s="5"/>
      <c r="AA201" s="5"/>
    </row>
    <row r="202">
      <c r="G202" s="39" t="s">
        <v>315</v>
      </c>
      <c r="H202" s="28">
        <f t="shared" ref="H202:M202" si="108">H182+P182+X182</f>
        <v>19628464.78</v>
      </c>
      <c r="I202" s="28">
        <f t="shared" si="108"/>
        <v>19701370.07</v>
      </c>
      <c r="J202" s="28">
        <f t="shared" si="108"/>
        <v>19782938.08</v>
      </c>
      <c r="K202" s="28">
        <f t="shared" si="108"/>
        <v>19873287.12</v>
      </c>
      <c r="L202" s="28">
        <f t="shared" si="108"/>
        <v>19972540.18</v>
      </c>
      <c r="M202" s="28">
        <f t="shared" si="108"/>
        <v>20080825.06</v>
      </c>
      <c r="O202" s="39" t="s">
        <v>314</v>
      </c>
      <c r="P202" s="28">
        <f t="shared" ref="P202:U202" si="109">H201/10</f>
        <v>9021010.932</v>
      </c>
      <c r="Q202" s="28">
        <f t="shared" si="109"/>
        <v>8997114.97</v>
      </c>
      <c r="R202" s="28">
        <f t="shared" si="109"/>
        <v>8976611.034</v>
      </c>
      <c r="S202" s="28">
        <f t="shared" si="109"/>
        <v>8959524.285</v>
      </c>
      <c r="T202" s="28">
        <f t="shared" si="109"/>
        <v>8945881.512</v>
      </c>
      <c r="U202" s="28">
        <f t="shared" si="109"/>
        <v>8935711.155</v>
      </c>
      <c r="Y202" s="5"/>
      <c r="Z202" s="5"/>
      <c r="AA202" s="5"/>
    </row>
    <row r="203">
      <c r="G203" s="39" t="s">
        <v>316</v>
      </c>
      <c r="H203" s="28">
        <f t="shared" ref="H203:M203" si="110">H183+P183+X183</f>
        <v>161904914.8</v>
      </c>
      <c r="I203" s="28">
        <f t="shared" si="110"/>
        <v>161594095.5</v>
      </c>
      <c r="J203" s="28">
        <f t="shared" si="110"/>
        <v>161345366.3</v>
      </c>
      <c r="K203" s="28">
        <f t="shared" si="110"/>
        <v>161159238.8</v>
      </c>
      <c r="L203" s="28">
        <f t="shared" si="110"/>
        <v>151637527.6</v>
      </c>
      <c r="M203" s="28">
        <f t="shared" si="110"/>
        <v>151335250.2</v>
      </c>
      <c r="O203" s="39" t="s">
        <v>315</v>
      </c>
      <c r="P203" s="28">
        <f t="shared" ref="P203:U203" si="111">H202/10</f>
        <v>1962846.478</v>
      </c>
      <c r="Q203" s="28">
        <f t="shared" si="111"/>
        <v>1970137.007</v>
      </c>
      <c r="R203" s="28">
        <f t="shared" si="111"/>
        <v>1978293.808</v>
      </c>
      <c r="S203" s="28">
        <f t="shared" si="111"/>
        <v>1987328.712</v>
      </c>
      <c r="T203" s="28">
        <f t="shared" si="111"/>
        <v>1997254.018</v>
      </c>
      <c r="U203" s="28">
        <f t="shared" si="111"/>
        <v>2008082.506</v>
      </c>
      <c r="Y203" s="5"/>
      <c r="Z203" s="5"/>
      <c r="AA203" s="5"/>
    </row>
    <row r="204">
      <c r="G204" s="39" t="s">
        <v>317</v>
      </c>
      <c r="H204" s="28">
        <f t="shared" ref="H204:M204" si="112">H184+P184+X184</f>
        <v>64940534.41</v>
      </c>
      <c r="I204" s="28">
        <f t="shared" si="112"/>
        <v>64918371.65</v>
      </c>
      <c r="J204" s="28">
        <f t="shared" si="112"/>
        <v>64922165.55</v>
      </c>
      <c r="K204" s="28">
        <f t="shared" si="112"/>
        <v>64952173.49</v>
      </c>
      <c r="L204" s="28">
        <f t="shared" si="112"/>
        <v>65008665.94</v>
      </c>
      <c r="M204" s="28">
        <f t="shared" si="112"/>
        <v>65091926.72</v>
      </c>
      <c r="O204" s="39" t="s">
        <v>316</v>
      </c>
      <c r="P204" s="28">
        <f t="shared" ref="P204:U204" si="113">H203/10</f>
        <v>16190491.48</v>
      </c>
      <c r="Q204" s="28">
        <f t="shared" si="113"/>
        <v>16159409.55</v>
      </c>
      <c r="R204" s="28">
        <f t="shared" si="113"/>
        <v>16134536.63</v>
      </c>
      <c r="S204" s="28">
        <f t="shared" si="113"/>
        <v>16115923.88</v>
      </c>
      <c r="T204" s="28">
        <f t="shared" si="113"/>
        <v>15163752.76</v>
      </c>
      <c r="U204" s="28">
        <f t="shared" si="113"/>
        <v>15133525.02</v>
      </c>
      <c r="Y204" s="5"/>
      <c r="Z204" s="5"/>
      <c r="AA204" s="5"/>
    </row>
    <row r="205">
      <c r="O205" s="39" t="s">
        <v>317</v>
      </c>
      <c r="P205" s="28">
        <f t="shared" ref="P205:U205" si="114">H204/10</f>
        <v>6494053.441</v>
      </c>
      <c r="Q205" s="28">
        <f t="shared" si="114"/>
        <v>6491837.165</v>
      </c>
      <c r="R205" s="28">
        <f t="shared" si="114"/>
        <v>6492216.555</v>
      </c>
      <c r="S205" s="28">
        <f t="shared" si="114"/>
        <v>6495217.349</v>
      </c>
      <c r="T205" s="28">
        <f t="shared" si="114"/>
        <v>6500866.594</v>
      </c>
      <c r="U205" s="28">
        <f t="shared" si="114"/>
        <v>6509192.672</v>
      </c>
      <c r="Y205" s="5"/>
      <c r="Z205" s="5"/>
      <c r="AA205" s="5"/>
    </row>
    <row r="206">
      <c r="Q206" s="1"/>
      <c r="Y206" s="5"/>
      <c r="Z206" s="5"/>
      <c r="AA206" s="5"/>
    </row>
    <row r="207">
      <c r="Q207" s="1"/>
      <c r="U207" s="5"/>
      <c r="Y207" s="5"/>
      <c r="Z207" s="5"/>
      <c r="AA207" s="5"/>
    </row>
    <row r="208">
      <c r="Q208" s="1"/>
      <c r="U208" s="5"/>
      <c r="Y208" s="5"/>
      <c r="Z208" s="5"/>
      <c r="AA208" s="5"/>
    </row>
    <row r="209">
      <c r="Q209" s="1"/>
      <c r="U209" s="5"/>
      <c r="Y209" s="5"/>
      <c r="Z209" s="5"/>
      <c r="AA209" s="5"/>
    </row>
    <row r="210">
      <c r="Q210" s="1"/>
      <c r="U210" s="5"/>
      <c r="Y210" s="5"/>
      <c r="Z210" s="5"/>
      <c r="AA210" s="5"/>
    </row>
    <row r="211">
      <c r="Q211" s="1"/>
      <c r="U211" s="5"/>
      <c r="Y211" s="5"/>
      <c r="Z211" s="5"/>
      <c r="AA211" s="5"/>
    </row>
    <row r="212">
      <c r="U212" s="5"/>
    </row>
    <row r="213">
      <c r="Q213" s="1"/>
      <c r="U213" s="5"/>
    </row>
    <row r="214">
      <c r="Q214" s="1"/>
    </row>
    <row r="215">
      <c r="Q215" s="1"/>
    </row>
    <row r="216">
      <c r="Q216" s="1"/>
    </row>
    <row r="217">
      <c r="Q217" s="1"/>
    </row>
    <row r="218">
      <c r="Q218" s="1"/>
    </row>
    <row r="219">
      <c r="Q219" s="1"/>
    </row>
    <row r="220">
      <c r="Q220" s="1"/>
    </row>
    <row r="221">
      <c r="Q221" s="1"/>
    </row>
    <row r="222">
      <c r="Q222" s="1"/>
    </row>
    <row r="223">
      <c r="Q223" s="1"/>
    </row>
    <row r="224">
      <c r="Q224" s="1"/>
    </row>
  </sheetData>
  <mergeCells count="21">
    <mergeCell ref="H1:M1"/>
    <mergeCell ref="H10:M10"/>
    <mergeCell ref="H19:M19"/>
    <mergeCell ref="H28:M28"/>
    <mergeCell ref="H37:M37"/>
    <mergeCell ref="H46:M46"/>
    <mergeCell ref="H55:M55"/>
    <mergeCell ref="H177:M177"/>
    <mergeCell ref="P177:U177"/>
    <mergeCell ref="X177:AC177"/>
    <mergeCell ref="H188:M188"/>
    <mergeCell ref="P189:U189"/>
    <mergeCell ref="H197:M197"/>
    <mergeCell ref="P198:U198"/>
    <mergeCell ref="H100:M100"/>
    <mergeCell ref="H109:M109"/>
    <mergeCell ref="H118:M118"/>
    <mergeCell ref="H127:M127"/>
    <mergeCell ref="H168:M168"/>
    <mergeCell ref="P168:U168"/>
    <mergeCell ref="X168:AC168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  <col customWidth="1" min="2" max="2" width="54.13"/>
    <col customWidth="1" min="3" max="3" width="12.13"/>
    <col customWidth="1" min="4" max="4" width="72.5"/>
    <col customWidth="1" min="5" max="5" width="14.75"/>
    <col customWidth="1" min="6" max="6" width="9.13"/>
    <col customWidth="1" min="7" max="7" width="21.75"/>
    <col customWidth="1" min="8" max="8" width="14.38"/>
  </cols>
  <sheetData>
    <row r="1">
      <c r="A1" s="46" t="s">
        <v>337</v>
      </c>
      <c r="B1" s="46" t="s">
        <v>338</v>
      </c>
      <c r="C1" s="47" t="s">
        <v>339</v>
      </c>
      <c r="D1" s="47" t="s">
        <v>340</v>
      </c>
      <c r="E1" s="48" t="s">
        <v>341</v>
      </c>
      <c r="F1" s="46" t="s">
        <v>342</v>
      </c>
      <c r="G1" s="46" t="s">
        <v>343</v>
      </c>
      <c r="H1" s="46" t="s">
        <v>344</v>
      </c>
      <c r="I1" s="46" t="s">
        <v>345</v>
      </c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>
      <c r="A2" s="50" t="s">
        <v>346</v>
      </c>
      <c r="B2" s="50" t="s">
        <v>347</v>
      </c>
      <c r="C2" s="50" t="s">
        <v>348</v>
      </c>
      <c r="D2" s="50" t="s">
        <v>187</v>
      </c>
      <c r="E2" s="51">
        <v>7.5</v>
      </c>
      <c r="F2" s="50">
        <v>1.0</v>
      </c>
      <c r="G2" s="52">
        <f t="shared" ref="G2:G8" si="1">SUM($E$2:$E$8)</f>
        <v>15.775</v>
      </c>
      <c r="H2" s="53">
        <f t="shared" ref="H2:H15" si="2">E2/G2</f>
        <v>0.4754358162</v>
      </c>
      <c r="I2" s="52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>
      <c r="A3" s="33"/>
      <c r="B3" s="33" t="s">
        <v>349</v>
      </c>
      <c r="C3" s="33" t="s">
        <v>350</v>
      </c>
      <c r="D3" s="33" t="s">
        <v>189</v>
      </c>
      <c r="E3" s="31">
        <v>1.2</v>
      </c>
      <c r="F3" s="33">
        <v>1.0</v>
      </c>
      <c r="G3" s="34">
        <f t="shared" si="1"/>
        <v>15.775</v>
      </c>
      <c r="H3" s="35">
        <f t="shared" si="2"/>
        <v>0.07606973059</v>
      </c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>
      <c r="A4" s="33"/>
      <c r="B4" s="33" t="s">
        <v>351</v>
      </c>
      <c r="C4" s="33" t="s">
        <v>350</v>
      </c>
      <c r="D4" s="33" t="s">
        <v>191</v>
      </c>
      <c r="E4" s="31">
        <v>1.0</v>
      </c>
      <c r="F4" s="33">
        <v>1.0</v>
      </c>
      <c r="G4" s="34">
        <f t="shared" si="1"/>
        <v>15.775</v>
      </c>
      <c r="H4" s="35">
        <f t="shared" si="2"/>
        <v>0.06339144216</v>
      </c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>
      <c r="A5" s="33"/>
      <c r="B5" s="33" t="s">
        <v>352</v>
      </c>
      <c r="C5" s="33" t="s">
        <v>353</v>
      </c>
      <c r="D5" s="33" t="s">
        <v>193</v>
      </c>
      <c r="E5" s="31">
        <v>1.0</v>
      </c>
      <c r="F5" s="33">
        <v>1.0</v>
      </c>
      <c r="G5" s="34">
        <f t="shared" si="1"/>
        <v>15.775</v>
      </c>
      <c r="H5" s="35">
        <f t="shared" si="2"/>
        <v>0.06339144216</v>
      </c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>
      <c r="A6" s="33"/>
      <c r="B6" s="33" t="s">
        <v>354</v>
      </c>
      <c r="C6" s="33" t="s">
        <v>355</v>
      </c>
      <c r="D6" s="33" t="s">
        <v>195</v>
      </c>
      <c r="E6" s="31">
        <v>1.6</v>
      </c>
      <c r="F6" s="33">
        <v>1.0</v>
      </c>
      <c r="G6" s="34">
        <f t="shared" si="1"/>
        <v>15.775</v>
      </c>
      <c r="H6" s="35">
        <f t="shared" si="2"/>
        <v>0.1014263074</v>
      </c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>
      <c r="A7" s="33"/>
      <c r="B7" s="33" t="s">
        <v>356</v>
      </c>
      <c r="C7" s="33" t="s">
        <v>357</v>
      </c>
      <c r="D7" s="33" t="s">
        <v>201</v>
      </c>
      <c r="E7" s="36">
        <f>(0.7+0.25)/2</f>
        <v>0.475</v>
      </c>
      <c r="F7" s="33">
        <v>1.0</v>
      </c>
      <c r="G7" s="34">
        <f t="shared" si="1"/>
        <v>15.775</v>
      </c>
      <c r="H7" s="35">
        <f t="shared" si="2"/>
        <v>0.03011093502</v>
      </c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>
      <c r="A8" s="54"/>
      <c r="B8" s="54" t="s">
        <v>358</v>
      </c>
      <c r="C8" s="54" t="s">
        <v>359</v>
      </c>
      <c r="D8" s="54" t="s">
        <v>208</v>
      </c>
      <c r="E8" s="55">
        <v>3.0</v>
      </c>
      <c r="F8" s="54">
        <v>1.0</v>
      </c>
      <c r="G8" s="56">
        <f t="shared" si="1"/>
        <v>15.775</v>
      </c>
      <c r="H8" s="57">
        <f t="shared" si="2"/>
        <v>0.1901743265</v>
      </c>
      <c r="I8" s="56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>
      <c r="A9" s="33" t="s">
        <v>360</v>
      </c>
      <c r="B9" s="33" t="s">
        <v>361</v>
      </c>
      <c r="C9" s="33" t="s">
        <v>350</v>
      </c>
      <c r="D9" s="33" t="s">
        <v>217</v>
      </c>
      <c r="E9" s="31">
        <v>1.3</v>
      </c>
      <c r="F9" s="33">
        <v>1.0</v>
      </c>
      <c r="G9" s="34">
        <f t="shared" ref="G9:G12" si="3">SUM($E$9:$E$12)</f>
        <v>6.77</v>
      </c>
      <c r="H9" s="35">
        <f t="shared" si="2"/>
        <v>0.1920236337</v>
      </c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>
      <c r="A10" s="33"/>
      <c r="B10" s="33" t="s">
        <v>362</v>
      </c>
      <c r="C10" s="33" t="s">
        <v>350</v>
      </c>
      <c r="D10" s="33" t="s">
        <v>219</v>
      </c>
      <c r="E10" s="31">
        <f>(1.3+2.5)/2</f>
        <v>1.9</v>
      </c>
      <c r="F10" s="33">
        <v>1.0</v>
      </c>
      <c r="G10" s="34">
        <f t="shared" si="3"/>
        <v>6.77</v>
      </c>
      <c r="H10" s="35">
        <f t="shared" si="2"/>
        <v>0.2806499261</v>
      </c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>
      <c r="A11" s="33"/>
      <c r="B11" s="33" t="s">
        <v>363</v>
      </c>
      <c r="C11" s="33" t="s">
        <v>353</v>
      </c>
      <c r="D11" s="33" t="s">
        <v>222</v>
      </c>
      <c r="E11" s="31">
        <f>0.8+0.43+0.44</f>
        <v>1.67</v>
      </c>
      <c r="F11" s="33">
        <v>1.0</v>
      </c>
      <c r="G11" s="34">
        <f t="shared" si="3"/>
        <v>6.77</v>
      </c>
      <c r="H11" s="35">
        <f t="shared" si="2"/>
        <v>0.246676514</v>
      </c>
      <c r="I11" s="33" t="s">
        <v>364</v>
      </c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>
      <c r="A12" s="33"/>
      <c r="B12" s="33" t="s">
        <v>365</v>
      </c>
      <c r="C12" s="33" t="s">
        <v>350</v>
      </c>
      <c r="D12" s="33" t="s">
        <v>225</v>
      </c>
      <c r="E12" s="31">
        <v>1.9</v>
      </c>
      <c r="F12" s="33">
        <v>1.0</v>
      </c>
      <c r="G12" s="34">
        <f t="shared" si="3"/>
        <v>6.77</v>
      </c>
      <c r="H12" s="35">
        <f t="shared" si="2"/>
        <v>0.2806499261</v>
      </c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>
      <c r="A13" s="58" t="s">
        <v>366</v>
      </c>
      <c r="B13" s="58" t="s">
        <v>367</v>
      </c>
      <c r="C13" s="58" t="s">
        <v>357</v>
      </c>
      <c r="D13" s="58" t="s">
        <v>244</v>
      </c>
      <c r="E13" s="59">
        <v>5.0</v>
      </c>
      <c r="F13" s="58">
        <v>1.0</v>
      </c>
      <c r="G13" s="60">
        <f>E13</f>
        <v>5</v>
      </c>
      <c r="H13" s="60">
        <f t="shared" si="2"/>
        <v>1</v>
      </c>
      <c r="I13" s="60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>
      <c r="A14" s="33" t="s">
        <v>368</v>
      </c>
      <c r="B14" s="33" t="s">
        <v>369</v>
      </c>
      <c r="C14" s="33" t="s">
        <v>353</v>
      </c>
      <c r="D14" s="33" t="s">
        <v>247</v>
      </c>
      <c r="E14" s="31">
        <v>33.0</v>
      </c>
      <c r="F14" s="33">
        <v>1.0</v>
      </c>
      <c r="G14" s="34">
        <f t="shared" ref="G14:G15" si="4">SUM($E$14:$E$15)</f>
        <v>34.3</v>
      </c>
      <c r="H14" s="35">
        <f t="shared" si="2"/>
        <v>0.9620991254</v>
      </c>
      <c r="I14" s="33" t="s">
        <v>370</v>
      </c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>
      <c r="A15" s="33"/>
      <c r="B15" s="33" t="s">
        <v>371</v>
      </c>
      <c r="C15" s="33" t="s">
        <v>353</v>
      </c>
      <c r="D15" s="33" t="s">
        <v>249</v>
      </c>
      <c r="E15" s="31">
        <v>1.3</v>
      </c>
      <c r="F15" s="33">
        <v>1.0</v>
      </c>
      <c r="G15" s="34">
        <f t="shared" si="4"/>
        <v>34.3</v>
      </c>
      <c r="H15" s="35">
        <f t="shared" si="2"/>
        <v>0.03790087464</v>
      </c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>
      <c r="A16" s="50" t="s">
        <v>372</v>
      </c>
      <c r="B16" s="50" t="s">
        <v>373</v>
      </c>
      <c r="C16" s="50" t="s">
        <v>374</v>
      </c>
      <c r="D16" s="50" t="s">
        <v>267</v>
      </c>
      <c r="E16" s="51">
        <v>2.0</v>
      </c>
      <c r="F16" s="50">
        <v>1.0</v>
      </c>
      <c r="G16" s="52"/>
      <c r="H16" s="52"/>
      <c r="I16" s="52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>
      <c r="A17" s="33"/>
      <c r="B17" s="33" t="s">
        <v>375</v>
      </c>
      <c r="C17" s="33" t="s">
        <v>376</v>
      </c>
      <c r="D17" s="33" t="s">
        <v>270</v>
      </c>
      <c r="E17" s="31">
        <v>1.5</v>
      </c>
      <c r="F17" s="33">
        <v>1.0</v>
      </c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>
      <c r="A18" s="33"/>
      <c r="B18" s="33" t="s">
        <v>272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>
      <c r="A19" s="33"/>
      <c r="B19" s="33" t="s">
        <v>273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>
      <c r="A20" s="33"/>
      <c r="B20" s="33" t="s">
        <v>274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>
      <c r="A21" s="33"/>
      <c r="B21" s="33" t="s">
        <v>275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>
      <c r="A22" s="33"/>
      <c r="B22" s="33" t="s">
        <v>276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>
      <c r="A23" s="33"/>
      <c r="B23" s="33" t="s">
        <v>277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>
      <c r="A24" s="33"/>
      <c r="B24" s="33" t="s">
        <v>278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>
      <c r="A25" s="33"/>
      <c r="B25" s="33" t="s">
        <v>279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>
      <c r="A26" s="33"/>
      <c r="B26" s="33" t="s">
        <v>280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>
      <c r="A27" s="33"/>
      <c r="B27" s="33" t="s">
        <v>281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>
      <c r="A28" s="33"/>
      <c r="B28" s="33" t="s">
        <v>282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>
      <c r="A29" s="50" t="s">
        <v>377</v>
      </c>
      <c r="B29" s="50" t="s">
        <v>284</v>
      </c>
      <c r="C29" s="52"/>
      <c r="D29" s="52"/>
      <c r="E29" s="52"/>
      <c r="F29" s="52"/>
      <c r="G29" s="52"/>
      <c r="H29" s="52"/>
      <c r="I29" s="52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>
      <c r="A30" s="33"/>
      <c r="B30" s="33" t="s">
        <v>285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>
      <c r="A31" s="33"/>
      <c r="B31" s="33" t="s">
        <v>286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>
      <c r="A32" s="33"/>
      <c r="B32" s="33" t="s">
        <v>287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>
      <c r="A33" s="33"/>
      <c r="B33" s="33" t="s">
        <v>288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>
      <c r="A34" s="33"/>
      <c r="B34" s="33" t="s">
        <v>289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>
      <c r="A35" s="33"/>
      <c r="B35" s="33" t="s">
        <v>290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>
      <c r="A36" s="33"/>
      <c r="B36" s="33" t="s">
        <v>291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>
      <c r="A37" s="33"/>
      <c r="B37" s="33" t="s">
        <v>292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>
      <c r="A38" s="33"/>
      <c r="B38" s="33" t="s">
        <v>293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>
      <c r="A39" s="33"/>
      <c r="B39" s="33" t="s">
        <v>294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>
      <c r="A40" s="33"/>
      <c r="B40" s="33" t="s">
        <v>295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>
      <c r="A41" s="33"/>
      <c r="B41" s="33" t="s">
        <v>296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>
      <c r="A42" s="33"/>
      <c r="B42" s="33" t="s">
        <v>297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>
      <c r="A43" s="33"/>
      <c r="B43" s="33" t="s">
        <v>298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>
      <c r="A44" s="33"/>
      <c r="B44" s="33" t="s">
        <v>299</v>
      </c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>
      <c r="A45" s="33"/>
      <c r="B45" s="33" t="s">
        <v>300</v>
      </c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>
      <c r="A46" s="33"/>
      <c r="B46" s="33" t="s">
        <v>301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>
      <c r="A47" s="33"/>
      <c r="B47" s="33" t="s">
        <v>302</v>
      </c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>
      <c r="A48" s="33"/>
      <c r="B48" s="33" t="s">
        <v>303</v>
      </c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7" width="4.75"/>
  </cols>
  <sheetData>
    <row r="1">
      <c r="B1" s="1" t="s">
        <v>378</v>
      </c>
      <c r="H1" s="1" t="s">
        <v>379</v>
      </c>
    </row>
    <row r="2">
      <c r="A2" s="1" t="s">
        <v>380</v>
      </c>
      <c r="B2" s="1">
        <v>2025.0</v>
      </c>
      <c r="C2" s="1">
        <v>2026.0</v>
      </c>
      <c r="D2" s="1">
        <v>2027.0</v>
      </c>
      <c r="E2" s="1">
        <v>2028.0</v>
      </c>
      <c r="F2" s="1">
        <v>2029.0</v>
      </c>
      <c r="G2" s="1">
        <v>2030.0</v>
      </c>
      <c r="H2" s="1" t="s">
        <v>381</v>
      </c>
      <c r="I2" s="1" t="s">
        <v>382</v>
      </c>
    </row>
    <row r="3">
      <c r="A3" s="1" t="s">
        <v>383</v>
      </c>
      <c r="B3" s="1">
        <v>0.5</v>
      </c>
      <c r="I3" s="61"/>
    </row>
    <row r="4">
      <c r="A4" s="1" t="s">
        <v>384</v>
      </c>
    </row>
    <row r="5">
      <c r="A5" s="1" t="s">
        <v>385</v>
      </c>
    </row>
    <row r="6">
      <c r="A6" s="1" t="s">
        <v>383</v>
      </c>
      <c r="B6" s="1">
        <v>0.5</v>
      </c>
      <c r="I6" s="62"/>
    </row>
    <row r="7">
      <c r="A7" s="1" t="s">
        <v>384</v>
      </c>
    </row>
    <row r="8">
      <c r="A8" s="1" t="s">
        <v>385</v>
      </c>
    </row>
  </sheetData>
  <mergeCells count="2">
    <mergeCell ref="I3:I5"/>
    <mergeCell ref="I6:I8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63"/>
    <col customWidth="1" min="4" max="4" width="18.63"/>
  </cols>
  <sheetData>
    <row r="4">
      <c r="F4" s="1" t="s">
        <v>386</v>
      </c>
      <c r="G4" s="1" t="s">
        <v>387</v>
      </c>
      <c r="H4" s="1" t="s">
        <v>388</v>
      </c>
    </row>
    <row r="5">
      <c r="A5" s="1">
        <v>2025.0</v>
      </c>
      <c r="B5" s="63">
        <v>2309.7</v>
      </c>
      <c r="D5" s="1">
        <v>2025.0</v>
      </c>
    </row>
    <row r="6">
      <c r="A6" s="1">
        <v>2024.0</v>
      </c>
      <c r="B6" s="63">
        <v>2258.7</v>
      </c>
      <c r="D6" s="1">
        <v>2024.0</v>
      </c>
      <c r="G6" s="1">
        <v>799.8</v>
      </c>
    </row>
    <row r="7">
      <c r="A7" s="1">
        <v>2023.0</v>
      </c>
      <c r="B7" s="63">
        <v>2244.2</v>
      </c>
      <c r="D7" s="1">
        <v>2023.0</v>
      </c>
      <c r="G7" s="1">
        <v>797.9</v>
      </c>
    </row>
    <row r="8">
      <c r="A8" s="1">
        <v>2022.0</v>
      </c>
      <c r="B8" s="63">
        <v>2121.1</v>
      </c>
      <c r="D8" s="1">
        <v>2022.0</v>
      </c>
      <c r="F8" s="1">
        <v>1975.8</v>
      </c>
      <c r="G8" s="64">
        <v>816.0</v>
      </c>
    </row>
    <row r="9">
      <c r="A9" s="1">
        <v>2021.0</v>
      </c>
      <c r="B9" s="63">
        <v>1773.4</v>
      </c>
      <c r="D9" s="1">
        <v>2021.0</v>
      </c>
      <c r="F9" s="1">
        <v>1885.5</v>
      </c>
      <c r="G9" s="64">
        <v>708.8</v>
      </c>
    </row>
    <row r="10">
      <c r="A10" s="1">
        <v>2020.0</v>
      </c>
      <c r="B10" s="63">
        <v>1729.4</v>
      </c>
      <c r="D10" s="1">
        <v>2020.0</v>
      </c>
      <c r="E10" s="1">
        <v>2171.6</v>
      </c>
      <c r="F10" s="1">
        <v>1799.2</v>
      </c>
      <c r="G10" s="64">
        <v>596.2</v>
      </c>
    </row>
    <row r="11">
      <c r="A11" s="1">
        <v>2019.0</v>
      </c>
      <c r="B11" s="63">
        <v>1716.2</v>
      </c>
      <c r="D11" s="1">
        <v>2019.0</v>
      </c>
      <c r="E11" s="1">
        <v>2144.9</v>
      </c>
      <c r="F11" s="1">
        <v>1716.8</v>
      </c>
      <c r="G11" s="64">
        <v>607.5</v>
      </c>
    </row>
    <row r="12">
      <c r="A12" s="1">
        <v>2018.0</v>
      </c>
      <c r="B12" s="63">
        <v>1638.2</v>
      </c>
      <c r="D12" s="1">
        <v>2018.0</v>
      </c>
      <c r="F12" s="1">
        <v>1638.2</v>
      </c>
      <c r="G12" s="64">
        <v>603.1</v>
      </c>
    </row>
    <row r="13">
      <c r="A13" s="1">
        <v>2017.0</v>
      </c>
      <c r="B13" s="63">
        <v>1593.7</v>
      </c>
      <c r="D13" s="1">
        <v>2017.0</v>
      </c>
      <c r="E13" s="1">
        <v>2081.6</v>
      </c>
      <c r="F13" s="1">
        <v>1593.7</v>
      </c>
      <c r="G13" s="64">
        <v>567.5</v>
      </c>
    </row>
    <row r="14">
      <c r="A14" s="1">
        <v>2016.0</v>
      </c>
      <c r="B14" s="63">
        <v>1582.3</v>
      </c>
      <c r="D14" s="1">
        <v>2016.0</v>
      </c>
      <c r="E14" s="1">
        <v>2020.8</v>
      </c>
      <c r="F14" s="65" t="s">
        <v>389</v>
      </c>
      <c r="G14" s="64">
        <v>541.7</v>
      </c>
    </row>
    <row r="15">
      <c r="A15" s="1">
        <v>2015.0</v>
      </c>
      <c r="B15" s="63">
        <v>1598.1</v>
      </c>
      <c r="D15" s="1">
        <v>2015.0</v>
      </c>
      <c r="F15" s="1">
        <v>1598.1</v>
      </c>
      <c r="G15" s="64">
        <v>556.8</v>
      </c>
    </row>
    <row r="16">
      <c r="A16" s="1">
        <v>2014.0</v>
      </c>
      <c r="B16" s="63">
        <v>1566.9</v>
      </c>
      <c r="D16" s="1">
        <v>2014.0</v>
      </c>
      <c r="E16" s="1">
        <v>1906.8</v>
      </c>
      <c r="F16" s="1">
        <v>1578.8</v>
      </c>
      <c r="G16" s="64">
        <v>576.1</v>
      </c>
    </row>
    <row r="17">
      <c r="A17" s="1">
        <v>2013.0</v>
      </c>
      <c r="B17" s="63">
        <v>1552.8</v>
      </c>
      <c r="D17" s="1">
        <v>2013.0</v>
      </c>
      <c r="F17" s="1">
        <v>1558.7</v>
      </c>
      <c r="G17" s="64">
        <v>567.3</v>
      </c>
    </row>
    <row r="18">
      <c r="A18" s="1">
        <v>2012.0</v>
      </c>
      <c r="B18" s="63">
        <v>1536.5</v>
      </c>
      <c r="D18" s="1">
        <v>2012.0</v>
      </c>
      <c r="E18" s="1">
        <v>1798.1</v>
      </c>
      <c r="F18" s="65" t="s">
        <v>390</v>
      </c>
      <c r="G18" s="64">
        <v>584.6</v>
      </c>
    </row>
    <row r="19">
      <c r="A19" s="1">
        <v>2011.0</v>
      </c>
      <c r="B19" s="63">
        <v>1476.7</v>
      </c>
      <c r="D19" s="1">
        <v>2011.0</v>
      </c>
      <c r="F19" s="1">
        <v>1503.2</v>
      </c>
      <c r="G19" s="64">
        <v>585.7</v>
      </c>
    </row>
    <row r="20">
      <c r="A20" s="1">
        <v>2010.0</v>
      </c>
      <c r="B20" s="63">
        <v>1446.5</v>
      </c>
      <c r="D20" s="1">
        <v>2010.0</v>
      </c>
      <c r="E20" s="1">
        <v>1695.1</v>
      </c>
      <c r="F20" s="66">
        <v>1457.4</v>
      </c>
      <c r="G20" s="64">
        <v>550.8</v>
      </c>
    </row>
    <row r="21">
      <c r="A21" s="1">
        <v>2009.0</v>
      </c>
      <c r="B21" s="63">
        <v>1487.2</v>
      </c>
      <c r="D21" s="1">
        <v>2009.0</v>
      </c>
      <c r="F21" s="66">
        <v>1468.6</v>
      </c>
      <c r="G21" s="64">
        <v>521.9</v>
      </c>
    </row>
    <row r="22">
      <c r="A22" s="1">
        <v>2008.0</v>
      </c>
      <c r="B22" s="63">
        <v>1393.0</v>
      </c>
      <c r="D22" s="1">
        <v>2008.0</v>
      </c>
      <c r="F22" s="66">
        <v>1449.4</v>
      </c>
      <c r="G22" s="64">
        <v>575.4</v>
      </c>
    </row>
    <row r="23">
      <c r="A23" s="1">
        <v>2007.0</v>
      </c>
      <c r="B23" s="63">
        <v>1353.8</v>
      </c>
      <c r="D23" s="1">
        <v>2007.0</v>
      </c>
      <c r="F23" s="66">
        <v>1373.3</v>
      </c>
      <c r="G23" s="64">
        <v>525.4</v>
      </c>
    </row>
    <row r="24">
      <c r="A24" s="1">
        <v>2006.0</v>
      </c>
      <c r="B24" s="63">
        <v>1274.8</v>
      </c>
      <c r="D24" s="1">
        <v>2006.0</v>
      </c>
      <c r="F24" s="66">
        <v>1302.3</v>
      </c>
      <c r="G24" s="64">
        <v>499.6</v>
      </c>
    </row>
    <row r="25">
      <c r="A25" s="1">
        <v>2005.0</v>
      </c>
      <c r="B25" s="63">
        <v>1218.0</v>
      </c>
      <c r="D25" s="1">
        <v>2005.0</v>
      </c>
      <c r="E25" s="1">
        <v>1464.1</v>
      </c>
      <c r="F25" s="66">
        <v>1244.5</v>
      </c>
      <c r="G25" s="64">
        <v>468.2</v>
      </c>
    </row>
    <row r="26">
      <c r="A26" s="1">
        <v>2004.0</v>
      </c>
      <c r="B26" s="63">
        <v>1133.2</v>
      </c>
      <c r="D26" s="1">
        <v>2004.0</v>
      </c>
      <c r="F26" s="66">
        <v>1178.5</v>
      </c>
      <c r="G26" s="64">
        <v>444.2</v>
      </c>
    </row>
    <row r="27">
      <c r="A27" s="1">
        <v>2003.0</v>
      </c>
      <c r="B27" s="63">
        <v>1113.1</v>
      </c>
      <c r="D27" s="1">
        <v>2003.0</v>
      </c>
      <c r="F27" s="66">
        <v>1123.6</v>
      </c>
      <c r="G27" s="64">
        <v>402.0</v>
      </c>
    </row>
    <row r="28">
      <c r="A28" s="1">
        <v>2002.0</v>
      </c>
      <c r="B28" s="63">
        <v>1096.4</v>
      </c>
      <c r="D28" s="1">
        <v>2002.0</v>
      </c>
      <c r="F28" s="66">
        <v>1104.2</v>
      </c>
      <c r="G28" s="64">
        <v>395.6</v>
      </c>
    </row>
    <row r="29">
      <c r="A29" s="1">
        <v>2001.0</v>
      </c>
      <c r="B29" s="63">
        <v>1094.5</v>
      </c>
      <c r="D29" s="1">
        <v>2001.0</v>
      </c>
      <c r="F29" s="66">
        <v>1092.8</v>
      </c>
      <c r="G29" s="64">
        <v>394.3</v>
      </c>
    </row>
    <row r="30">
      <c r="A30" s="1">
        <v>2000.0</v>
      </c>
      <c r="B30" s="63">
        <v>1069.9</v>
      </c>
      <c r="D30" s="1">
        <v>2000.0</v>
      </c>
      <c r="E30" s="1">
        <v>1262.0</v>
      </c>
      <c r="F30" s="66">
        <v>1089.0</v>
      </c>
      <c r="G30" s="64">
        <v>394.1</v>
      </c>
      <c r="H30" s="67">
        <v>438.0</v>
      </c>
    </row>
    <row r="31">
      <c r="A31" s="1">
        <v>1999.0</v>
      </c>
      <c r="B31" s="63">
        <v>1062.3</v>
      </c>
      <c r="D31" s="1">
        <v>1999.0</v>
      </c>
      <c r="F31" s="66">
        <v>1068.3</v>
      </c>
      <c r="G31" s="64">
        <v>390.6</v>
      </c>
      <c r="H31" s="67">
        <v>435.5</v>
      </c>
    </row>
    <row r="32">
      <c r="A32" s="1">
        <v>1998.0</v>
      </c>
      <c r="B32" s="63">
        <v>1061.8</v>
      </c>
      <c r="D32" s="1">
        <v>1998.0</v>
      </c>
      <c r="F32" s="66">
        <v>1061.9</v>
      </c>
      <c r="G32" s="64">
        <v>389.5</v>
      </c>
      <c r="H32" s="67">
        <v>436.0</v>
      </c>
    </row>
    <row r="33">
      <c r="A33" s="1">
        <v>1997.0</v>
      </c>
      <c r="B33" s="63">
        <v>1052.7</v>
      </c>
      <c r="D33" s="1">
        <v>1997.0</v>
      </c>
      <c r="F33" s="66">
        <v>1056.8</v>
      </c>
      <c r="G33" s="64">
        <v>386.5</v>
      </c>
      <c r="H33" s="67">
        <v>433.2</v>
      </c>
    </row>
    <row r="34">
      <c r="A34" s="1">
        <v>1996.0</v>
      </c>
      <c r="B34" s="63">
        <v>1036.0</v>
      </c>
      <c r="D34" s="1">
        <v>1996.0</v>
      </c>
      <c r="F34" s="66">
        <v>1039.2</v>
      </c>
      <c r="G34" s="64">
        <v>381.7</v>
      </c>
      <c r="H34" s="67">
        <v>427.2</v>
      </c>
    </row>
    <row r="35">
      <c r="A35" s="1">
        <v>1995.0</v>
      </c>
      <c r="B35" s="63">
        <v>1020.4</v>
      </c>
      <c r="D35" s="1">
        <v>1995.0</v>
      </c>
      <c r="F35" s="66">
        <v>1027.5</v>
      </c>
      <c r="G35" s="64">
        <v>381.1</v>
      </c>
      <c r="H35" s="67">
        <v>427.3</v>
      </c>
    </row>
    <row r="36">
      <c r="A36" s="1">
        <v>1994.0</v>
      </c>
      <c r="B36" s="63">
        <v>985.0</v>
      </c>
      <c r="D36" s="1">
        <v>1994.0</v>
      </c>
      <c r="E36" s="1">
        <v>993.0</v>
      </c>
      <c r="F36" s="66">
        <v>964.2</v>
      </c>
      <c r="G36" s="64">
        <v>368.1</v>
      </c>
      <c r="H36" s="67">
        <v>406.9</v>
      </c>
    </row>
    <row r="37">
      <c r="A37" s="1">
        <v>1993.0</v>
      </c>
      <c r="B37" s="63">
        <v>958.0</v>
      </c>
      <c r="D37" s="1">
        <v>1993.0</v>
      </c>
      <c r="F37" s="66">
        <v>964.2</v>
      </c>
      <c r="G37" s="64">
        <v>359.2</v>
      </c>
      <c r="H37" s="67">
        <v>391.3</v>
      </c>
    </row>
    <row r="38">
      <c r="A38" s="1">
        <v>1992.0</v>
      </c>
      <c r="B38" s="63">
        <v>939.8</v>
      </c>
      <c r="D38" s="1">
        <v>1992.0</v>
      </c>
      <c r="F38" s="66">
        <v>943.1</v>
      </c>
      <c r="G38" s="64">
        <v>358.2</v>
      </c>
      <c r="H38" s="67">
        <v>392.2</v>
      </c>
    </row>
    <row r="39">
      <c r="A39" s="1">
        <v>1991.0</v>
      </c>
      <c r="B39" s="63">
        <v>928.5</v>
      </c>
      <c r="D39" s="1">
        <v>1991.0</v>
      </c>
      <c r="F39" s="66">
        <v>930.6</v>
      </c>
      <c r="G39" s="64">
        <v>361.3</v>
      </c>
      <c r="H39" s="67">
        <v>396.9</v>
      </c>
    </row>
    <row r="40">
      <c r="A40" s="1">
        <v>1990.0</v>
      </c>
      <c r="B40" s="63">
        <v>910.2</v>
      </c>
      <c r="D40" s="1">
        <v>1990.0</v>
      </c>
      <c r="E40" s="1">
        <v>941.4</v>
      </c>
      <c r="F40" s="66">
        <v>915.0</v>
      </c>
      <c r="G40" s="64">
        <v>357.6</v>
      </c>
      <c r="H40" s="67">
        <v>392.2</v>
      </c>
    </row>
    <row r="41">
      <c r="A41" s="1">
        <v>1989.0</v>
      </c>
      <c r="B41" s="63">
        <v>886.5</v>
      </c>
      <c r="D41" s="1">
        <v>1989.0</v>
      </c>
      <c r="F41" s="66">
        <v>895.0</v>
      </c>
      <c r="G41" s="64">
        <v>355.4</v>
      </c>
      <c r="H41" s="67">
        <v>391.0</v>
      </c>
    </row>
    <row r="42">
      <c r="A42" s="1">
        <v>1988.0</v>
      </c>
      <c r="B42" s="63">
        <v>841.4</v>
      </c>
      <c r="D42" s="1">
        <v>1988.0</v>
      </c>
      <c r="F42" s="66">
        <v>852.0</v>
      </c>
      <c r="G42" s="64">
        <v>342.5</v>
      </c>
      <c r="H42" s="67">
        <v>372.7</v>
      </c>
    </row>
    <row r="43">
      <c r="A43" s="1">
        <v>1987.0</v>
      </c>
      <c r="B43" s="63">
        <v>806.9</v>
      </c>
      <c r="D43" s="1">
        <v>1987.0</v>
      </c>
      <c r="E43" s="1">
        <v>814.0</v>
      </c>
      <c r="F43" s="66">
        <v>814.0</v>
      </c>
      <c r="G43" s="64">
        <v>323.8</v>
      </c>
      <c r="H43" s="67">
        <v>343.9</v>
      </c>
    </row>
    <row r="44">
      <c r="A44" s="1">
        <v>1986.0</v>
      </c>
      <c r="B44" s="63">
        <v>795.4</v>
      </c>
      <c r="D44" s="1">
        <v>1986.0</v>
      </c>
      <c r="E44" s="1">
        <v>817.0</v>
      </c>
      <c r="F44" s="66">
        <v>798.0</v>
      </c>
      <c r="G44" s="64">
        <v>318.4</v>
      </c>
      <c r="H44" s="67">
        <v>336.3</v>
      </c>
    </row>
    <row r="45">
      <c r="A45" s="1">
        <v>1985.0</v>
      </c>
      <c r="B45" s="63">
        <v>787.9</v>
      </c>
      <c r="D45" s="1">
        <v>1985.0</v>
      </c>
      <c r="F45" s="66">
        <v>790.0</v>
      </c>
      <c r="G45" s="64">
        <v>325.3</v>
      </c>
      <c r="H45" s="67">
        <v>347.2</v>
      </c>
    </row>
    <row r="46">
      <c r="A46" s="1">
        <v>1984.0</v>
      </c>
      <c r="B46" s="63">
        <v>776.4</v>
      </c>
      <c r="D46" s="1">
        <v>1984.0</v>
      </c>
      <c r="F46" s="66">
        <v>780.0</v>
      </c>
      <c r="G46" s="64">
        <v>322.7</v>
      </c>
      <c r="H46" s="67">
        <v>344.0</v>
      </c>
    </row>
    <row r="47">
      <c r="A47" s="1">
        <v>1983.0</v>
      </c>
      <c r="B47" s="63">
        <v>755.8</v>
      </c>
      <c r="D47" s="1">
        <v>1983.0</v>
      </c>
      <c r="F47" s="66">
        <v>761.0</v>
      </c>
      <c r="G47" s="64">
        <v>317.0</v>
      </c>
      <c r="H47" s="67">
        <v>336.0</v>
      </c>
    </row>
    <row r="48">
      <c r="A48" s="1">
        <v>1982.0</v>
      </c>
      <c r="B48" s="63">
        <v>742.4</v>
      </c>
      <c r="D48" s="1">
        <v>1982.0</v>
      </c>
      <c r="F48" s="66">
        <v>746.0</v>
      </c>
      <c r="G48" s="64">
        <v>314.0</v>
      </c>
      <c r="H48" s="67">
        <v>336.2</v>
      </c>
    </row>
    <row r="49">
      <c r="A49" s="1">
        <v>1981.0</v>
      </c>
      <c r="B49" s="63">
        <v>709.2</v>
      </c>
      <c r="D49" s="1">
        <v>1981.0</v>
      </c>
      <c r="F49" s="66">
        <v>721.0</v>
      </c>
      <c r="G49" s="64">
        <v>297.0</v>
      </c>
      <c r="H49" s="67">
        <v>323.9</v>
      </c>
    </row>
    <row r="50">
      <c r="A50" s="1">
        <v>1980.0</v>
      </c>
      <c r="B50" s="63">
        <v>642.8</v>
      </c>
      <c r="D50" s="1">
        <v>1980.0</v>
      </c>
      <c r="E50" s="1">
        <v>697.2</v>
      </c>
      <c r="F50" s="66">
        <v>560.0</v>
      </c>
      <c r="G50" s="64">
        <v>261.2</v>
      </c>
      <c r="H50" s="67">
        <v>292.6</v>
      </c>
    </row>
    <row r="51">
      <c r="A51" s="1">
        <v>1979.0</v>
      </c>
      <c r="B51" s="63">
        <v>584.4</v>
      </c>
      <c r="D51" s="1">
        <v>1979.0</v>
      </c>
      <c r="G51" s="64">
        <v>238.7</v>
      </c>
      <c r="H51" s="67">
        <v>264.7</v>
      </c>
    </row>
    <row r="52">
      <c r="A52" s="1">
        <v>1978.0</v>
      </c>
      <c r="B52" s="63">
        <v>534.7</v>
      </c>
      <c r="D52" s="1">
        <v>1978.0</v>
      </c>
      <c r="G52" s="64">
        <v>218.8</v>
      </c>
      <c r="H52" s="67">
        <v>240.3</v>
      </c>
    </row>
    <row r="53">
      <c r="A53" s="1">
        <v>1977.0</v>
      </c>
      <c r="B53" s="63">
        <v>497.1</v>
      </c>
      <c r="D53" s="1">
        <v>1977.0</v>
      </c>
      <c r="G53" s="64">
        <v>204.1</v>
      </c>
      <c r="H53" s="67">
        <v>220.9</v>
      </c>
    </row>
    <row r="54">
      <c r="A54" s="1">
        <v>1976.0</v>
      </c>
      <c r="B54" s="63">
        <v>472.1</v>
      </c>
      <c r="D54" s="1">
        <v>1976.0</v>
      </c>
      <c r="G54" s="64">
        <v>192.1</v>
      </c>
      <c r="H54" s="67">
        <v>205.8</v>
      </c>
    </row>
    <row r="55">
      <c r="A55" s="1">
        <v>1975.0</v>
      </c>
      <c r="B55" s="63">
        <v>444.3</v>
      </c>
      <c r="D55" s="1">
        <v>1975.0</v>
      </c>
      <c r="F55" s="66">
        <v>444.0</v>
      </c>
      <c r="G55" s="64">
        <v>182.4</v>
      </c>
      <c r="H55" s="67">
        <v>194.7</v>
      </c>
    </row>
    <row r="56">
      <c r="A56" s="1">
        <v>1974.0</v>
      </c>
      <c r="B56" s="63">
        <v>398.4</v>
      </c>
      <c r="D56" s="1">
        <v>1974.0</v>
      </c>
      <c r="G56" s="64">
        <v>165.4</v>
      </c>
      <c r="H56" s="67">
        <v>171.2</v>
      </c>
    </row>
    <row r="57">
      <c r="A57" s="1">
        <v>1973.0</v>
      </c>
      <c r="B57" s="63">
        <v>344.1</v>
      </c>
      <c r="D57" s="1">
        <v>1973.0</v>
      </c>
      <c r="G57" s="64">
        <v>144.1</v>
      </c>
      <c r="H57" s="67">
        <v>141.8</v>
      </c>
    </row>
    <row r="58">
      <c r="A58" s="1">
        <v>1972.0</v>
      </c>
      <c r="B58" s="63">
        <v>332.1</v>
      </c>
      <c r="D58" s="1">
        <v>1972.0</v>
      </c>
      <c r="G58" s="64">
        <v>137.2</v>
      </c>
      <c r="H58" s="67">
        <v>135.4</v>
      </c>
    </row>
    <row r="59">
      <c r="A59" s="1">
        <v>1971.0</v>
      </c>
      <c r="B59" s="63">
        <v>321.3</v>
      </c>
      <c r="D59" s="1">
        <v>1971.0</v>
      </c>
      <c r="G59" s="64">
        <v>132.3</v>
      </c>
      <c r="H59" s="67">
        <v>130.4</v>
      </c>
    </row>
    <row r="60">
      <c r="A60" s="1">
        <v>1970.0</v>
      </c>
      <c r="B60" s="63">
        <v>303.3</v>
      </c>
      <c r="D60" s="1">
        <v>1970.0</v>
      </c>
      <c r="E60" s="1">
        <v>516.5</v>
      </c>
      <c r="F60" s="66">
        <v>303.0</v>
      </c>
      <c r="G60" s="64">
        <v>125.7</v>
      </c>
      <c r="H60" s="67">
        <v>123.8</v>
      </c>
    </row>
    <row r="61">
      <c r="D61" s="1">
        <v>1969.0</v>
      </c>
      <c r="G61" s="64">
        <v>119.0</v>
      </c>
      <c r="H61" s="67">
        <v>116.6</v>
      </c>
    </row>
    <row r="62">
      <c r="D62" s="1">
        <v>1968.0</v>
      </c>
      <c r="G62" s="64">
        <v>113.7</v>
      </c>
      <c r="H62" s="67">
        <v>109.9</v>
      </c>
    </row>
    <row r="63">
      <c r="D63" s="1">
        <v>1967.0</v>
      </c>
      <c r="G63" s="64">
        <v>109.7</v>
      </c>
      <c r="H63" s="67">
        <v>107.7</v>
      </c>
    </row>
    <row r="64">
      <c r="D64" s="1">
        <v>1966.0</v>
      </c>
      <c r="G64" s="64">
        <v>107.2</v>
      </c>
      <c r="H64" s="67">
        <v>105.3</v>
      </c>
    </row>
    <row r="65">
      <c r="D65" s="1">
        <v>1965.0</v>
      </c>
      <c r="G65" s="64">
        <v>104.2</v>
      </c>
      <c r="H65" s="67">
        <v>102.1</v>
      </c>
    </row>
    <row r="66">
      <c r="D66" s="1">
        <v>1964.0</v>
      </c>
      <c r="G66" s="64">
        <v>103.3</v>
      </c>
      <c r="H66" s="67">
        <v>101.2</v>
      </c>
    </row>
    <row r="67">
      <c r="D67" s="1">
        <v>1963.0</v>
      </c>
      <c r="G67" s="64">
        <v>102.4</v>
      </c>
      <c r="H67" s="67">
        <v>100.5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63"/>
    <col customWidth="1" min="2" max="2" width="22.88"/>
  </cols>
  <sheetData>
    <row r="4">
      <c r="B4" s="1" t="s">
        <v>387</v>
      </c>
    </row>
    <row r="5">
      <c r="A5" s="1">
        <v>2025.0</v>
      </c>
      <c r="B5" s="68">
        <v>800.0</v>
      </c>
    </row>
    <row r="6">
      <c r="A6" s="1">
        <v>2024.0</v>
      </c>
      <c r="B6" s="68" t="s">
        <v>391</v>
      </c>
    </row>
    <row r="7">
      <c r="A7" s="1">
        <v>2023.0</v>
      </c>
      <c r="B7" s="69" t="s">
        <v>392</v>
      </c>
    </row>
    <row r="8">
      <c r="A8" s="1">
        <v>2022.0</v>
      </c>
      <c r="B8" s="69">
        <v>816.0</v>
      </c>
    </row>
    <row r="9">
      <c r="A9" s="1">
        <v>2021.0</v>
      </c>
      <c r="B9" s="69" t="s">
        <v>393</v>
      </c>
    </row>
    <row r="10">
      <c r="A10" s="1">
        <v>2020.0</v>
      </c>
      <c r="B10" s="69" t="s">
        <v>394</v>
      </c>
    </row>
    <row r="11">
      <c r="A11" s="1">
        <v>2019.0</v>
      </c>
      <c r="B11" s="69" t="s">
        <v>395</v>
      </c>
    </row>
    <row r="12">
      <c r="A12" s="1">
        <v>2018.0</v>
      </c>
      <c r="B12" s="69" t="s">
        <v>396</v>
      </c>
    </row>
    <row r="13">
      <c r="A13" s="1">
        <v>2017.0</v>
      </c>
      <c r="B13" s="69" t="s">
        <v>397</v>
      </c>
    </row>
    <row r="14">
      <c r="A14" s="1">
        <v>2016.0</v>
      </c>
      <c r="B14" s="69" t="s">
        <v>398</v>
      </c>
    </row>
    <row r="15">
      <c r="A15" s="1">
        <v>2015.0</v>
      </c>
      <c r="B15" s="69" t="s">
        <v>399</v>
      </c>
    </row>
    <row r="16">
      <c r="A16" s="1">
        <v>2014.0</v>
      </c>
      <c r="B16" s="69" t="s">
        <v>400</v>
      </c>
    </row>
    <row r="17">
      <c r="A17" s="1">
        <v>2013.0</v>
      </c>
      <c r="B17" s="69" t="s">
        <v>401</v>
      </c>
    </row>
    <row r="18">
      <c r="A18" s="1">
        <v>2012.0</v>
      </c>
      <c r="B18" s="69" t="s">
        <v>402</v>
      </c>
    </row>
    <row r="19">
      <c r="A19" s="1">
        <v>2011.0</v>
      </c>
      <c r="B19" s="69" t="s">
        <v>403</v>
      </c>
    </row>
    <row r="20">
      <c r="A20" s="1">
        <v>2010.0</v>
      </c>
      <c r="B20" s="69" t="s">
        <v>404</v>
      </c>
    </row>
    <row r="21">
      <c r="A21" s="1">
        <v>2009.0</v>
      </c>
      <c r="B21" s="69" t="s">
        <v>405</v>
      </c>
    </row>
    <row r="22">
      <c r="A22" s="1">
        <v>2008.0</v>
      </c>
      <c r="B22" s="69" t="s">
        <v>406</v>
      </c>
    </row>
    <row r="23">
      <c r="A23" s="1">
        <v>2007.0</v>
      </c>
      <c r="B23" s="69" t="s">
        <v>407</v>
      </c>
    </row>
    <row r="24">
      <c r="A24" s="1">
        <v>2006.0</v>
      </c>
      <c r="B24" s="69" t="s">
        <v>408</v>
      </c>
    </row>
    <row r="25">
      <c r="A25" s="1">
        <v>2005.0</v>
      </c>
      <c r="B25" s="69" t="s">
        <v>409</v>
      </c>
    </row>
    <row r="26">
      <c r="A26" s="1">
        <v>2004.0</v>
      </c>
      <c r="B26" s="69" t="s">
        <v>410</v>
      </c>
    </row>
    <row r="27">
      <c r="A27" s="1">
        <v>2003.0</v>
      </c>
      <c r="B27" s="69">
        <v>402.0</v>
      </c>
    </row>
    <row r="28">
      <c r="A28" s="1">
        <v>2002.0</v>
      </c>
      <c r="B28" s="69" t="s">
        <v>411</v>
      </c>
    </row>
    <row r="29">
      <c r="A29" s="1">
        <v>2001.0</v>
      </c>
      <c r="B29" s="69" t="s">
        <v>412</v>
      </c>
    </row>
    <row r="30">
      <c r="A30" s="1">
        <v>2000.0</v>
      </c>
      <c r="B30" s="69" t="s">
        <v>413</v>
      </c>
    </row>
    <row r="31">
      <c r="A31" s="1">
        <v>1999.0</v>
      </c>
      <c r="B31" s="69" t="s">
        <v>414</v>
      </c>
    </row>
    <row r="32">
      <c r="A32" s="1">
        <v>1998.0</v>
      </c>
      <c r="B32" s="69" t="s">
        <v>415</v>
      </c>
    </row>
    <row r="33">
      <c r="A33" s="1">
        <v>1997.0</v>
      </c>
      <c r="B33" s="69" t="s">
        <v>416</v>
      </c>
    </row>
    <row r="34">
      <c r="A34" s="1">
        <v>1996.0</v>
      </c>
      <c r="B34" s="69" t="s">
        <v>417</v>
      </c>
    </row>
    <row r="35">
      <c r="A35" s="1">
        <v>1995.0</v>
      </c>
      <c r="B35" s="69" t="s">
        <v>418</v>
      </c>
    </row>
    <row r="36">
      <c r="A36" s="1">
        <v>1994.0</v>
      </c>
      <c r="B36" s="69" t="s">
        <v>419</v>
      </c>
    </row>
    <row r="37">
      <c r="A37" s="1">
        <v>1993.0</v>
      </c>
      <c r="B37" s="69" t="s">
        <v>420</v>
      </c>
    </row>
    <row r="38">
      <c r="A38" s="1">
        <v>1992.0</v>
      </c>
      <c r="B38" s="69" t="s">
        <v>421</v>
      </c>
    </row>
    <row r="39">
      <c r="A39" s="1">
        <v>1991.0</v>
      </c>
      <c r="B39" s="69" t="s">
        <v>422</v>
      </c>
    </row>
    <row r="40">
      <c r="A40" s="1">
        <v>1990.0</v>
      </c>
      <c r="B40" s="69" t="s">
        <v>423</v>
      </c>
    </row>
    <row r="41">
      <c r="A41" s="1">
        <v>1989.0</v>
      </c>
      <c r="B41" s="69" t="s">
        <v>424</v>
      </c>
    </row>
    <row r="42">
      <c r="A42" s="1">
        <v>1988.0</v>
      </c>
      <c r="B42" s="69" t="s">
        <v>425</v>
      </c>
    </row>
    <row r="43">
      <c r="A43" s="1">
        <v>1987.0</v>
      </c>
      <c r="B43" s="69" t="s">
        <v>426</v>
      </c>
    </row>
    <row r="44">
      <c r="A44" s="1">
        <v>1986.0</v>
      </c>
      <c r="B44" s="69" t="s">
        <v>427</v>
      </c>
    </row>
    <row r="45">
      <c r="A45" s="1">
        <v>1985.0</v>
      </c>
      <c r="B45" s="69" t="s">
        <v>428</v>
      </c>
    </row>
    <row r="46">
      <c r="A46" s="1">
        <v>1984.0</v>
      </c>
      <c r="B46" s="69" t="s">
        <v>429</v>
      </c>
    </row>
    <row r="47">
      <c r="A47" s="1">
        <v>1983.0</v>
      </c>
      <c r="B47" s="69">
        <v>317.0</v>
      </c>
    </row>
    <row r="48">
      <c r="A48" s="1">
        <v>1982.0</v>
      </c>
      <c r="B48" s="69">
        <v>314.0</v>
      </c>
    </row>
    <row r="49">
      <c r="A49" s="1">
        <v>1981.0</v>
      </c>
      <c r="B49" s="69">
        <v>297.0</v>
      </c>
    </row>
    <row r="50">
      <c r="A50" s="1">
        <v>1980.0</v>
      </c>
      <c r="B50" s="69" t="s">
        <v>430</v>
      </c>
    </row>
    <row r="51">
      <c r="A51" s="1">
        <v>1979.0</v>
      </c>
      <c r="B51" s="69" t="s">
        <v>431</v>
      </c>
    </row>
    <row r="52">
      <c r="A52" s="1">
        <v>1978.0</v>
      </c>
      <c r="B52" s="69" t="s">
        <v>432</v>
      </c>
    </row>
    <row r="53">
      <c r="A53" s="1">
        <v>1977.0</v>
      </c>
      <c r="B53" s="69" t="s">
        <v>433</v>
      </c>
    </row>
    <row r="54">
      <c r="A54" s="1">
        <v>1976.0</v>
      </c>
      <c r="B54" s="69" t="s">
        <v>434</v>
      </c>
    </row>
    <row r="55">
      <c r="A55" s="1">
        <v>1975.0</v>
      </c>
      <c r="B55" s="69" t="s">
        <v>435</v>
      </c>
    </row>
    <row r="56">
      <c r="A56" s="1">
        <v>1974.0</v>
      </c>
      <c r="B56" s="69" t="s">
        <v>436</v>
      </c>
    </row>
    <row r="57">
      <c r="A57" s="1">
        <v>1973.0</v>
      </c>
      <c r="B57" s="69" t="s">
        <v>437</v>
      </c>
    </row>
    <row r="58">
      <c r="A58" s="1">
        <v>1972.0</v>
      </c>
      <c r="B58" s="69" t="s">
        <v>438</v>
      </c>
    </row>
    <row r="59">
      <c r="A59" s="1">
        <v>1971.0</v>
      </c>
      <c r="B59" s="69" t="s">
        <v>439</v>
      </c>
    </row>
    <row r="60">
      <c r="A60" s="1">
        <v>1970.0</v>
      </c>
      <c r="B60" s="69" t="s">
        <v>440</v>
      </c>
    </row>
    <row r="61">
      <c r="A61" s="1">
        <v>1969.0</v>
      </c>
      <c r="B61" s="69">
        <v>119.0</v>
      </c>
    </row>
    <row r="62">
      <c r="A62" s="1">
        <v>1968.0</v>
      </c>
      <c r="B62" s="69" t="s">
        <v>441</v>
      </c>
    </row>
    <row r="63">
      <c r="A63" s="1">
        <v>1967.0</v>
      </c>
      <c r="B63" s="69" t="s">
        <v>442</v>
      </c>
    </row>
    <row r="64">
      <c r="A64" s="1">
        <v>1966.0</v>
      </c>
      <c r="B64" s="69" t="s">
        <v>443</v>
      </c>
    </row>
    <row r="65">
      <c r="A65" s="1">
        <v>1965.0</v>
      </c>
      <c r="B65" s="69" t="s">
        <v>444</v>
      </c>
    </row>
    <row r="66">
      <c r="A66" s="1">
        <v>1964.0</v>
      </c>
      <c r="B66" s="69" t="s">
        <v>445</v>
      </c>
    </row>
    <row r="67">
      <c r="A67" s="1">
        <v>1963.0</v>
      </c>
      <c r="B67" s="69" t="s">
        <v>446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5" max="5" width="5.88"/>
    <col customWidth="1" min="6" max="6" width="26.75"/>
    <col customWidth="1" min="7" max="8" width="19.38"/>
    <col customWidth="1" min="9" max="9" width="6.0"/>
    <col customWidth="1" min="10" max="10" width="25.88"/>
    <col customWidth="1" min="11" max="18" width="13.0"/>
  </cols>
  <sheetData>
    <row r="1">
      <c r="A1" s="1" t="s">
        <v>71</v>
      </c>
      <c r="B1" s="1">
        <v>0.8</v>
      </c>
    </row>
    <row r="2">
      <c r="A2" s="1" t="s">
        <v>72</v>
      </c>
    </row>
    <row r="3">
      <c r="A3" s="1" t="s">
        <v>73</v>
      </c>
      <c r="B3" s="10">
        <f>(1000*'Custo energia compressão'!B10)/(24*3600*'Custo energia compressão'!F23)</f>
        <v>150.462963</v>
      </c>
      <c r="C3" s="1" t="s">
        <v>74</v>
      </c>
      <c r="F3" s="6" t="s">
        <v>75</v>
      </c>
      <c r="G3" s="7"/>
      <c r="H3" s="8"/>
      <c r="J3" s="6" t="s">
        <v>76</v>
      </c>
      <c r="K3" s="7"/>
      <c r="L3" s="7"/>
      <c r="M3" s="7"/>
      <c r="N3" s="7"/>
      <c r="O3" s="7"/>
      <c r="P3" s="7"/>
      <c r="Q3" s="7"/>
      <c r="R3" s="8"/>
    </row>
    <row r="4">
      <c r="A4" s="1" t="s">
        <v>77</v>
      </c>
      <c r="B4" s="1">
        <v>0.0936</v>
      </c>
      <c r="F4" s="9" t="s">
        <v>56</v>
      </c>
      <c r="G4" s="6" t="s">
        <v>57</v>
      </c>
      <c r="H4" s="8"/>
      <c r="J4" s="9" t="s">
        <v>56</v>
      </c>
      <c r="K4" s="9" t="s">
        <v>78</v>
      </c>
      <c r="L4" s="9" t="s">
        <v>79</v>
      </c>
      <c r="M4" s="9" t="s">
        <v>80</v>
      </c>
      <c r="N4" s="9" t="s">
        <v>81</v>
      </c>
      <c r="O4" s="9" t="s">
        <v>82</v>
      </c>
      <c r="P4" s="9" t="s">
        <v>83</v>
      </c>
      <c r="Q4" s="9" t="s">
        <v>84</v>
      </c>
      <c r="R4" s="9" t="s">
        <v>85</v>
      </c>
    </row>
    <row r="5">
      <c r="A5" s="1"/>
      <c r="B5" s="5"/>
      <c r="D5" s="5"/>
      <c r="F5" s="11"/>
      <c r="G5" s="9" t="s">
        <v>86</v>
      </c>
      <c r="H5" s="9" t="s">
        <v>87</v>
      </c>
      <c r="J5" s="9">
        <v>1000.0</v>
      </c>
      <c r="K5" s="17">
        <f t="shared" ref="K5:K12" si="1">L5+N5+P5</f>
        <v>17.68023347</v>
      </c>
      <c r="L5" s="17">
        <f t="shared" ref="L5:L12" si="2">M5/(J5*365*$B$1)</f>
        <v>8.035248</v>
      </c>
      <c r="M5" s="18">
        <f t="shared" ref="M5:M12" si="3">$B$15*N20*$B$1*24*365</f>
        <v>2346292.416</v>
      </c>
      <c r="N5" s="17">
        <f t="shared" ref="N5:N12" si="4">O5/(J5*365*$B$1)</f>
        <v>0.4592850226</v>
      </c>
      <c r="O5" s="18">
        <f t="shared" ref="O5:O12" si="5">Q5*$B$14</f>
        <v>134111.2266</v>
      </c>
      <c r="P5" s="17">
        <f t="shared" ref="P5:P12" si="6">Q5/(J5*365*$B$1)</f>
        <v>9.185700452</v>
      </c>
      <c r="Q5" s="18">
        <f t="shared" ref="Q5:Q12" si="7">R5*$B$4</f>
        <v>2682224.532</v>
      </c>
      <c r="R5" s="18">
        <v>2.8656245E7</v>
      </c>
      <c r="S5" s="19">
        <f t="shared" ref="S5:S12" si="8">O5/T5</f>
        <v>0.0259773166</v>
      </c>
      <c r="T5" s="5">
        <f t="shared" ref="T5:T12" si="9">Q5+O5+M5</f>
        <v>5162628.175</v>
      </c>
      <c r="V5" s="5"/>
    </row>
    <row r="6">
      <c r="A6" s="1" t="s">
        <v>88</v>
      </c>
      <c r="B6" s="5">
        <f>(B3*'Custo energia compressão'!F23)*(((0.13*(10^6))/(B3^0.71))+(((1.14*(10^6))*(ln('Custo energia compressão'!B4/'Custo energia compressão'!B2)))/(B3^0.6)))*2.107</f>
        <v>389672362.1</v>
      </c>
      <c r="D6" s="5">
        <f>(B6/'Custo energia compressão'!F22)</f>
        <v>1528.919752</v>
      </c>
      <c r="F6" s="9">
        <v>1000.0</v>
      </c>
      <c r="G6" s="9">
        <v>7159.0</v>
      </c>
      <c r="H6" s="9">
        <v>3129.0</v>
      </c>
      <c r="J6" s="9">
        <v>5000.0</v>
      </c>
      <c r="K6" s="17">
        <f t="shared" si="1"/>
        <v>11.77704043</v>
      </c>
      <c r="L6" s="17">
        <f t="shared" si="2"/>
        <v>8.0344656</v>
      </c>
      <c r="M6" s="18">
        <f t="shared" si="3"/>
        <v>11730319.78</v>
      </c>
      <c r="N6" s="17">
        <f t="shared" si="4"/>
        <v>0.1782178491</v>
      </c>
      <c r="O6" s="18">
        <f t="shared" si="5"/>
        <v>260198.0597</v>
      </c>
      <c r="P6" s="17">
        <f t="shared" si="6"/>
        <v>3.564356982</v>
      </c>
      <c r="Q6" s="18">
        <f t="shared" si="7"/>
        <v>5203961.194</v>
      </c>
      <c r="R6" s="18">
        <v>5.5597876E7</v>
      </c>
      <c r="S6" s="19">
        <f t="shared" si="8"/>
        <v>0.01513265155</v>
      </c>
      <c r="T6" s="5">
        <f t="shared" si="9"/>
        <v>17194479.03</v>
      </c>
    </row>
    <row r="7">
      <c r="B7" s="5">
        <f>B6+B8</f>
        <v>418195140.7</v>
      </c>
      <c r="F7" s="9">
        <v>5000.0</v>
      </c>
      <c r="G7" s="9">
        <v>2717.0</v>
      </c>
      <c r="H7" s="9">
        <v>2497.0</v>
      </c>
      <c r="J7" s="9">
        <v>15000.0</v>
      </c>
      <c r="K7" s="17">
        <f t="shared" si="1"/>
        <v>10.03626948</v>
      </c>
      <c r="L7" s="17">
        <f t="shared" si="2"/>
        <v>8.0347264</v>
      </c>
      <c r="M7" s="18">
        <f t="shared" si="3"/>
        <v>35192101.63</v>
      </c>
      <c r="N7" s="17">
        <f t="shared" si="4"/>
        <v>0.0953115751</v>
      </c>
      <c r="O7" s="18">
        <f t="shared" si="5"/>
        <v>417464.6989</v>
      </c>
      <c r="P7" s="17">
        <f t="shared" si="6"/>
        <v>1.906231502</v>
      </c>
      <c r="Q7" s="18">
        <f t="shared" si="7"/>
        <v>8349293.978</v>
      </c>
      <c r="R7" s="18">
        <v>8.92018587437743E7</v>
      </c>
      <c r="S7" s="19">
        <f t="shared" si="8"/>
        <v>0.009496713427</v>
      </c>
      <c r="T7" s="5">
        <f t="shared" si="9"/>
        <v>43958860.31</v>
      </c>
      <c r="V7" s="5"/>
    </row>
    <row r="8">
      <c r="A8" s="1" t="s">
        <v>89</v>
      </c>
      <c r="B8" s="5">
        <f>(((1.11*10^6)*('Custo energia compressão'!F17/1000))+0.07*10^6)*2.107</f>
        <v>28522778.58</v>
      </c>
      <c r="D8" s="5">
        <f>(B8/'Custo energia compressão'!F17)</f>
        <v>2350.926535</v>
      </c>
      <c r="F8" s="9">
        <v>15000.0</v>
      </c>
      <c r="G8" s="9">
        <v>1403.0</v>
      </c>
      <c r="H8" s="9">
        <v>2391.0</v>
      </c>
      <c r="J8" s="9">
        <v>25000.0</v>
      </c>
      <c r="K8" s="17">
        <f t="shared" si="1"/>
        <v>10.24947298</v>
      </c>
      <c r="L8" s="17">
        <f t="shared" si="2"/>
        <v>8.03462208</v>
      </c>
      <c r="M8" s="18">
        <f t="shared" si="3"/>
        <v>58652741.18</v>
      </c>
      <c r="N8" s="17">
        <f t="shared" si="4"/>
        <v>0.1054690905</v>
      </c>
      <c r="O8" s="18">
        <f t="shared" si="5"/>
        <v>769924.3605</v>
      </c>
      <c r="P8" s="17">
        <f t="shared" si="6"/>
        <v>2.10938181</v>
      </c>
      <c r="Q8" s="18">
        <f t="shared" si="7"/>
        <v>15398487.21</v>
      </c>
      <c r="R8" s="18">
        <v>1.64513752247375E8</v>
      </c>
      <c r="S8" s="19">
        <f t="shared" si="8"/>
        <v>0.01029019645</v>
      </c>
      <c r="T8" s="5">
        <f t="shared" si="9"/>
        <v>74821152.75</v>
      </c>
      <c r="V8" s="5"/>
    </row>
    <row r="9">
      <c r="F9" s="9">
        <v>25000.0</v>
      </c>
      <c r="G9" s="9">
        <v>1565.0</v>
      </c>
      <c r="H9" s="9">
        <v>2370.0</v>
      </c>
      <c r="J9" s="9">
        <v>35000.0</v>
      </c>
      <c r="K9" s="17">
        <f t="shared" si="1"/>
        <v>10.33648032</v>
      </c>
      <c r="L9" s="17">
        <f t="shared" si="2"/>
        <v>8.034633257</v>
      </c>
      <c r="M9" s="18">
        <f t="shared" si="3"/>
        <v>82113951.89</v>
      </c>
      <c r="N9" s="17">
        <f t="shared" si="4"/>
        <v>0.1096117647</v>
      </c>
      <c r="O9" s="18">
        <f t="shared" si="5"/>
        <v>1120232.235</v>
      </c>
      <c r="P9" s="17">
        <f t="shared" si="6"/>
        <v>2.192235294</v>
      </c>
      <c r="Q9" s="18">
        <f t="shared" si="7"/>
        <v>22404644.7</v>
      </c>
      <c r="R9" s="18">
        <v>2.39365862210376E8</v>
      </c>
      <c r="S9" s="19">
        <f t="shared" si="8"/>
        <v>0.01060436061</v>
      </c>
      <c r="T9" s="5">
        <f t="shared" si="9"/>
        <v>105638828.8</v>
      </c>
    </row>
    <row r="10">
      <c r="A10" s="1"/>
      <c r="F10" s="9">
        <v>35000.0</v>
      </c>
      <c r="G10" s="9">
        <v>1632.0</v>
      </c>
      <c r="H10" s="9">
        <v>2361.0</v>
      </c>
      <c r="J10" s="9">
        <v>45000.0</v>
      </c>
      <c r="K10" s="17">
        <f t="shared" si="1"/>
        <v>10.03397625</v>
      </c>
      <c r="L10" s="17">
        <f t="shared" si="2"/>
        <v>8.034639467</v>
      </c>
      <c r="M10" s="18">
        <f t="shared" si="3"/>
        <v>105575162.6</v>
      </c>
      <c r="N10" s="17">
        <f t="shared" si="4"/>
        <v>0.09520651373</v>
      </c>
      <c r="O10" s="18">
        <f t="shared" si="5"/>
        <v>1251013.59</v>
      </c>
      <c r="P10" s="17">
        <f t="shared" si="6"/>
        <v>1.904130275</v>
      </c>
      <c r="Q10" s="18">
        <f t="shared" si="7"/>
        <v>25020271.81</v>
      </c>
      <c r="R10" s="18">
        <v>2.67310596231323E8</v>
      </c>
      <c r="S10" s="19">
        <f t="shared" si="8"/>
        <v>0.009488413298</v>
      </c>
      <c r="T10" s="5">
        <f t="shared" si="9"/>
        <v>131846448</v>
      </c>
    </row>
    <row r="11">
      <c r="A11" s="1" t="s">
        <v>90</v>
      </c>
      <c r="B11" s="5">
        <f>D6+D8</f>
        <v>3879.846287</v>
      </c>
      <c r="F11" s="9">
        <v>45000.0</v>
      </c>
      <c r="G11" s="9">
        <v>1403.0</v>
      </c>
      <c r="H11" s="9">
        <v>2356.0</v>
      </c>
      <c r="J11" s="9">
        <v>55000.0</v>
      </c>
      <c r="K11" s="17">
        <f t="shared" si="1"/>
        <v>10.13327558</v>
      </c>
      <c r="L11" s="17">
        <f t="shared" si="2"/>
        <v>8.034643418</v>
      </c>
      <c r="M11" s="18">
        <f t="shared" si="3"/>
        <v>129036373.3</v>
      </c>
      <c r="N11" s="17">
        <f t="shared" si="4"/>
        <v>0.09993486502</v>
      </c>
      <c r="O11" s="18">
        <f t="shared" si="5"/>
        <v>1604953.932</v>
      </c>
      <c r="P11" s="17">
        <f t="shared" si="6"/>
        <v>1.9986973</v>
      </c>
      <c r="Q11" s="18">
        <f t="shared" si="7"/>
        <v>32099078.64</v>
      </c>
      <c r="R11" s="18">
        <v>3.42938874399133E8</v>
      </c>
      <c r="S11" s="19">
        <f t="shared" si="8"/>
        <v>0.009862049462</v>
      </c>
      <c r="T11" s="5">
        <f t="shared" si="9"/>
        <v>162740405.9</v>
      </c>
    </row>
    <row r="12">
      <c r="A12" s="1" t="s">
        <v>91</v>
      </c>
      <c r="B12" s="5">
        <f>B11*B4</f>
        <v>363.1536125</v>
      </c>
      <c r="F12" s="9">
        <v>55000.0</v>
      </c>
      <c r="G12" s="9">
        <v>1478.0</v>
      </c>
      <c r="H12" s="9">
        <v>2353.0</v>
      </c>
      <c r="J12" s="9">
        <v>65000.0</v>
      </c>
      <c r="K12" s="17">
        <f t="shared" si="1"/>
        <v>10.20012506</v>
      </c>
      <c r="L12" s="17">
        <f t="shared" si="2"/>
        <v>8.034676246</v>
      </c>
      <c r="M12" s="18">
        <f t="shared" si="3"/>
        <v>152498155.2</v>
      </c>
      <c r="N12" s="17">
        <f t="shared" si="4"/>
        <v>0.10311661</v>
      </c>
      <c r="O12" s="18">
        <f t="shared" si="5"/>
        <v>1957153.258</v>
      </c>
      <c r="P12" s="17">
        <f t="shared" si="6"/>
        <v>2.0623322</v>
      </c>
      <c r="Q12" s="18">
        <f t="shared" si="7"/>
        <v>39143065.17</v>
      </c>
      <c r="R12" s="18">
        <v>4.18195140655795E8</v>
      </c>
      <c r="S12" s="19">
        <f t="shared" si="8"/>
        <v>0.01010934763</v>
      </c>
      <c r="T12" s="5">
        <f t="shared" si="9"/>
        <v>193598373.6</v>
      </c>
    </row>
    <row r="13">
      <c r="C13" s="5"/>
      <c r="F13" s="9">
        <v>65000.0</v>
      </c>
      <c r="G13" s="9">
        <v>1529.0</v>
      </c>
      <c r="H13" s="9">
        <v>2351.0</v>
      </c>
    </row>
    <row r="14">
      <c r="A14" s="1" t="s">
        <v>92</v>
      </c>
      <c r="B14" s="1">
        <v>0.05</v>
      </c>
      <c r="C14" s="5"/>
      <c r="L14" s="5">
        <v>8.211395188800001E7</v>
      </c>
      <c r="M14" s="5">
        <v>1120232.2351445598</v>
      </c>
      <c r="N14" s="5">
        <v>2.2404644702891193E7</v>
      </c>
    </row>
    <row r="15">
      <c r="A15" s="1" t="s">
        <v>93</v>
      </c>
      <c r="B15" s="15">
        <v>0.0815</v>
      </c>
    </row>
    <row r="17">
      <c r="J17" s="6" t="s">
        <v>70</v>
      </c>
      <c r="K17" s="7"/>
      <c r="L17" s="7"/>
      <c r="M17" s="8"/>
    </row>
    <row r="18">
      <c r="J18" s="9" t="s">
        <v>56</v>
      </c>
      <c r="K18" s="9"/>
      <c r="L18" s="6" t="s">
        <v>57</v>
      </c>
      <c r="M18" s="8"/>
    </row>
    <row r="19">
      <c r="J19" s="11"/>
      <c r="K19" s="9"/>
      <c r="L19" s="9" t="s">
        <v>59</v>
      </c>
      <c r="M19" s="9" t="s">
        <v>60</v>
      </c>
    </row>
    <row r="20">
      <c r="J20" s="9">
        <v>1000.0</v>
      </c>
      <c r="K20" s="9"/>
      <c r="L20" s="1">
        <v>3921.0</v>
      </c>
      <c r="M20" s="9">
        <v>187.0</v>
      </c>
      <c r="N20" s="13">
        <f t="shared" ref="N20:N27" si="10">L20+M20</f>
        <v>4108</v>
      </c>
      <c r="O20" s="1">
        <v>3921.0</v>
      </c>
    </row>
    <row r="21">
      <c r="J21" s="9">
        <v>5000.0</v>
      </c>
      <c r="K21" s="9"/>
      <c r="L21" s="1">
        <v>19605.0</v>
      </c>
      <c r="M21" s="9">
        <v>933.0</v>
      </c>
      <c r="N21" s="13">
        <f t="shared" si="10"/>
        <v>20538</v>
      </c>
      <c r="O21" s="1">
        <v>19605.0</v>
      </c>
    </row>
    <row r="22">
      <c r="J22" s="9">
        <v>15000.0</v>
      </c>
      <c r="K22" s="9"/>
      <c r="L22" s="1">
        <v>58816.0</v>
      </c>
      <c r="M22" s="9">
        <v>2800.0</v>
      </c>
      <c r="N22" s="13">
        <f t="shared" si="10"/>
        <v>61616</v>
      </c>
      <c r="O22" s="1">
        <v>58816.0</v>
      </c>
    </row>
    <row r="23">
      <c r="J23" s="9">
        <v>25000.0</v>
      </c>
      <c r="K23" s="9"/>
      <c r="L23" s="1">
        <v>98026.0</v>
      </c>
      <c r="M23" s="9">
        <v>4666.0</v>
      </c>
      <c r="N23" s="13">
        <f t="shared" si="10"/>
        <v>102692</v>
      </c>
      <c r="O23" s="1">
        <v>98026.0</v>
      </c>
    </row>
    <row r="24">
      <c r="J24" s="9">
        <v>35000.0</v>
      </c>
      <c r="K24" s="9"/>
      <c r="L24" s="1">
        <v>137236.0</v>
      </c>
      <c r="M24" s="9">
        <v>6533.0</v>
      </c>
      <c r="N24" s="13">
        <f t="shared" si="10"/>
        <v>143769</v>
      </c>
      <c r="O24" s="1">
        <v>137236.0</v>
      </c>
    </row>
    <row r="25">
      <c r="J25" s="9">
        <v>45000.0</v>
      </c>
      <c r="K25" s="9"/>
      <c r="L25" s="1">
        <v>176447.0</v>
      </c>
      <c r="M25" s="9">
        <v>8399.0</v>
      </c>
      <c r="N25" s="13">
        <f t="shared" si="10"/>
        <v>184846</v>
      </c>
      <c r="O25" s="1">
        <v>176447.0</v>
      </c>
    </row>
    <row r="26">
      <c r="J26" s="9">
        <v>55000.0</v>
      </c>
      <c r="K26" s="9"/>
      <c r="L26" s="1">
        <v>215657.0</v>
      </c>
      <c r="M26" s="9">
        <v>10266.0</v>
      </c>
      <c r="N26" s="13">
        <f t="shared" si="10"/>
        <v>225923</v>
      </c>
      <c r="O26" s="1">
        <v>215657.0</v>
      </c>
    </row>
    <row r="27">
      <c r="J27" s="9">
        <v>65000.0</v>
      </c>
      <c r="K27" s="9"/>
      <c r="L27" s="1">
        <v>254868.0</v>
      </c>
      <c r="M27" s="9">
        <v>12133.0</v>
      </c>
      <c r="N27" s="13">
        <f t="shared" si="10"/>
        <v>267001</v>
      </c>
      <c r="O27" s="1">
        <v>254868.0</v>
      </c>
    </row>
  </sheetData>
  <mergeCells count="5">
    <mergeCell ref="F3:H3"/>
    <mergeCell ref="J3:R3"/>
    <mergeCell ref="G4:H4"/>
    <mergeCell ref="J17:M17"/>
    <mergeCell ref="L18:M1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.0"/>
    <col customWidth="1" min="3" max="3" width="24.88"/>
    <col customWidth="1" min="4" max="4" width="15.5"/>
    <col customWidth="1" min="5" max="5" width="17.25"/>
    <col customWidth="1" min="6" max="6" width="17.75"/>
    <col customWidth="1" min="7" max="8" width="10.75"/>
    <col customWidth="1" min="9" max="9" width="24.0"/>
    <col customWidth="1" min="10" max="10" width="14.63"/>
    <col customWidth="1" min="11" max="11" width="16.38"/>
    <col customWidth="1" min="12" max="12" width="20.13"/>
    <col customWidth="1" min="13" max="13" width="10.75"/>
    <col customWidth="1" min="14" max="14" width="12.5"/>
    <col customWidth="1" min="15" max="15" width="25.5"/>
    <col customWidth="1" min="16" max="16" width="16.13"/>
    <col customWidth="1" min="17" max="17" width="17.88"/>
    <col customWidth="1" min="18" max="18" width="23.38"/>
    <col customWidth="1" min="19" max="19" width="14.0"/>
    <col customWidth="1" min="20" max="20" width="15.75"/>
  </cols>
  <sheetData>
    <row r="1">
      <c r="A1" s="20"/>
      <c r="B1" s="21" t="s">
        <v>94</v>
      </c>
      <c r="C1" s="21" t="s">
        <v>95</v>
      </c>
      <c r="D1" s="21" t="s">
        <v>96</v>
      </c>
      <c r="E1" s="21" t="s">
        <v>97</v>
      </c>
      <c r="F1" s="21" t="s">
        <v>98</v>
      </c>
      <c r="G1" s="21" t="s">
        <v>99</v>
      </c>
      <c r="H1" s="21" t="s">
        <v>100</v>
      </c>
      <c r="I1" s="21" t="s">
        <v>101</v>
      </c>
      <c r="J1" s="21" t="s">
        <v>102</v>
      </c>
      <c r="K1" s="21" t="s">
        <v>103</v>
      </c>
      <c r="L1" s="21" t="s">
        <v>104</v>
      </c>
      <c r="M1" s="21" t="s">
        <v>105</v>
      </c>
      <c r="N1" s="21" t="s">
        <v>106</v>
      </c>
      <c r="O1" s="21" t="s">
        <v>107</v>
      </c>
      <c r="P1" s="21" t="s">
        <v>108</v>
      </c>
      <c r="Q1" s="21" t="s">
        <v>109</v>
      </c>
      <c r="R1" s="21" t="s">
        <v>110</v>
      </c>
      <c r="S1" s="21" t="s">
        <v>111</v>
      </c>
      <c r="T1" s="21" t="s">
        <v>112</v>
      </c>
    </row>
    <row r="2">
      <c r="A2" s="21">
        <v>0.0</v>
      </c>
      <c r="B2" s="22">
        <v>2024.0</v>
      </c>
      <c r="C2" s="22">
        <v>25.95719512</v>
      </c>
      <c r="D2" s="22">
        <v>20.92355725079597</v>
      </c>
      <c r="E2" s="22">
        <v>29.75591545971603</v>
      </c>
      <c r="F2" s="22">
        <v>2.96526779</v>
      </c>
      <c r="G2" s="22">
        <v>2.704934933759235</v>
      </c>
      <c r="H2" s="22">
        <v>2.906592096027744</v>
      </c>
      <c r="I2" s="22">
        <v>1.58954996</v>
      </c>
      <c r="J2" s="22">
        <v>1.526786840197809</v>
      </c>
      <c r="K2" s="22">
        <v>1.555368825263673</v>
      </c>
      <c r="L2" s="22">
        <v>4.06737169</v>
      </c>
      <c r="M2" s="22">
        <v>3.789454502734576</v>
      </c>
      <c r="N2" s="22">
        <v>4.031115955588528</v>
      </c>
      <c r="O2" s="22">
        <v>12.039497385</v>
      </c>
      <c r="P2" s="22">
        <v>11.90716161462806</v>
      </c>
      <c r="Q2" s="22">
        <v>12.58850087030525</v>
      </c>
      <c r="R2" s="22">
        <v>15.25076795</v>
      </c>
      <c r="S2" s="22">
        <v>14.73401299497481</v>
      </c>
      <c r="T2" s="22">
        <v>14.74894691349589</v>
      </c>
    </row>
    <row r="3">
      <c r="A3" s="21">
        <v>1.0</v>
      </c>
      <c r="B3" s="22">
        <v>2025.0</v>
      </c>
      <c r="C3" s="22">
        <v>25.95719512</v>
      </c>
      <c r="D3" s="22">
        <v>20.26829209177487</v>
      </c>
      <c r="E3" s="22">
        <v>29.35770393964445</v>
      </c>
      <c r="F3" s="22">
        <v>2.96526779</v>
      </c>
      <c r="G3" s="22">
        <v>2.61768621408206</v>
      </c>
      <c r="H3" s="22">
        <v>2.867694336072947</v>
      </c>
      <c r="I3" s="22">
        <v>1.58954996</v>
      </c>
      <c r="J3" s="22">
        <v>1.522038761107034</v>
      </c>
      <c r="K3" s="22">
        <v>1.534553946117417</v>
      </c>
      <c r="L3" s="22">
        <v>4.06737169</v>
      </c>
      <c r="M3" s="22">
        <v>3.541344375969714</v>
      </c>
      <c r="N3" s="22">
        <v>3.977169142410056</v>
      </c>
      <c r="O3" s="22">
        <v>12.039497385</v>
      </c>
      <c r="P3" s="22">
        <v>11.87943608221425</v>
      </c>
      <c r="Q3" s="22">
        <v>12.42003399608748</v>
      </c>
      <c r="R3" s="22">
        <v>15.25076795</v>
      </c>
      <c r="S3" s="22">
        <v>14.45871322888302</v>
      </c>
      <c r="T3" s="22">
        <v>14.55156765363647</v>
      </c>
    </row>
    <row r="4">
      <c r="A4" s="21">
        <v>2.0</v>
      </c>
      <c r="B4" s="22">
        <v>2026.0</v>
      </c>
      <c r="C4" s="22">
        <v>25.95719512</v>
      </c>
      <c r="D4" s="22">
        <v>19.944908636835</v>
      </c>
      <c r="E4" s="22">
        <v>28.96482152513954</v>
      </c>
      <c r="F4" s="22">
        <v>2.96526779</v>
      </c>
      <c r="G4" s="22">
        <v>2.564327813550465</v>
      </c>
      <c r="H4" s="22">
        <v>2.829317129288157</v>
      </c>
      <c r="I4" s="22">
        <v>1.58954996</v>
      </c>
      <c r="J4" s="22">
        <v>1.51799653067943</v>
      </c>
      <c r="K4" s="22">
        <v>1.514017624176909</v>
      </c>
      <c r="L4" s="22">
        <v>4.06737169</v>
      </c>
      <c r="M4" s="22">
        <v>3.301737580393696</v>
      </c>
      <c r="N4" s="22">
        <v>3.923944277864214</v>
      </c>
      <c r="O4" s="22">
        <v>12.039497385</v>
      </c>
      <c r="P4" s="22">
        <v>11.77646804595039</v>
      </c>
      <c r="Q4" s="22">
        <v>12.25382164669367</v>
      </c>
      <c r="R4" s="22">
        <v>15.25076795</v>
      </c>
      <c r="S4" s="22">
        <v>14.32460317034748</v>
      </c>
      <c r="T4" s="22">
        <v>14.35682984149879</v>
      </c>
    </row>
    <row r="5">
      <c r="A5" s="21">
        <v>3.0</v>
      </c>
      <c r="B5" s="22">
        <v>2027.0</v>
      </c>
      <c r="C5" s="22">
        <v>25.95719512</v>
      </c>
      <c r="D5" s="22">
        <v>19.85106849898576</v>
      </c>
      <c r="E5" s="22">
        <v>28.57719689891209</v>
      </c>
      <c r="F5" s="22">
        <v>2.96526779</v>
      </c>
      <c r="G5" s="22">
        <v>2.544528740240489</v>
      </c>
      <c r="H5" s="22">
        <v>2.791453509318416</v>
      </c>
      <c r="I5" s="22">
        <v>1.58954996</v>
      </c>
      <c r="J5" s="22">
        <v>1.515874394559051</v>
      </c>
      <c r="K5" s="22">
        <v>1.493756131622433</v>
      </c>
      <c r="L5" s="22">
        <v>4.06737169</v>
      </c>
      <c r="M5" s="22">
        <v>3.106886126734189</v>
      </c>
      <c r="N5" s="22">
        <v>3.87143170040109</v>
      </c>
      <c r="O5" s="22">
        <v>12.039497385</v>
      </c>
      <c r="P5" s="22">
        <v>11.67136158998939</v>
      </c>
      <c r="Q5" s="22">
        <v>12.08983365071949</v>
      </c>
      <c r="R5" s="22">
        <v>15.25076795</v>
      </c>
      <c r="S5" s="22">
        <v>14.28467862103926</v>
      </c>
      <c r="T5" s="22">
        <v>14.16469812764404</v>
      </c>
    </row>
    <row r="6">
      <c r="A6" s="21">
        <v>4.0</v>
      </c>
      <c r="B6" s="22">
        <v>2028.0</v>
      </c>
      <c r="C6" s="22">
        <v>25.95719512</v>
      </c>
      <c r="D6" s="22">
        <v>19.83468094473227</v>
      </c>
      <c r="E6" s="22">
        <v>28.19475969808368</v>
      </c>
      <c r="F6" s="22">
        <v>2.96526779</v>
      </c>
      <c r="G6" s="22">
        <v>2.540444920765542</v>
      </c>
      <c r="H6" s="22">
        <v>2.754096603036715</v>
      </c>
      <c r="I6" s="22">
        <v>1.58954996</v>
      </c>
      <c r="J6" s="22">
        <v>1.515054366124693</v>
      </c>
      <c r="K6" s="22">
        <v>1.473765790522194</v>
      </c>
      <c r="L6" s="22">
        <v>4.06737169</v>
      </c>
      <c r="M6" s="22">
        <v>2.968324397539059</v>
      </c>
      <c r="N6" s="22">
        <v>3.819621877767432</v>
      </c>
      <c r="O6" s="22">
        <v>12.039497385</v>
      </c>
      <c r="P6" s="22">
        <v>11.60077717752098</v>
      </c>
      <c r="Q6" s="22">
        <v>11.92804024053243</v>
      </c>
      <c r="R6" s="22">
        <v>15.25076795</v>
      </c>
      <c r="S6" s="22">
        <v>14.27810037595012</v>
      </c>
      <c r="T6" s="22">
        <v>13.97513763570083</v>
      </c>
    </row>
    <row r="7">
      <c r="A7" s="21">
        <v>5.0</v>
      </c>
      <c r="B7" s="22">
        <v>2029.0</v>
      </c>
      <c r="C7" s="22">
        <v>25.95719512</v>
      </c>
      <c r="D7" s="22">
        <v>19.83294950938608</v>
      </c>
      <c r="E7" s="22">
        <v>27.81744050141414</v>
      </c>
      <c r="F7" s="22">
        <v>2.96526779</v>
      </c>
      <c r="G7" s="22">
        <v>2.539966576180345</v>
      </c>
      <c r="H7" s="22">
        <v>2.717239629296351</v>
      </c>
      <c r="I7" s="22">
        <v>1.58954996</v>
      </c>
      <c r="J7" s="22">
        <v>1.514808270736872</v>
      </c>
      <c r="K7" s="22">
        <v>1.454042972164686</v>
      </c>
      <c r="L7" s="22">
        <v>4.06737169</v>
      </c>
      <c r="M7" s="22">
        <v>2.880513464578431</v>
      </c>
      <c r="N7" s="22">
        <v>3.768505405276319</v>
      </c>
      <c r="O7" s="22">
        <v>12.039497385</v>
      </c>
      <c r="P7" s="22">
        <v>11.56552177093622</v>
      </c>
      <c r="Q7" s="22">
        <v>11.76841204686828</v>
      </c>
      <c r="R7" s="22">
        <v>15.25076795</v>
      </c>
      <c r="S7" s="22">
        <v>14.27795707036525</v>
      </c>
      <c r="T7" s="22">
        <v>13.78811395603431</v>
      </c>
    </row>
    <row r="8">
      <c r="A8" s="21">
        <v>6.0</v>
      </c>
      <c r="B8" s="22">
        <v>2030.0</v>
      </c>
      <c r="C8" s="22">
        <v>25.95719512</v>
      </c>
      <c r="D8" s="22">
        <v>19.83283867076231</v>
      </c>
      <c r="E8" s="22">
        <v>27.4451708167</v>
      </c>
      <c r="F8" s="22">
        <v>2.96526779</v>
      </c>
      <c r="G8" s="22">
        <v>2.539933975452329</v>
      </c>
      <c r="H8" s="22">
        <v>2.6808758977</v>
      </c>
      <c r="I8" s="22">
        <v>1.58954996</v>
      </c>
      <c r="J8" s="22">
        <v>1.514749587414202</v>
      </c>
      <c r="K8" s="22">
        <v>1.4345840964</v>
      </c>
      <c r="L8" s="22">
        <v>4.06737169</v>
      </c>
      <c r="M8" s="22">
        <v>2.830379573118299</v>
      </c>
      <c r="N8" s="22">
        <v>3.7180730041</v>
      </c>
      <c r="O8" s="22">
        <v>12.039497385</v>
      </c>
      <c r="P8" s="22">
        <v>11.55186844199165</v>
      </c>
      <c r="Q8" s="22">
        <v>11.6109200935</v>
      </c>
      <c r="R8" s="22">
        <v>15.25076795</v>
      </c>
      <c r="S8" s="22">
        <v>14.27816303117187</v>
      </c>
      <c r="T8" s="22">
        <v>13.6035931395</v>
      </c>
    </row>
    <row r="10">
      <c r="E10" s="13">
        <f>E8/E2</f>
        <v>0.9223433523</v>
      </c>
      <c r="H10" s="13">
        <f>H8/H2</f>
        <v>0.9223433523</v>
      </c>
      <c r="K10" s="13">
        <f>K8/K2</f>
        <v>0.9223433523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7" max="7" width="16.5"/>
    <col customWidth="1" min="15" max="15" width="1.88"/>
    <col customWidth="1" min="16" max="16" width="16.5"/>
    <col customWidth="1" min="24" max="24" width="1.88"/>
    <col customWidth="1" min="25" max="25" width="16.5"/>
  </cols>
  <sheetData>
    <row r="1">
      <c r="A1" s="1"/>
      <c r="B1" s="2"/>
      <c r="C1" s="1"/>
      <c r="H1" s="23" t="s">
        <v>113</v>
      </c>
      <c r="I1" s="7"/>
      <c r="J1" s="7"/>
      <c r="K1" s="7"/>
      <c r="L1" s="7"/>
      <c r="M1" s="7"/>
      <c r="N1" s="8"/>
    </row>
    <row r="2">
      <c r="A2" s="1" t="s">
        <v>4</v>
      </c>
      <c r="B2" s="2">
        <v>0.1</v>
      </c>
      <c r="C2" s="1" t="s">
        <v>5</v>
      </c>
      <c r="H2" s="24">
        <v>2024.0</v>
      </c>
      <c r="I2" s="24">
        <v>2025.0</v>
      </c>
      <c r="J2" s="24">
        <v>2026.0</v>
      </c>
      <c r="K2" s="24">
        <v>2027.0</v>
      </c>
      <c r="L2" s="24">
        <v>2028.0</v>
      </c>
      <c r="M2" s="24">
        <v>2029.0</v>
      </c>
      <c r="N2" s="24">
        <v>2030.0</v>
      </c>
    </row>
    <row r="3">
      <c r="A3" s="1" t="s">
        <v>8</v>
      </c>
      <c r="B3" s="2">
        <v>15.0</v>
      </c>
      <c r="C3" s="1" t="s">
        <v>5</v>
      </c>
      <c r="G3" s="25" t="s">
        <v>114</v>
      </c>
      <c r="H3" s="26">
        <v>3.015952837E7</v>
      </c>
      <c r="I3" s="26">
        <v>3.015952837E7</v>
      </c>
      <c r="J3" s="26">
        <v>3.015952837E7</v>
      </c>
      <c r="K3" s="26">
        <v>3.015952837E7</v>
      </c>
      <c r="L3" s="26">
        <v>3.015952837E7</v>
      </c>
      <c r="M3" s="26">
        <v>3.015952837E7</v>
      </c>
      <c r="N3" s="26">
        <v>3.015952837E7</v>
      </c>
    </row>
    <row r="4">
      <c r="A4" s="1" t="s">
        <v>11</v>
      </c>
      <c r="B4" s="2">
        <v>7.38</v>
      </c>
      <c r="C4" s="1" t="s">
        <v>5</v>
      </c>
      <c r="G4" s="25" t="s">
        <v>115</v>
      </c>
      <c r="H4" s="26">
        <v>2946017.47</v>
      </c>
      <c r="I4" s="26">
        <v>2946017.47</v>
      </c>
      <c r="J4" s="26">
        <v>2946017.47</v>
      </c>
      <c r="K4" s="26">
        <v>2946017.47</v>
      </c>
      <c r="L4" s="26">
        <v>2946017.47</v>
      </c>
      <c r="M4" s="26">
        <v>2946017.47</v>
      </c>
      <c r="N4" s="26">
        <v>2946017.47</v>
      </c>
    </row>
    <row r="5">
      <c r="A5" s="1" t="s">
        <v>18</v>
      </c>
      <c r="B5" s="2">
        <v>4.0</v>
      </c>
      <c r="C5" s="4" t="s">
        <v>19</v>
      </c>
      <c r="G5" s="25" t="s">
        <v>116</v>
      </c>
      <c r="H5" s="26">
        <v>1576466.0</v>
      </c>
      <c r="I5" s="26">
        <v>1576466.0</v>
      </c>
      <c r="J5" s="26">
        <v>1576466.0</v>
      </c>
      <c r="K5" s="26">
        <v>1576466.0</v>
      </c>
      <c r="L5" s="26">
        <v>1576466.0</v>
      </c>
      <c r="M5" s="26">
        <v>1576466.0</v>
      </c>
      <c r="N5" s="26">
        <v>1576466.0</v>
      </c>
    </row>
    <row r="6">
      <c r="A6" s="1" t="s">
        <v>27</v>
      </c>
      <c r="B6" s="2">
        <v>44.01</v>
      </c>
      <c r="C6" s="1" t="s">
        <v>28</v>
      </c>
      <c r="G6" s="25" t="s">
        <v>117</v>
      </c>
      <c r="H6" s="26">
        <v>4085795.0</v>
      </c>
      <c r="I6" s="26">
        <v>4085795.0</v>
      </c>
      <c r="J6" s="26">
        <v>4085795.0</v>
      </c>
      <c r="K6" s="26">
        <v>4085795.0</v>
      </c>
      <c r="L6" s="26">
        <v>4085795.0</v>
      </c>
      <c r="M6" s="26">
        <v>4085795.0</v>
      </c>
      <c r="N6" s="26">
        <v>4085795.0</v>
      </c>
    </row>
    <row r="7">
      <c r="A7" s="1" t="s">
        <v>36</v>
      </c>
      <c r="B7" s="2">
        <v>8.314</v>
      </c>
      <c r="C7" s="1" t="s">
        <v>37</v>
      </c>
      <c r="G7" s="25" t="s">
        <v>118</v>
      </c>
      <c r="H7" s="26">
        <v>1.275925285E7</v>
      </c>
      <c r="I7" s="26">
        <v>1.275925285E7</v>
      </c>
      <c r="J7" s="26">
        <v>1.275925285E7</v>
      </c>
      <c r="K7" s="26">
        <v>1.275925285E7</v>
      </c>
      <c r="L7" s="26">
        <v>1.275925285E7</v>
      </c>
      <c r="M7" s="26">
        <v>1.275925285E7</v>
      </c>
      <c r="N7" s="26">
        <v>1.275925285E7</v>
      </c>
    </row>
    <row r="8">
      <c r="A8" s="1" t="s">
        <v>44</v>
      </c>
      <c r="B8" s="2">
        <v>313.15</v>
      </c>
      <c r="C8" s="1" t="s">
        <v>45</v>
      </c>
      <c r="G8" s="25" t="s">
        <v>119</v>
      </c>
      <c r="H8" s="26">
        <v>1.494900345E7</v>
      </c>
      <c r="I8" s="26">
        <v>1.494900345E7</v>
      </c>
      <c r="J8" s="26">
        <v>1.494900345E7</v>
      </c>
      <c r="K8" s="26">
        <v>1.494900345E7</v>
      </c>
      <c r="L8" s="26">
        <v>1.494900345E7</v>
      </c>
      <c r="M8" s="26">
        <v>1.494900345E7</v>
      </c>
      <c r="N8" s="26">
        <v>1.494900345E7</v>
      </c>
    </row>
    <row r="9">
      <c r="A9" s="1" t="s">
        <v>47</v>
      </c>
      <c r="B9" s="2">
        <v>0.82</v>
      </c>
      <c r="C9" s="4" t="s">
        <v>19</v>
      </c>
    </row>
    <row r="10">
      <c r="A10" s="1" t="s">
        <v>50</v>
      </c>
      <c r="B10" s="2">
        <v>25000.0</v>
      </c>
      <c r="H10" s="23" t="s">
        <v>120</v>
      </c>
      <c r="I10" s="7"/>
      <c r="J10" s="7"/>
      <c r="K10" s="7"/>
      <c r="L10" s="7"/>
      <c r="M10" s="7"/>
      <c r="N10" s="8"/>
    </row>
    <row r="11">
      <c r="A11" s="1" t="s">
        <v>51</v>
      </c>
      <c r="B11" s="2">
        <v>630.0</v>
      </c>
      <c r="H11" s="24">
        <v>2024.0</v>
      </c>
      <c r="I11" s="24">
        <v>2025.0</v>
      </c>
      <c r="J11" s="24">
        <v>2026.0</v>
      </c>
      <c r="K11" s="24">
        <v>2027.0</v>
      </c>
      <c r="L11" s="24">
        <v>2028.0</v>
      </c>
      <c r="M11" s="24">
        <v>2029.0</v>
      </c>
      <c r="N11" s="24">
        <v>2030.0</v>
      </c>
    </row>
    <row r="12">
      <c r="A12" s="1" t="s">
        <v>52</v>
      </c>
      <c r="B12" s="2">
        <v>0.75</v>
      </c>
      <c r="E12" s="1">
        <v>356.0</v>
      </c>
      <c r="G12" s="25" t="s">
        <v>114</v>
      </c>
      <c r="H12" s="27">
        <v>29.75591545971603</v>
      </c>
      <c r="I12" s="27">
        <v>29.35770393964445</v>
      </c>
      <c r="J12" s="27">
        <v>28.96482152513954</v>
      </c>
      <c r="K12" s="27">
        <v>28.57719689891209</v>
      </c>
      <c r="L12" s="27">
        <v>28.19475969808368</v>
      </c>
      <c r="M12" s="27">
        <v>27.81744050141414</v>
      </c>
      <c r="N12" s="27">
        <v>27.4451708167</v>
      </c>
    </row>
    <row r="13">
      <c r="G13" s="25" t="s">
        <v>115</v>
      </c>
      <c r="H13" s="27">
        <v>2.906592096027744</v>
      </c>
      <c r="I13" s="27">
        <v>2.867694336072947</v>
      </c>
      <c r="J13" s="27">
        <v>2.829317129288157</v>
      </c>
      <c r="K13" s="27">
        <v>2.791453509318416</v>
      </c>
      <c r="L13" s="27">
        <v>2.754096603036715</v>
      </c>
      <c r="M13" s="27">
        <v>2.717239629296351</v>
      </c>
      <c r="N13" s="27">
        <v>2.6808758977</v>
      </c>
    </row>
    <row r="14">
      <c r="A14" s="1" t="s">
        <v>54</v>
      </c>
      <c r="G14" s="25" t="s">
        <v>116</v>
      </c>
      <c r="H14" s="27">
        <v>1.555368825263673</v>
      </c>
      <c r="I14" s="27">
        <v>1.534553946117417</v>
      </c>
      <c r="J14" s="27">
        <v>1.514017624176909</v>
      </c>
      <c r="K14" s="27">
        <v>1.493756131622433</v>
      </c>
      <c r="L14" s="27">
        <v>1.473765790522194</v>
      </c>
      <c r="M14" s="27">
        <v>1.454042972164686</v>
      </c>
      <c r="N14" s="27">
        <v>1.4345840964</v>
      </c>
    </row>
    <row r="15">
      <c r="A15" s="1" t="s">
        <v>58</v>
      </c>
      <c r="B15" s="10">
        <f>(B4/B2)^(1/B5)</f>
        <v>2.930988338</v>
      </c>
      <c r="G15" s="25" t="s">
        <v>117</v>
      </c>
      <c r="H15" s="27">
        <v>4.031115955588528</v>
      </c>
      <c r="I15" s="27">
        <v>3.977169142410056</v>
      </c>
      <c r="J15" s="27">
        <v>3.923944277864214</v>
      </c>
      <c r="K15" s="27">
        <v>3.87143170040109</v>
      </c>
      <c r="L15" s="27">
        <v>3.819621877767432</v>
      </c>
      <c r="M15" s="27">
        <v>3.768505405276319</v>
      </c>
      <c r="N15" s="27">
        <v>3.7180730041</v>
      </c>
    </row>
    <row r="16">
      <c r="A16" s="1"/>
      <c r="G16" s="25" t="s">
        <v>118</v>
      </c>
      <c r="H16" s="27">
        <v>12.58850087030525</v>
      </c>
      <c r="I16" s="27">
        <v>12.42003399608748</v>
      </c>
      <c r="J16" s="27">
        <v>12.25382164669367</v>
      </c>
      <c r="K16" s="27">
        <v>12.08983365071949</v>
      </c>
      <c r="L16" s="27">
        <v>11.92804024053243</v>
      </c>
      <c r="M16" s="27">
        <v>11.76841204686828</v>
      </c>
      <c r="N16" s="27">
        <v>11.6109200935</v>
      </c>
    </row>
    <row r="17">
      <c r="B17" s="1" t="s">
        <v>61</v>
      </c>
      <c r="C17" s="5">
        <f>(1000/(24*3600))*($B$10*C18*$B$7*$B$8/($B$6*$B$9))*(C19/(C19-1))*($B$15^(((C19-1)/C19))-1)</f>
        <v>25123.83279</v>
      </c>
      <c r="D17" s="12">
        <f>((22.26+((5.981*10^-2)*$E$12)+((-3.501*10^-5)*$E$12^2)+((7.469*10^-9)*$E$12^3))/44.01)/D18</f>
        <v>1.267002209</v>
      </c>
      <c r="G17" s="25" t="s">
        <v>119</v>
      </c>
      <c r="H17" s="27">
        <v>14.74894691349589</v>
      </c>
      <c r="I17" s="27">
        <v>14.55156765363647</v>
      </c>
      <c r="J17" s="27">
        <v>14.35682984149879</v>
      </c>
      <c r="K17" s="27">
        <v>14.16469812764404</v>
      </c>
      <c r="L17" s="27">
        <v>13.97513763570083</v>
      </c>
      <c r="M17" s="27">
        <v>13.78811395603431</v>
      </c>
      <c r="N17" s="27">
        <v>13.6035931395</v>
      </c>
    </row>
    <row r="18">
      <c r="B18" s="1" t="s">
        <v>63</v>
      </c>
      <c r="C18" s="1">
        <v>0.995</v>
      </c>
      <c r="D18" s="13">
        <f>((22.26+((5.981*10^-2)*$E$12)+((-3.501*10^-5)*$E$12^2)+((7.469*10^-9)*$E$12^3))/44.01)-(8.314/44.01)</f>
        <v>0.7075282686</v>
      </c>
    </row>
    <row r="19">
      <c r="A19" s="14">
        <v>1.277</v>
      </c>
      <c r="B19" s="1" t="s">
        <v>64</v>
      </c>
      <c r="C19" s="15">
        <f>D17/C18</f>
        <v>1.273369055</v>
      </c>
      <c r="D19" s="12">
        <f>D17/C18</f>
        <v>1.273369055</v>
      </c>
      <c r="H19" s="23" t="s">
        <v>121</v>
      </c>
      <c r="I19" s="7"/>
      <c r="J19" s="7"/>
      <c r="K19" s="7"/>
      <c r="L19" s="7"/>
      <c r="M19" s="7"/>
      <c r="N19" s="8"/>
    </row>
    <row r="20">
      <c r="H20" s="24">
        <v>2024.0</v>
      </c>
      <c r="I20" s="24">
        <v>2025.0</v>
      </c>
      <c r="J20" s="24">
        <v>2026.0</v>
      </c>
      <c r="K20" s="24">
        <v>2027.0</v>
      </c>
      <c r="L20" s="24">
        <v>2028.0</v>
      </c>
      <c r="M20" s="24">
        <v>2029.0</v>
      </c>
      <c r="N20" s="24">
        <v>2030.0</v>
      </c>
    </row>
    <row r="21">
      <c r="B21" s="1" t="s">
        <v>65</v>
      </c>
      <c r="C21" s="5">
        <f>(1000/(24*3600))*($B$10*C22*$B$7*$B$8/($B$6*$B$9))*(C23/(C23-1))*($B$15^(((C23-1)/C23))-1)</f>
        <v>24995.5809</v>
      </c>
      <c r="D21" s="12">
        <f>((22.26+((5.981*10^-2)*$E$12)+((-3.501*10^-5)*$E$12^2)+((7.469*10^-9)*$E$12^3))/44.01)/D22</f>
        <v>1.267002209</v>
      </c>
      <c r="G21" s="25" t="s">
        <v>114</v>
      </c>
      <c r="H21" s="26">
        <f t="shared" ref="H21:N21" si="1">H12*10^6</f>
        <v>29755915.46</v>
      </c>
      <c r="I21" s="26">
        <f t="shared" si="1"/>
        <v>29357703.94</v>
      </c>
      <c r="J21" s="26">
        <f t="shared" si="1"/>
        <v>28964821.53</v>
      </c>
      <c r="K21" s="26">
        <f t="shared" si="1"/>
        <v>28577196.9</v>
      </c>
      <c r="L21" s="26">
        <f t="shared" si="1"/>
        <v>28194759.7</v>
      </c>
      <c r="M21" s="26">
        <f t="shared" si="1"/>
        <v>27817440.5</v>
      </c>
      <c r="N21" s="26">
        <f t="shared" si="1"/>
        <v>27445170.82</v>
      </c>
    </row>
    <row r="22">
      <c r="B22" s="1" t="s">
        <v>63</v>
      </c>
      <c r="C22" s="1">
        <v>0.986</v>
      </c>
      <c r="D22" s="13">
        <f>((22.26+((5.981*10^-2)*$E$12)+((-3.501*10^-5)*$E$12^2)+((7.469*10^-9)*$E$12^3))/44.01)-(8.314/44.01)</f>
        <v>0.7075282686</v>
      </c>
      <c r="G22" s="25" t="s">
        <v>115</v>
      </c>
      <c r="H22" s="26">
        <f t="shared" ref="H22:N22" si="2">H13*10^6</f>
        <v>2906592.096</v>
      </c>
      <c r="I22" s="26">
        <f t="shared" si="2"/>
        <v>2867694.336</v>
      </c>
      <c r="J22" s="26">
        <f t="shared" si="2"/>
        <v>2829317.129</v>
      </c>
      <c r="K22" s="26">
        <f t="shared" si="2"/>
        <v>2791453.509</v>
      </c>
      <c r="L22" s="26">
        <f t="shared" si="2"/>
        <v>2754096.603</v>
      </c>
      <c r="M22" s="26">
        <f t="shared" si="2"/>
        <v>2717239.629</v>
      </c>
      <c r="N22" s="26">
        <f t="shared" si="2"/>
        <v>2680875.898</v>
      </c>
    </row>
    <row r="23">
      <c r="A23" s="14">
        <v>1.286</v>
      </c>
      <c r="B23" s="1" t="s">
        <v>64</v>
      </c>
      <c r="C23" s="15">
        <f>D21/C22</f>
        <v>1.284992099</v>
      </c>
      <c r="D23" s="12">
        <f>D21/C22</f>
        <v>1.284992099</v>
      </c>
      <c r="G23" s="25" t="s">
        <v>116</v>
      </c>
      <c r="H23" s="26">
        <f t="shared" ref="H23:N23" si="3">H14*10^6</f>
        <v>1555368.825</v>
      </c>
      <c r="I23" s="26">
        <f t="shared" si="3"/>
        <v>1534553.946</v>
      </c>
      <c r="J23" s="26">
        <f t="shared" si="3"/>
        <v>1514017.624</v>
      </c>
      <c r="K23" s="26">
        <f t="shared" si="3"/>
        <v>1493756.132</v>
      </c>
      <c r="L23" s="26">
        <f t="shared" si="3"/>
        <v>1473765.791</v>
      </c>
      <c r="M23" s="26">
        <f t="shared" si="3"/>
        <v>1454042.972</v>
      </c>
      <c r="N23" s="26">
        <f t="shared" si="3"/>
        <v>1434584.096</v>
      </c>
    </row>
    <row r="24">
      <c r="G24" s="25" t="s">
        <v>117</v>
      </c>
      <c r="H24" s="26">
        <f t="shared" ref="H24:N24" si="4">H15*10^6</f>
        <v>4031115.956</v>
      </c>
      <c r="I24" s="26">
        <f t="shared" si="4"/>
        <v>3977169.142</v>
      </c>
      <c r="J24" s="26">
        <f t="shared" si="4"/>
        <v>3923944.278</v>
      </c>
      <c r="K24" s="26">
        <f t="shared" si="4"/>
        <v>3871431.7</v>
      </c>
      <c r="L24" s="26">
        <f t="shared" si="4"/>
        <v>3819621.878</v>
      </c>
      <c r="M24" s="26">
        <f t="shared" si="4"/>
        <v>3768505.405</v>
      </c>
      <c r="N24" s="26">
        <f t="shared" si="4"/>
        <v>3718073.004</v>
      </c>
    </row>
    <row r="25">
      <c r="B25" s="1" t="s">
        <v>68</v>
      </c>
      <c r="C25" s="5">
        <f>(1000/(24*3600))*($B$10*C26*$B$7*$B$8/($B$6*$B$9))*(C27/(C27-1))*($B$15^(((C27-1)/C27))-1)</f>
        <v>24603.00052</v>
      </c>
      <c r="D25" s="12">
        <f>((22.26+((5.981*10^-2)*$E$12)+((-3.501*10^-5)*$E$12^2)+((7.469*10^-9)*$E$12^3))/44.01)/D26</f>
        <v>1.267002209</v>
      </c>
      <c r="G25" s="25" t="s">
        <v>118</v>
      </c>
      <c r="H25" s="26">
        <f t="shared" ref="H25:N25" si="5">H16*10^6</f>
        <v>12588500.87</v>
      </c>
      <c r="I25" s="26">
        <f t="shared" si="5"/>
        <v>12420034</v>
      </c>
      <c r="J25" s="26">
        <f t="shared" si="5"/>
        <v>12253821.65</v>
      </c>
      <c r="K25" s="26">
        <f t="shared" si="5"/>
        <v>12089833.65</v>
      </c>
      <c r="L25" s="26">
        <f t="shared" si="5"/>
        <v>11928040.24</v>
      </c>
      <c r="M25" s="26">
        <f t="shared" si="5"/>
        <v>11768412.05</v>
      </c>
      <c r="N25" s="26">
        <f t="shared" si="5"/>
        <v>11610920.09</v>
      </c>
    </row>
    <row r="26">
      <c r="B26" s="1" t="s">
        <v>63</v>
      </c>
      <c r="C26" s="1">
        <v>0.959</v>
      </c>
      <c r="D26" s="13">
        <f>((22.26+((5.981*10^-2)*$E$12)+((-3.501*10^-5)*$E$12^2)+((7.469*10^-9)*$E$12^3))/44.01)-(8.314/44.01)</f>
        <v>0.7075282686</v>
      </c>
      <c r="G26" s="25" t="s">
        <v>119</v>
      </c>
      <c r="H26" s="26">
        <f t="shared" ref="H26:N26" si="6">H17*10^6</f>
        <v>14748946.91</v>
      </c>
      <c r="I26" s="26">
        <f t="shared" si="6"/>
        <v>14551567.65</v>
      </c>
      <c r="J26" s="26">
        <f t="shared" si="6"/>
        <v>14356829.84</v>
      </c>
      <c r="K26" s="26">
        <f t="shared" si="6"/>
        <v>14164698.13</v>
      </c>
      <c r="L26" s="26">
        <f t="shared" si="6"/>
        <v>13975137.64</v>
      </c>
      <c r="M26" s="26">
        <f t="shared" si="6"/>
        <v>13788113.96</v>
      </c>
      <c r="N26" s="26">
        <f t="shared" si="6"/>
        <v>13603593.14</v>
      </c>
    </row>
    <row r="27">
      <c r="A27" s="14">
        <v>1.379</v>
      </c>
      <c r="B27" s="1" t="s">
        <v>64</v>
      </c>
      <c r="C27" s="15">
        <f>D25/C26</f>
        <v>1.321170187</v>
      </c>
      <c r="D27" s="12">
        <f>D25/C26</f>
        <v>1.321170187</v>
      </c>
    </row>
    <row r="28">
      <c r="H28" s="23" t="s">
        <v>122</v>
      </c>
      <c r="I28" s="7"/>
      <c r="J28" s="7"/>
      <c r="K28" s="7"/>
      <c r="L28" s="7"/>
      <c r="M28" s="7"/>
      <c r="N28" s="8"/>
    </row>
    <row r="29">
      <c r="B29" s="1" t="s">
        <v>69</v>
      </c>
      <c r="C29" s="5">
        <f>(1000/(24*3600))*($B$10*C30*$B$7*$B$8/($B$6*$B$9))*(C31/(C31-1))*($B$15^(((C31-1)/C31))-1)</f>
        <v>23303.64974</v>
      </c>
      <c r="D29" s="12">
        <f>((22.26+((5.981*10^-2)*$E$12)+((-3.501*10^-5)*$E$12^2)+((7.469*10^-9)*$E$12^3))/44.01)/D30</f>
        <v>1.267002209</v>
      </c>
      <c r="H29" s="24">
        <v>2024.0</v>
      </c>
      <c r="I29" s="24">
        <v>2025.0</v>
      </c>
      <c r="J29" s="24">
        <v>2026.0</v>
      </c>
      <c r="K29" s="24">
        <v>2027.0</v>
      </c>
      <c r="L29" s="24">
        <v>2028.0</v>
      </c>
      <c r="M29" s="24">
        <v>2029.0</v>
      </c>
      <c r="N29" s="24">
        <v>2030.0</v>
      </c>
    </row>
    <row r="30">
      <c r="B30" s="1" t="s">
        <v>63</v>
      </c>
      <c r="C30" s="1">
        <v>0.875</v>
      </c>
      <c r="D30" s="13">
        <f>((22.26+((5.981*10^-2)*$E$12)+((-3.501*10^-5)*$E$12^2)+((7.469*10^-9)*$E$12^3))/44.01)-(8.314/44.01)</f>
        <v>0.7075282686</v>
      </c>
      <c r="G30" s="25" t="s">
        <v>114</v>
      </c>
      <c r="H30" s="26">
        <f t="shared" ref="H30:N30" si="7">H3*0.76</f>
        <v>22921241.56</v>
      </c>
      <c r="I30" s="26">
        <f t="shared" si="7"/>
        <v>22921241.56</v>
      </c>
      <c r="J30" s="26">
        <f t="shared" si="7"/>
        <v>22921241.56</v>
      </c>
      <c r="K30" s="26">
        <f t="shared" si="7"/>
        <v>22921241.56</v>
      </c>
      <c r="L30" s="26">
        <f t="shared" si="7"/>
        <v>22921241.56</v>
      </c>
      <c r="M30" s="26">
        <f t="shared" si="7"/>
        <v>22921241.56</v>
      </c>
      <c r="N30" s="26">
        <f t="shared" si="7"/>
        <v>22921241.56</v>
      </c>
    </row>
    <row r="31">
      <c r="A31" s="14">
        <v>1.704</v>
      </c>
      <c r="B31" s="1" t="s">
        <v>64</v>
      </c>
      <c r="C31" s="15">
        <f>D29/C30</f>
        <v>1.448002525</v>
      </c>
      <c r="D31" s="12">
        <f>D29/C30</f>
        <v>1.448002525</v>
      </c>
      <c r="G31" s="25" t="s">
        <v>115</v>
      </c>
      <c r="H31" s="26">
        <f t="shared" ref="H31:N31" si="8">H4*0.76</f>
        <v>2238973.277</v>
      </c>
      <c r="I31" s="26">
        <f t="shared" si="8"/>
        <v>2238973.277</v>
      </c>
      <c r="J31" s="26">
        <f t="shared" si="8"/>
        <v>2238973.277</v>
      </c>
      <c r="K31" s="26">
        <f t="shared" si="8"/>
        <v>2238973.277</v>
      </c>
      <c r="L31" s="26">
        <f t="shared" si="8"/>
        <v>2238973.277</v>
      </c>
      <c r="M31" s="26">
        <f t="shared" si="8"/>
        <v>2238973.277</v>
      </c>
      <c r="N31" s="26">
        <f t="shared" si="8"/>
        <v>2238973.277</v>
      </c>
    </row>
    <row r="32">
      <c r="G32" s="25" t="s">
        <v>116</v>
      </c>
      <c r="H32" s="26">
        <f t="shared" ref="H32:N32" si="9">H5*0.76</f>
        <v>1198114.16</v>
      </c>
      <c r="I32" s="26">
        <f t="shared" si="9"/>
        <v>1198114.16</v>
      </c>
      <c r="J32" s="26">
        <f t="shared" si="9"/>
        <v>1198114.16</v>
      </c>
      <c r="K32" s="26">
        <f t="shared" si="9"/>
        <v>1198114.16</v>
      </c>
      <c r="L32" s="26">
        <f t="shared" si="9"/>
        <v>1198114.16</v>
      </c>
      <c r="M32" s="26">
        <f t="shared" si="9"/>
        <v>1198114.16</v>
      </c>
      <c r="N32" s="26">
        <f t="shared" si="9"/>
        <v>1198114.16</v>
      </c>
    </row>
    <row r="33">
      <c r="G33" s="25" t="s">
        <v>117</v>
      </c>
      <c r="H33" s="26">
        <f t="shared" ref="H33:N33" si="10">H6*0.76</f>
        <v>3105204.2</v>
      </c>
      <c r="I33" s="26">
        <f t="shared" si="10"/>
        <v>3105204.2</v>
      </c>
      <c r="J33" s="26">
        <f t="shared" si="10"/>
        <v>3105204.2</v>
      </c>
      <c r="K33" s="26">
        <f t="shared" si="10"/>
        <v>3105204.2</v>
      </c>
      <c r="L33" s="26">
        <f t="shared" si="10"/>
        <v>3105204.2</v>
      </c>
      <c r="M33" s="26">
        <f t="shared" si="10"/>
        <v>3105204.2</v>
      </c>
      <c r="N33" s="26">
        <f t="shared" si="10"/>
        <v>3105204.2</v>
      </c>
    </row>
    <row r="34">
      <c r="G34" s="25" t="s">
        <v>118</v>
      </c>
      <c r="H34" s="26">
        <f t="shared" ref="H34:N34" si="11">H7*0.76</f>
        <v>9697032.166</v>
      </c>
      <c r="I34" s="26">
        <f t="shared" si="11"/>
        <v>9697032.166</v>
      </c>
      <c r="J34" s="26">
        <f t="shared" si="11"/>
        <v>9697032.166</v>
      </c>
      <c r="K34" s="26">
        <f t="shared" si="11"/>
        <v>9697032.166</v>
      </c>
      <c r="L34" s="26">
        <f t="shared" si="11"/>
        <v>9697032.166</v>
      </c>
      <c r="M34" s="26">
        <f t="shared" si="11"/>
        <v>9697032.166</v>
      </c>
      <c r="N34" s="26">
        <f t="shared" si="11"/>
        <v>9697032.166</v>
      </c>
    </row>
    <row r="35">
      <c r="A35" s="1" t="s">
        <v>67</v>
      </c>
      <c r="B35" s="1">
        <f>ROUNDUP(H48/60000,0)</f>
        <v>5</v>
      </c>
      <c r="G35" s="25" t="s">
        <v>119</v>
      </c>
      <c r="H35" s="26">
        <f t="shared" ref="H35:N35" si="12">H8*0.76</f>
        <v>11361242.62</v>
      </c>
      <c r="I35" s="26">
        <f t="shared" si="12"/>
        <v>11361242.62</v>
      </c>
      <c r="J35" s="26">
        <f t="shared" si="12"/>
        <v>11361242.62</v>
      </c>
      <c r="K35" s="26">
        <f t="shared" si="12"/>
        <v>11361242.62</v>
      </c>
      <c r="L35" s="26">
        <f t="shared" si="12"/>
        <v>11361242.62</v>
      </c>
      <c r="M35" s="26">
        <f t="shared" si="12"/>
        <v>11361242.62</v>
      </c>
      <c r="N35" s="26">
        <f t="shared" si="12"/>
        <v>11361242.62</v>
      </c>
    </row>
    <row r="37">
      <c r="H37" s="23" t="s">
        <v>123</v>
      </c>
      <c r="I37" s="7"/>
      <c r="J37" s="7"/>
      <c r="K37" s="7"/>
      <c r="L37" s="7"/>
      <c r="M37" s="7"/>
      <c r="N37" s="8"/>
    </row>
    <row r="38">
      <c r="H38" s="24">
        <v>2024.0</v>
      </c>
      <c r="I38" s="24">
        <v>2025.0</v>
      </c>
      <c r="J38" s="24">
        <v>2026.0</v>
      </c>
      <c r="K38" s="24">
        <v>2027.0</v>
      </c>
      <c r="L38" s="24">
        <v>2028.0</v>
      </c>
      <c r="M38" s="24">
        <v>2029.0</v>
      </c>
      <c r="N38" s="24">
        <v>2030.0</v>
      </c>
    </row>
    <row r="39">
      <c r="G39" s="25" t="s">
        <v>114</v>
      </c>
      <c r="H39" s="26">
        <f t="shared" ref="H39:N39" si="13">H21*0.76</f>
        <v>22614495.75</v>
      </c>
      <c r="I39" s="26">
        <f t="shared" si="13"/>
        <v>22311854.99</v>
      </c>
      <c r="J39" s="26">
        <f t="shared" si="13"/>
        <v>22013264.36</v>
      </c>
      <c r="K39" s="26">
        <f t="shared" si="13"/>
        <v>21718669.64</v>
      </c>
      <c r="L39" s="26">
        <f t="shared" si="13"/>
        <v>21428017.37</v>
      </c>
      <c r="M39" s="26">
        <f t="shared" si="13"/>
        <v>21141254.78</v>
      </c>
      <c r="N39" s="26">
        <f t="shared" si="13"/>
        <v>20858329.82</v>
      </c>
      <c r="O39" s="19">
        <f t="shared" ref="O39:O44" si="15">N39/H39</f>
        <v>0.9223433523</v>
      </c>
      <c r="P39" s="5">
        <f t="shared" ref="P39:P44" si="16">H39/365</f>
        <v>61957.5226</v>
      </c>
    </row>
    <row r="40">
      <c r="G40" s="25" t="s">
        <v>115</v>
      </c>
      <c r="H40" s="26">
        <f t="shared" ref="H40:N40" si="14">H22*0.76</f>
        <v>2209009.993</v>
      </c>
      <c r="I40" s="26">
        <f t="shared" si="14"/>
        <v>2179447.695</v>
      </c>
      <c r="J40" s="26">
        <f t="shared" si="14"/>
        <v>2150281.018</v>
      </c>
      <c r="K40" s="26">
        <f t="shared" si="14"/>
        <v>2121504.667</v>
      </c>
      <c r="L40" s="26">
        <f t="shared" si="14"/>
        <v>2093113.418</v>
      </c>
      <c r="M40" s="26">
        <f t="shared" si="14"/>
        <v>2065102.118</v>
      </c>
      <c r="N40" s="26">
        <f t="shared" si="14"/>
        <v>2037465.682</v>
      </c>
      <c r="O40" s="19">
        <f t="shared" si="15"/>
        <v>0.9223433523</v>
      </c>
      <c r="P40" s="5">
        <f t="shared" si="16"/>
        <v>6052.082173</v>
      </c>
    </row>
    <row r="41">
      <c r="G41" s="25" t="s">
        <v>116</v>
      </c>
      <c r="H41" s="26">
        <f t="shared" ref="H41:N41" si="17">H23*0.76</f>
        <v>1182080.307</v>
      </c>
      <c r="I41" s="26">
        <f t="shared" si="17"/>
        <v>1166260.999</v>
      </c>
      <c r="J41" s="26">
        <f t="shared" si="17"/>
        <v>1150653.394</v>
      </c>
      <c r="K41" s="26">
        <f t="shared" si="17"/>
        <v>1135254.66</v>
      </c>
      <c r="L41" s="26">
        <f t="shared" si="17"/>
        <v>1120062.001</v>
      </c>
      <c r="M41" s="26">
        <f t="shared" si="17"/>
        <v>1105072.659</v>
      </c>
      <c r="N41" s="26">
        <f t="shared" si="17"/>
        <v>1090283.913</v>
      </c>
      <c r="O41" s="19">
        <f t="shared" si="15"/>
        <v>0.9223433523</v>
      </c>
      <c r="P41" s="5">
        <f t="shared" si="16"/>
        <v>3238.576184</v>
      </c>
    </row>
    <row r="42">
      <c r="G42" s="25" t="s">
        <v>117</v>
      </c>
      <c r="H42" s="26">
        <f t="shared" ref="H42:N42" si="18">H24*0.76</f>
        <v>3063648.126</v>
      </c>
      <c r="I42" s="26">
        <f t="shared" si="18"/>
        <v>3022648.548</v>
      </c>
      <c r="J42" s="26">
        <f t="shared" si="18"/>
        <v>2982197.651</v>
      </c>
      <c r="K42" s="26">
        <f t="shared" si="18"/>
        <v>2942288.092</v>
      </c>
      <c r="L42" s="26">
        <f t="shared" si="18"/>
        <v>2902912.627</v>
      </c>
      <c r="M42" s="26">
        <f t="shared" si="18"/>
        <v>2864064.108</v>
      </c>
      <c r="N42" s="26">
        <f t="shared" si="18"/>
        <v>2825735.483</v>
      </c>
      <c r="O42" s="19">
        <f t="shared" si="15"/>
        <v>0.9223433523</v>
      </c>
      <c r="P42" s="5">
        <f t="shared" si="16"/>
        <v>8393.55651</v>
      </c>
    </row>
    <row r="43">
      <c r="G43" s="25" t="s">
        <v>118</v>
      </c>
      <c r="H43" s="26">
        <f t="shared" ref="H43:N43" si="19">H25*0.76</f>
        <v>9567260.661</v>
      </c>
      <c r="I43" s="26">
        <f t="shared" si="19"/>
        <v>9439225.837</v>
      </c>
      <c r="J43" s="26">
        <f t="shared" si="19"/>
        <v>9312904.451</v>
      </c>
      <c r="K43" s="26">
        <f t="shared" si="19"/>
        <v>9188273.575</v>
      </c>
      <c r="L43" s="26">
        <f t="shared" si="19"/>
        <v>9065310.583</v>
      </c>
      <c r="M43" s="26">
        <f t="shared" si="19"/>
        <v>8943993.156</v>
      </c>
      <c r="N43" s="26">
        <f t="shared" si="19"/>
        <v>8824299.271</v>
      </c>
      <c r="O43" s="19">
        <f t="shared" si="15"/>
        <v>0.9223433523</v>
      </c>
      <c r="P43" s="5">
        <f t="shared" si="16"/>
        <v>26211.67305</v>
      </c>
    </row>
    <row r="44">
      <c r="G44" s="25" t="s">
        <v>119</v>
      </c>
      <c r="H44" s="26">
        <f t="shared" ref="H44:N44" si="20">H26*0.76</f>
        <v>11209199.65</v>
      </c>
      <c r="I44" s="26">
        <f t="shared" si="20"/>
        <v>11059191.42</v>
      </c>
      <c r="J44" s="26">
        <f t="shared" si="20"/>
        <v>10911190.68</v>
      </c>
      <c r="K44" s="26">
        <f t="shared" si="20"/>
        <v>10765170.58</v>
      </c>
      <c r="L44" s="26">
        <f t="shared" si="20"/>
        <v>10621104.6</v>
      </c>
      <c r="M44" s="26">
        <f t="shared" si="20"/>
        <v>10478966.61</v>
      </c>
      <c r="N44" s="26">
        <f t="shared" si="20"/>
        <v>10338730.79</v>
      </c>
      <c r="O44" s="19">
        <f t="shared" si="15"/>
        <v>0.9223433523</v>
      </c>
      <c r="P44" s="5">
        <f t="shared" si="16"/>
        <v>30710.13604</v>
      </c>
    </row>
    <row r="46">
      <c r="H46" s="23" t="s">
        <v>124</v>
      </c>
      <c r="I46" s="7"/>
      <c r="J46" s="7"/>
      <c r="K46" s="7"/>
      <c r="L46" s="7"/>
      <c r="M46" s="7"/>
      <c r="N46" s="8"/>
    </row>
    <row r="47">
      <c r="H47" s="24">
        <v>2024.0</v>
      </c>
      <c r="I47" s="24">
        <v>2025.0</v>
      </c>
      <c r="J47" s="24">
        <v>2026.0</v>
      </c>
      <c r="K47" s="24">
        <v>2027.0</v>
      </c>
      <c r="L47" s="24">
        <v>2028.0</v>
      </c>
      <c r="M47" s="24">
        <v>2029.0</v>
      </c>
      <c r="N47" s="24">
        <v>2030.0</v>
      </c>
    </row>
    <row r="48">
      <c r="G48" s="25" t="s">
        <v>125</v>
      </c>
      <c r="H48" s="28">
        <f t="shared" ref="H48:N48" si="21">((1000/(24*3600))*((H30/365)*$C$18*$B$7*$B$8/($B$6*$B$9))*($C$19/($C$19-1))*($B$15^((($C$19-1)/$C$19))-1))+((1000/(24*3600))*((H30/365)*$C$22*$B$7*$B$8/($B$6*$B$9))*($C$23/($C$23-1))*($B$15^((($C$23-1)/$C$23))-1))+((1000/(24*3600))*((H30/365)*$C$26*$B$7*$B$8/($B$6*$B$9))*($C$27/($C$27-1))*($B$15^((($C$27-1)/$C$27))-1))+((1000/(24*3600))*((H30/365)*$C$30*$B$7*$B$8/($B$6*$B$9))*($C$31/($C$31-1))*($B$15^((($C$31-1)/$C$31))-1))</f>
        <v>246233.3251</v>
      </c>
      <c r="I48" s="28">
        <f t="shared" si="21"/>
        <v>246233.3251</v>
      </c>
      <c r="J48" s="28">
        <f t="shared" si="21"/>
        <v>246233.3251</v>
      </c>
      <c r="K48" s="28">
        <f t="shared" si="21"/>
        <v>246233.3251</v>
      </c>
      <c r="L48" s="28">
        <f t="shared" si="21"/>
        <v>246233.3251</v>
      </c>
      <c r="M48" s="28">
        <f t="shared" si="21"/>
        <v>246233.3251</v>
      </c>
      <c r="N48" s="28">
        <f t="shared" si="21"/>
        <v>246233.3251</v>
      </c>
    </row>
    <row r="49">
      <c r="G49" s="25" t="s">
        <v>126</v>
      </c>
      <c r="H49" s="28">
        <f t="shared" ref="H49:N49" si="22">((1000/(24*3600))*((H31/365)*$C$18*$B$7*$B$8/($B$6*$B$9))*($C$19/($C$19-1))*($B$15^((($C$19-1)/$C$19))-1))+((1000/(24*3600))*((H31/365)*$C$22*$B$7*$B$8/($B$6*$B$9))*($C$23/($C$23-1))*($B$15^((($C$23-1)/$C$23))-1))+((1000/(24*3600))*((H31/365)*$C$26*$B$7*$B$8/($B$6*$B$9))*($C$27/($C$27-1))*($B$15^((($C$27-1)/$C$27))-1))+((1000/(24*3600))*((H31/365)*$C$30*$B$7*$B$8/($B$6*$B$9))*($C$31/($C$31-1))*($B$15^((($C$31-1)/$C$31))-1))</f>
        <v>24052.35481</v>
      </c>
      <c r="I49" s="28">
        <f t="shared" si="22"/>
        <v>24052.35481</v>
      </c>
      <c r="J49" s="28">
        <f t="shared" si="22"/>
        <v>24052.35481</v>
      </c>
      <c r="K49" s="28">
        <f t="shared" si="22"/>
        <v>24052.35481</v>
      </c>
      <c r="L49" s="28">
        <f t="shared" si="22"/>
        <v>24052.35481</v>
      </c>
      <c r="M49" s="28">
        <f t="shared" si="22"/>
        <v>24052.35481</v>
      </c>
      <c r="N49" s="28">
        <f t="shared" si="22"/>
        <v>24052.35481</v>
      </c>
    </row>
    <row r="50">
      <c r="G50" s="25" t="s">
        <v>127</v>
      </c>
      <c r="H50" s="28">
        <f t="shared" ref="H50:N50" si="23">((1000/(24*3600))*((H32/365)*$C$18*$B$7*$B$8/($B$6*$B$9))*($C$19/($C$19-1))*($B$15^((($C$19-1)/$C$19))-1))+((1000/(24*3600))*((H32/365)*$C$22*$B$7*$B$8/($B$6*$B$9))*($C$23/($C$23-1))*($B$15^((($C$23-1)/$C$23))-1))+((1000/(24*3600))*((H32/365)*$C$26*$B$7*$B$8/($B$6*$B$9))*($C$27/($C$27-1))*($B$15^((($C$27-1)/$C$27))-1))+((1000/(24*3600))*((H32/365)*$C$30*$B$7*$B$8/($B$6*$B$9))*($C$31/($C$31-1))*($B$15^((($C$31-1)/$C$31))-1))</f>
        <v>12870.84003</v>
      </c>
      <c r="I50" s="28">
        <f t="shared" si="23"/>
        <v>12870.84003</v>
      </c>
      <c r="J50" s="28">
        <f t="shared" si="23"/>
        <v>12870.84003</v>
      </c>
      <c r="K50" s="28">
        <f t="shared" si="23"/>
        <v>12870.84003</v>
      </c>
      <c r="L50" s="28">
        <f t="shared" si="23"/>
        <v>12870.84003</v>
      </c>
      <c r="M50" s="28">
        <f t="shared" si="23"/>
        <v>12870.84003</v>
      </c>
      <c r="N50" s="28">
        <f t="shared" si="23"/>
        <v>12870.84003</v>
      </c>
    </row>
    <row r="51">
      <c r="G51" s="25" t="s">
        <v>128</v>
      </c>
      <c r="H51" s="28">
        <f t="shared" ref="H51:N51" si="24">((1000/(24*3600))*((H33/365)*$C$18*$B$7*$B$8/($B$6*$B$9))*($C$19/($C$19-1))*($B$15^((($C$19-1)/$C$19))-1))+((1000/(24*3600))*((H33/365)*$C$22*$B$7*$B$8/($B$6*$B$9))*($C$23/($C$23-1))*($B$15^((($C$23-1)/$C$23))-1))+((1000/(24*3600))*((H33/365)*$C$26*$B$7*$B$8/($B$6*$B$9))*($C$27/($C$27-1))*($B$15^((($C$27-1)/$C$27))-1))+((1000/(24*3600))*((H33/365)*$C$30*$B$7*$B$8/($B$6*$B$9))*($C$31/($C$31-1))*($B$15^((($C$31-1)/$C$31))-1))</f>
        <v>33357.91184</v>
      </c>
      <c r="I51" s="28">
        <f t="shared" si="24"/>
        <v>33357.91184</v>
      </c>
      <c r="J51" s="28">
        <f t="shared" si="24"/>
        <v>33357.91184</v>
      </c>
      <c r="K51" s="28">
        <f t="shared" si="24"/>
        <v>33357.91184</v>
      </c>
      <c r="L51" s="28">
        <f t="shared" si="24"/>
        <v>33357.91184</v>
      </c>
      <c r="M51" s="28">
        <f t="shared" si="24"/>
        <v>33357.91184</v>
      </c>
      <c r="N51" s="28">
        <f t="shared" si="24"/>
        <v>33357.91184</v>
      </c>
    </row>
    <row r="52">
      <c r="G52" s="25" t="s">
        <v>129</v>
      </c>
      <c r="H52" s="28">
        <f t="shared" ref="H52:N52" si="25">((1000/(24*3600))*((H34/365)*$C$18*$B$7*$B$8/($B$6*$B$9))*($C$19/($C$19-1))*($B$15^((($C$19-1)/$C$19))-1))+((1000/(24*3600))*((H34/365)*$C$22*$B$7*$B$8/($B$6*$B$9))*($C$23/($C$23-1))*($B$15^((($C$23-1)/$C$23))-1))+((1000/(24*3600))*((H34/365)*$C$26*$B$7*$B$8/($B$6*$B$9))*($C$27/($C$27-1))*($B$15^((($C$27-1)/$C$27))-1))+((1000/(24*3600))*((H34/365)*$C$30*$B$7*$B$8/($B$6*$B$9))*($C$31/($C$31-1))*($B$15^((($C$31-1)/$C$31))-1))</f>
        <v>104171.1666</v>
      </c>
      <c r="I52" s="28">
        <f t="shared" si="25"/>
        <v>104171.1666</v>
      </c>
      <c r="J52" s="28">
        <f t="shared" si="25"/>
        <v>104171.1666</v>
      </c>
      <c r="K52" s="28">
        <f t="shared" si="25"/>
        <v>104171.1666</v>
      </c>
      <c r="L52" s="28">
        <f t="shared" si="25"/>
        <v>104171.1666</v>
      </c>
      <c r="M52" s="28">
        <f t="shared" si="25"/>
        <v>104171.1666</v>
      </c>
      <c r="N52" s="28">
        <f t="shared" si="25"/>
        <v>104171.1666</v>
      </c>
    </row>
    <row r="53">
      <c r="G53" s="25" t="s">
        <v>130</v>
      </c>
      <c r="H53" s="28">
        <f t="shared" ref="H53:N53" si="26">((1000/(24*3600))*((H35/365)*$C$18*$B$7*$B$8/($B$6*$B$9))*($C$19/($C$19-1))*($B$15^((($C$19-1)/$C$19))-1))+((1000/(24*3600))*((H35/365)*$C$22*$B$7*$B$8/($B$6*$B$9))*($C$23/($C$23-1))*($B$15^((($C$23-1)/$C$23))-1))+((1000/(24*3600))*((H35/365)*$C$26*$B$7*$B$8/($B$6*$B$9))*($C$27/($C$27-1))*($B$15^((($C$27-1)/$C$27))-1))+((1000/(24*3600))*((H35/365)*$C$30*$B$7*$B$8/($B$6*$B$9))*($C$31/($C$31-1))*($B$15^((($C$31-1)/$C$31))-1))</f>
        <v>122049.0845</v>
      </c>
      <c r="I53" s="28">
        <f t="shared" si="26"/>
        <v>122049.0845</v>
      </c>
      <c r="J53" s="28">
        <f t="shared" si="26"/>
        <v>122049.0845</v>
      </c>
      <c r="K53" s="28">
        <f t="shared" si="26"/>
        <v>122049.0845</v>
      </c>
      <c r="L53" s="28">
        <f t="shared" si="26"/>
        <v>122049.0845</v>
      </c>
      <c r="M53" s="28">
        <f t="shared" si="26"/>
        <v>122049.0845</v>
      </c>
      <c r="N53" s="28">
        <f t="shared" si="26"/>
        <v>122049.0845</v>
      </c>
    </row>
    <row r="55">
      <c r="H55" s="23" t="s">
        <v>131</v>
      </c>
      <c r="I55" s="7"/>
      <c r="J55" s="7"/>
      <c r="K55" s="7"/>
      <c r="L55" s="7"/>
      <c r="M55" s="7"/>
      <c r="N55" s="8"/>
    </row>
    <row r="56">
      <c r="H56" s="24">
        <v>2024.0</v>
      </c>
      <c r="I56" s="24">
        <v>2025.0</v>
      </c>
      <c r="J56" s="24">
        <v>2026.0</v>
      </c>
      <c r="K56" s="24">
        <v>2027.0</v>
      </c>
      <c r="L56" s="24">
        <v>2028.0</v>
      </c>
      <c r="M56" s="24">
        <v>2029.0</v>
      </c>
      <c r="N56" s="24">
        <v>2030.0</v>
      </c>
    </row>
    <row r="57">
      <c r="G57" s="25" t="s">
        <v>132</v>
      </c>
      <c r="H57" s="28">
        <f t="shared" ref="H57:N57" si="27">((1000/(24*3600))*((H39/365)*$C$18*$B$7*$B$8/($B$6*$B$9))*($C$19/($C$19-1))*($B$15^((($C$19-1)/$C$19))-1))+((1000/(24*3600))*((H39/365)*$C$22*$B$7*$B$8/($B$6*$B$9))*($C$23/($C$23-1))*($B$15^((($C$23-1)/$C$23))-1))+((1000/(24*3600))*((H39/365)*$C$26*$B$7*$B$8/($B$6*$B$9))*($C$27/($C$27-1))*($B$15^((($C$27-1)/$C$27))-1))+((1000/(24*3600))*((H39/365)*$C$30*$B$7*$B$8/($B$6*$B$9))*($C$31/($C$31-1))*($B$15^((($C$31-1)/$C$31))-1))</f>
        <v>242938.0829</v>
      </c>
      <c r="I57" s="28">
        <f t="shared" si="27"/>
        <v>239686.9397</v>
      </c>
      <c r="J57" s="28">
        <f t="shared" si="27"/>
        <v>236479.3052</v>
      </c>
      <c r="K57" s="28">
        <f t="shared" si="27"/>
        <v>233314.5972</v>
      </c>
      <c r="L57" s="28">
        <f t="shared" si="27"/>
        <v>230192.2412</v>
      </c>
      <c r="M57" s="28">
        <f t="shared" si="27"/>
        <v>227111.6705</v>
      </c>
      <c r="N57" s="28">
        <f t="shared" si="27"/>
        <v>224072.3258</v>
      </c>
    </row>
    <row r="58">
      <c r="G58" s="25" t="s">
        <v>133</v>
      </c>
      <c r="H58" s="28">
        <f t="shared" ref="H58:N58" si="28">((1000/(24*3600))*((H40/365)*$C$18*$B$7*$B$8/($B$6*$B$9))*($C$19/($C$19-1))*($B$15^((($C$19-1)/$C$19))-1))+((1000/(24*3600))*((H40/365)*$C$22*$B$7*$B$8/($B$6*$B$9))*($C$23/($C$23-1))*($B$15^((($C$23-1)/$C$23))-1))+((1000/(24*3600))*((H40/365)*$C$26*$B$7*$B$8/($B$6*$B$9))*($C$27/($C$27-1))*($B$15^((($C$27-1)/$C$27))-1))+((1000/(24*3600))*((H40/365)*$C$30*$B$7*$B$8/($B$6*$B$9))*($C$31/($C$31-1))*($B$15^((($C$31-1)/$C$31))-1))</f>
        <v>23730.47177</v>
      </c>
      <c r="I58" s="28">
        <f t="shared" si="28"/>
        <v>23412.89635</v>
      </c>
      <c r="J58" s="28">
        <f t="shared" si="28"/>
        <v>23099.57092</v>
      </c>
      <c r="K58" s="28">
        <f t="shared" si="28"/>
        <v>22790.4386</v>
      </c>
      <c r="L58" s="28">
        <f t="shared" si="28"/>
        <v>22485.44327</v>
      </c>
      <c r="M58" s="28">
        <f t="shared" si="28"/>
        <v>22184.52957</v>
      </c>
      <c r="N58" s="28">
        <f t="shared" si="28"/>
        <v>21887.64288</v>
      </c>
    </row>
    <row r="59">
      <c r="G59" s="25" t="s">
        <v>134</v>
      </c>
      <c r="H59" s="28">
        <f t="shared" ref="H59:N59" si="29">((1000/(24*3600))*((H41/365)*$C$18*$B$7*$B$8/($B$6*$B$9))*($C$19/($C$19-1))*($B$15^((($C$19-1)/$C$19))-1))+((1000/(24*3600))*((H41/365)*$C$22*$B$7*$B$8/($B$6*$B$9))*($C$23/($C$23-1))*($B$15^((($C$23-1)/$C$23))-1))+((1000/(24*3600))*((H41/365)*$C$26*$B$7*$B$8/($B$6*$B$9))*($C$27/($C$27-1))*($B$15^((($C$27-1)/$C$27))-1))+((1000/(24*3600))*((H41/365)*$C$30*$B$7*$B$8/($B$6*$B$9))*($C$31/($C$31-1))*($B$15^((($C$31-1)/$C$31))-1))</f>
        <v>12698.59505</v>
      </c>
      <c r="I59" s="28">
        <f t="shared" si="29"/>
        <v>12528.65483</v>
      </c>
      <c r="J59" s="28">
        <f t="shared" si="29"/>
        <v>12360.98885</v>
      </c>
      <c r="K59" s="28">
        <f t="shared" si="29"/>
        <v>12195.56668</v>
      </c>
      <c r="L59" s="28">
        <f t="shared" si="29"/>
        <v>12032.35828</v>
      </c>
      <c r="M59" s="28">
        <f t="shared" si="29"/>
        <v>11871.33404</v>
      </c>
      <c r="N59" s="28">
        <f t="shared" si="29"/>
        <v>11712.46473</v>
      </c>
    </row>
    <row r="60">
      <c r="G60" s="25" t="s">
        <v>135</v>
      </c>
      <c r="H60" s="28">
        <f t="shared" ref="H60:N60" si="30">((1000/(24*3600))*((H42/365)*$C$18*$B$7*$B$8/($B$6*$B$9))*($C$19/($C$19-1))*($B$15^((($C$19-1)/$C$19))-1))+((1000/(24*3600))*((H42/365)*$C$22*$B$7*$B$8/($B$6*$B$9))*($C$23/($C$23-1))*($B$15^((($C$23-1)/$C$23))-1))+((1000/(24*3600))*((H42/365)*$C$26*$B$7*$B$8/($B$6*$B$9))*($C$27/($C$27-1))*($B$15^((($C$27-1)/$C$27))-1))+((1000/(24*3600))*((H42/365)*$C$30*$B$7*$B$8/($B$6*$B$9))*($C$31/($C$31-1))*($B$15^((($C$31-1)/$C$31))-1))</f>
        <v>32911.49229</v>
      </c>
      <c r="I60" s="28">
        <f t="shared" si="30"/>
        <v>32471.05095</v>
      </c>
      <c r="J60" s="28">
        <f t="shared" si="30"/>
        <v>32036.50386</v>
      </c>
      <c r="K60" s="28">
        <f t="shared" si="30"/>
        <v>31607.77213</v>
      </c>
      <c r="L60" s="28">
        <f t="shared" si="30"/>
        <v>31184.77796</v>
      </c>
      <c r="M60" s="28">
        <f t="shared" si="30"/>
        <v>30767.44454</v>
      </c>
      <c r="N60" s="28">
        <f t="shared" si="30"/>
        <v>30355.69613</v>
      </c>
    </row>
    <row r="61">
      <c r="G61" s="25" t="s">
        <v>136</v>
      </c>
      <c r="H61" s="28">
        <f t="shared" ref="H61:N61" si="31">((1000/(24*3600))*((H43/365)*$C$18*$B$7*$B$8/($B$6*$B$9))*($C$19/($C$19-1))*($B$15^((($C$19-1)/$C$19))-1))+((1000/(24*3600))*((H43/365)*$C$22*$B$7*$B$8/($B$6*$B$9))*($C$23/($C$23-1))*($B$15^((($C$23-1)/$C$23))-1))+((1000/(24*3600))*((H43/365)*$C$26*$B$7*$B$8/($B$6*$B$9))*($C$27/($C$27-1))*($B$15^((($C$27-1)/$C$27))-1))+((1000/(24*3600))*((H43/365)*$C$30*$B$7*$B$8/($B$6*$B$9))*($C$31/($C$31-1))*($B$15^((($C$31-1)/$C$31))-1))</f>
        <v>102777.0855</v>
      </c>
      <c r="I61" s="28">
        <f t="shared" si="31"/>
        <v>101401.6609</v>
      </c>
      <c r="J61" s="28">
        <f t="shared" si="31"/>
        <v>100044.643</v>
      </c>
      <c r="K61" s="28">
        <f t="shared" si="31"/>
        <v>98705.78555</v>
      </c>
      <c r="L61" s="28">
        <f t="shared" si="31"/>
        <v>97384.84548</v>
      </c>
      <c r="M61" s="28">
        <f t="shared" si="31"/>
        <v>96081.58303</v>
      </c>
      <c r="N61" s="28">
        <f t="shared" si="31"/>
        <v>94795.76162</v>
      </c>
    </row>
    <row r="62">
      <c r="G62" s="25" t="s">
        <v>137</v>
      </c>
      <c r="H62" s="28">
        <f t="shared" ref="H62:N62" si="32">((1000/(24*3600))*((H44/365)*$C$18*$B$7*$B$8/($B$6*$B$9))*($C$19/($C$19-1))*($B$15^((($C$19-1)/$C$19))-1))+((1000/(24*3600))*((H44/365)*$C$22*$B$7*$B$8/($B$6*$B$9))*($C$23/($C$23-1))*($B$15^((($C$23-1)/$C$23))-1))+((1000/(24*3600))*((H44/365)*$C$26*$B$7*$B$8/($B$6*$B$9))*($C$27/($C$27-1))*($B$15^((($C$27-1)/$C$27))-1))+((1000/(24*3600))*((H44/365)*$C$30*$B$7*$B$8/($B$6*$B$9))*($C$31/($C$31-1))*($B$15^((($C$31-1)/$C$31))-1))</f>
        <v>120415.7504</v>
      </c>
      <c r="I62" s="28">
        <f t="shared" si="32"/>
        <v>118804.2745</v>
      </c>
      <c r="J62" s="28">
        <f t="shared" si="32"/>
        <v>117214.3644</v>
      </c>
      <c r="K62" s="28">
        <f t="shared" si="32"/>
        <v>115645.7315</v>
      </c>
      <c r="L62" s="28">
        <f t="shared" si="32"/>
        <v>114098.0909</v>
      </c>
      <c r="M62" s="28">
        <f t="shared" si="32"/>
        <v>112571.1617</v>
      </c>
      <c r="N62" s="28">
        <f t="shared" si="32"/>
        <v>111064.6669</v>
      </c>
    </row>
    <row r="100">
      <c r="A100" s="1" t="s">
        <v>77</v>
      </c>
      <c r="B100" s="1">
        <v>0.0936</v>
      </c>
      <c r="H100" s="23" t="s">
        <v>138</v>
      </c>
      <c r="I100" s="7"/>
      <c r="J100" s="7"/>
      <c r="K100" s="7"/>
      <c r="L100" s="7"/>
      <c r="M100" s="7"/>
      <c r="N100" s="8"/>
    </row>
    <row r="101">
      <c r="A101" s="1" t="s">
        <v>92</v>
      </c>
      <c r="B101" s="1">
        <v>0.05</v>
      </c>
      <c r="H101" s="24">
        <v>2024.0</v>
      </c>
      <c r="I101" s="24">
        <v>2025.0</v>
      </c>
      <c r="J101" s="24">
        <v>2026.0</v>
      </c>
      <c r="K101" s="24">
        <v>2027.0</v>
      </c>
      <c r="L101" s="24">
        <v>2028.0</v>
      </c>
      <c r="M101" s="24">
        <v>2029.0</v>
      </c>
      <c r="N101" s="24">
        <v>2030.0</v>
      </c>
    </row>
    <row r="102">
      <c r="A102" s="1" t="s">
        <v>93</v>
      </c>
      <c r="B102" s="15">
        <v>0.0815</v>
      </c>
      <c r="G102" s="25" t="s">
        <v>125</v>
      </c>
      <c r="H102" s="28">
        <f t="shared" ref="H102:N102" si="33">(((1000*H30/365)/(24*3600*(ROUNDUP(H48/60000,0))))*(ROUNDUP(H48/60000,0)))*(((0.13*(10^6))/(((1000*H30/365)/(24*3600*(ROUNDUP(H48/60000,0))))^0.71))+(((1.14*(10^6))*(ln($B$4/$B$2)))/(((1000*H30/365)/(24*3600*(ROUNDUP(H48/60000,0))))^0.6)))*2.107</f>
        <v>384359115.4</v>
      </c>
      <c r="I102" s="28">
        <f t="shared" si="33"/>
        <v>384359115.4</v>
      </c>
      <c r="J102" s="28">
        <f t="shared" si="33"/>
        <v>384359115.4</v>
      </c>
      <c r="K102" s="28">
        <f t="shared" si="33"/>
        <v>384359115.4</v>
      </c>
      <c r="L102" s="28">
        <f t="shared" si="33"/>
        <v>384359115.4</v>
      </c>
      <c r="M102" s="28">
        <f t="shared" si="33"/>
        <v>384359115.4</v>
      </c>
      <c r="N102" s="28">
        <f t="shared" si="33"/>
        <v>384359115.4</v>
      </c>
    </row>
    <row r="103">
      <c r="A103" s="1" t="s">
        <v>71</v>
      </c>
      <c r="B103" s="1">
        <v>0.8</v>
      </c>
      <c r="G103" s="25" t="s">
        <v>126</v>
      </c>
      <c r="H103" s="28">
        <f t="shared" ref="H103:N103" si="34">(((1000*H31/365)/(24*3600*(ROUNDUP(H49/60000,0))))*(ROUNDUP(H49/60000,0)))*(((0.13*(10^6))/(((1000*H31/365)/(24*3600*(ROUNDUP(H49/60000,0))))^0.71))+(((1.14*(10^6))*(ln($B$4/$B$2)))/(((1000*H31/365)/(24*3600*(ROUNDUP(H49/60000,0))))^0.6)))*2.107</f>
        <v>57785248.65</v>
      </c>
      <c r="I103" s="28">
        <f t="shared" si="34"/>
        <v>57785248.65</v>
      </c>
      <c r="J103" s="28">
        <f t="shared" si="34"/>
        <v>57785248.65</v>
      </c>
      <c r="K103" s="28">
        <f t="shared" si="34"/>
        <v>57785248.65</v>
      </c>
      <c r="L103" s="28">
        <f t="shared" si="34"/>
        <v>57785248.65</v>
      </c>
      <c r="M103" s="28">
        <f t="shared" si="34"/>
        <v>57785248.65</v>
      </c>
      <c r="N103" s="28">
        <f t="shared" si="34"/>
        <v>57785248.65</v>
      </c>
    </row>
    <row r="104">
      <c r="D104" s="5"/>
      <c r="G104" s="25" t="s">
        <v>127</v>
      </c>
      <c r="H104" s="28">
        <f t="shared" ref="H104:N104" si="35">(((1000*H32/365)/(24*3600*(ROUNDUP(H50/60000,0))))*(ROUNDUP(H50/60000,0)))*(((0.13*(10^6))/(((1000*H32/365)/(24*3600*(ROUNDUP(H50/60000,0))))^0.71))+(((1.14*(10^6))*(ln($B$4/$B$2)))/(((1000*H32/365)/(24*3600*(ROUNDUP(H50/60000,0))))^0.6)))*2.107</f>
        <v>45050640.84</v>
      </c>
      <c r="I104" s="28">
        <f t="shared" si="35"/>
        <v>45050640.84</v>
      </c>
      <c r="J104" s="28">
        <f t="shared" si="35"/>
        <v>45050640.84</v>
      </c>
      <c r="K104" s="28">
        <f t="shared" si="35"/>
        <v>45050640.84</v>
      </c>
      <c r="L104" s="28">
        <f t="shared" si="35"/>
        <v>45050640.84</v>
      </c>
      <c r="M104" s="28">
        <f t="shared" si="35"/>
        <v>45050640.84</v>
      </c>
      <c r="N104" s="28">
        <f t="shared" si="35"/>
        <v>45050640.84</v>
      </c>
    </row>
    <row r="105">
      <c r="G105" s="25" t="s">
        <v>128</v>
      </c>
      <c r="H105" s="28">
        <f t="shared" ref="H105:N105" si="36">(((1000*H33/365)/(24*3600*(ROUNDUP(H51/60000,0))))*(ROUNDUP(H51/60000,0)))*(((0.13*(10^6))/(((1000*H33/365)/(24*3600*(ROUNDUP(H51/60000,0))))^0.71))+(((1.14*(10^6))*(ln($B$4/$B$2)))/(((1000*H33/365)/(24*3600*(ROUNDUP(H51/60000,0))))^0.6)))*2.107</f>
        <v>65823806.87</v>
      </c>
      <c r="I105" s="28">
        <f t="shared" si="36"/>
        <v>65823806.87</v>
      </c>
      <c r="J105" s="28">
        <f t="shared" si="36"/>
        <v>65823806.87</v>
      </c>
      <c r="K105" s="28">
        <f t="shared" si="36"/>
        <v>65823806.87</v>
      </c>
      <c r="L105" s="28">
        <f t="shared" si="36"/>
        <v>65823806.87</v>
      </c>
      <c r="M105" s="28">
        <f t="shared" si="36"/>
        <v>65823806.87</v>
      </c>
      <c r="N105" s="28">
        <f t="shared" si="36"/>
        <v>65823806.87</v>
      </c>
    </row>
    <row r="106">
      <c r="A106" s="1" t="s">
        <v>73</v>
      </c>
      <c r="B106" s="10">
        <f>(1000*H30/365)/(24*3600*B35)</f>
        <v>145.3655604</v>
      </c>
      <c r="C106" s="1" t="s">
        <v>74</v>
      </c>
      <c r="G106" s="25" t="s">
        <v>129</v>
      </c>
      <c r="H106" s="28">
        <f t="shared" ref="H106:N106" si="37">(((1000*H34/365)/(24*3600*(ROUNDUP(H52/60000,0))))*(ROUNDUP(H52/60000,0)))*(((0.13*(10^6))/(((1000*H34/365)/(24*3600*(ROUNDUP(H52/60000,0))))^0.71))+(((1.14*(10^6))*(ln($B$4/$B$2)))/(((1000*H34/365)/(24*3600*(ROUNDUP(H52/60000,0))))^0.6)))*2.107</f>
        <v>157214701</v>
      </c>
      <c r="I106" s="28">
        <f t="shared" si="37"/>
        <v>157214701</v>
      </c>
      <c r="J106" s="28">
        <f t="shared" si="37"/>
        <v>157214701</v>
      </c>
      <c r="K106" s="28">
        <f t="shared" si="37"/>
        <v>157214701</v>
      </c>
      <c r="L106" s="28">
        <f t="shared" si="37"/>
        <v>157214701</v>
      </c>
      <c r="M106" s="28">
        <f t="shared" si="37"/>
        <v>157214701</v>
      </c>
      <c r="N106" s="28">
        <f t="shared" si="37"/>
        <v>157214701</v>
      </c>
    </row>
    <row r="107">
      <c r="A107" s="1" t="s">
        <v>88</v>
      </c>
      <c r="B107" s="5">
        <f>(B106*B35)*(((0.13*(10^6))/(B106^0.71))+(((1.14*(10^6))*(ln($B$4/$B$2)))/(B106^0.6)))*2.107</f>
        <v>384359115.4</v>
      </c>
      <c r="D107" s="5">
        <f>(B107/H48)</f>
        <v>1560.9549</v>
      </c>
      <c r="G107" s="25" t="s">
        <v>130</v>
      </c>
      <c r="H107" s="28">
        <f t="shared" ref="H107:N107" si="38">(((1000*H35/365)/(24*3600*(ROUNDUP(H53/60000,0))))*(ROUNDUP(H53/60000,0)))*(((0.13*(10^6))/(((1000*H35/365)/(24*3600*(ROUNDUP(H53/60000,0))))^0.71))+(((1.14*(10^6))*(ln($B$4/$B$2)))/(((1000*H35/365)/(24*3600*(ROUNDUP(H53/60000,0))))^0.6)))*2.107</f>
        <v>213718562.8</v>
      </c>
      <c r="I107" s="28">
        <f t="shared" si="38"/>
        <v>213718562.8</v>
      </c>
      <c r="J107" s="28">
        <f t="shared" si="38"/>
        <v>213718562.8</v>
      </c>
      <c r="K107" s="28">
        <f t="shared" si="38"/>
        <v>213718562.8</v>
      </c>
      <c r="L107" s="28">
        <f t="shared" si="38"/>
        <v>213718562.8</v>
      </c>
      <c r="M107" s="28">
        <f t="shared" si="38"/>
        <v>213718562.8</v>
      </c>
      <c r="N107" s="28">
        <f t="shared" si="38"/>
        <v>213718562.8</v>
      </c>
    </row>
    <row r="109">
      <c r="H109" s="23" t="s">
        <v>139</v>
      </c>
      <c r="I109" s="7"/>
      <c r="J109" s="7"/>
      <c r="K109" s="7"/>
      <c r="L109" s="7"/>
      <c r="M109" s="7"/>
      <c r="N109" s="8"/>
    </row>
    <row r="110">
      <c r="H110" s="24">
        <v>2024.0</v>
      </c>
      <c r="I110" s="24">
        <v>2025.0</v>
      </c>
      <c r="J110" s="24">
        <v>2026.0</v>
      </c>
      <c r="K110" s="24">
        <v>2027.0</v>
      </c>
      <c r="L110" s="24">
        <v>2028.0</v>
      </c>
      <c r="M110" s="24">
        <v>2029.0</v>
      </c>
      <c r="N110" s="24">
        <v>2030.0</v>
      </c>
    </row>
    <row r="111">
      <c r="B111" s="5"/>
      <c r="G111" s="25" t="s">
        <v>132</v>
      </c>
      <c r="H111" s="28">
        <f t="shared" ref="H111:N111" si="39">(((1000*H39/365)/(24*3600*(ROUNDUP(H57/60000,0))))*(ROUNDUP(H57/60000,0)))*(((0.13*(10^6))/(((1000*H39/365)/(24*3600*(ROUNDUP(H57/60000,0))))^0.71))+(((1.14*(10^6))*(ln($B$4/$B$2)))/(((1000*H39/365)/(24*3600*(ROUNDUP(H57/60000,0))))^0.6)))*2.107</f>
        <v>382301866.9</v>
      </c>
      <c r="I111" s="28">
        <f t="shared" si="39"/>
        <v>332483551.5</v>
      </c>
      <c r="J111" s="28">
        <f t="shared" si="39"/>
        <v>330703806.6</v>
      </c>
      <c r="K111" s="28">
        <f t="shared" si="39"/>
        <v>328933599</v>
      </c>
      <c r="L111" s="28">
        <f t="shared" si="39"/>
        <v>327172877.6</v>
      </c>
      <c r="M111" s="28">
        <f t="shared" si="39"/>
        <v>325421591.5</v>
      </c>
      <c r="N111" s="28">
        <f t="shared" si="39"/>
        <v>323679690</v>
      </c>
    </row>
    <row r="112">
      <c r="C112" s="5"/>
      <c r="G112" s="25" t="s">
        <v>133</v>
      </c>
      <c r="H112" s="28">
        <f t="shared" ref="H112:N112" si="40">(((1000*H40/365)/(24*3600*(ROUNDUP(H58/60000,0))))*(ROUNDUP(H58/60000,0)))*(((0.13*(10^6))/(((1000*H40/365)/(24*3600*(ROUNDUP(H58/60000,0))))^0.71))+(((1.14*(10^6))*(ln($B$4/$B$2)))/(((1000*H40/365)/(24*3600*(ROUNDUP(H58/60000,0))))^0.6)))*2.107</f>
        <v>57476062.01</v>
      </c>
      <c r="I112" s="28">
        <f t="shared" si="40"/>
        <v>57168531.72</v>
      </c>
      <c r="J112" s="28">
        <f t="shared" si="40"/>
        <v>56862648.91</v>
      </c>
      <c r="K112" s="28">
        <f t="shared" si="40"/>
        <v>56558404.74</v>
      </c>
      <c r="L112" s="28">
        <f t="shared" si="40"/>
        <v>56255790.43</v>
      </c>
      <c r="M112" s="28">
        <f t="shared" si="40"/>
        <v>55954797.24</v>
      </c>
      <c r="N112" s="28">
        <f t="shared" si="40"/>
        <v>55655416.47</v>
      </c>
    </row>
    <row r="113">
      <c r="C113" s="5"/>
      <c r="G113" s="25" t="s">
        <v>134</v>
      </c>
      <c r="H113" s="28">
        <f t="shared" ref="H113:N113" si="41">(((1000*H41/365)/(24*3600*(ROUNDUP(H59/60000,0))))*(ROUNDUP(H59/60000,0)))*(((0.13*(10^6))/(((1000*H41/365)/(24*3600*(ROUNDUP(H59/60000,0))))^0.71))+(((1.14*(10^6))*(ln($B$4/$B$2)))/(((1000*H41/365)/(24*3600*(ROUNDUP(H59/60000,0))))^0.6)))*2.107</f>
        <v>44809668.5</v>
      </c>
      <c r="I113" s="28">
        <f t="shared" si="41"/>
        <v>44569986.33</v>
      </c>
      <c r="J113" s="28">
        <f t="shared" si="41"/>
        <v>44331587.88</v>
      </c>
      <c r="K113" s="28">
        <f t="shared" si="41"/>
        <v>44094466.25</v>
      </c>
      <c r="L113" s="28">
        <f t="shared" si="41"/>
        <v>43858614.6</v>
      </c>
      <c r="M113" s="28">
        <f t="shared" si="41"/>
        <v>43624026.13</v>
      </c>
      <c r="N113" s="28">
        <f t="shared" si="41"/>
        <v>43390694.06</v>
      </c>
    </row>
    <row r="114">
      <c r="G114" s="25" t="s">
        <v>135</v>
      </c>
      <c r="H114" s="28">
        <f t="shared" ref="H114:N114" si="42">(((1000*H42/365)/(24*3600*(ROUNDUP(H60/60000,0))))*(ROUNDUP(H60/60000,0)))*(((0.13*(10^6))/(((1000*H42/365)/(24*3600*(ROUNDUP(H60/60000,0))))^0.71))+(((1.14*(10^6))*(ln($B$4/$B$2)))/(((1000*H42/365)/(24*3600*(ROUNDUP(H60/60000,0))))^0.6)))*2.107</f>
        <v>65471550.76</v>
      </c>
      <c r="I114" s="28">
        <f t="shared" si="42"/>
        <v>65121185.08</v>
      </c>
      <c r="J114" s="28">
        <f t="shared" si="42"/>
        <v>64772696.56</v>
      </c>
      <c r="K114" s="28">
        <f t="shared" si="42"/>
        <v>64426075.14</v>
      </c>
      <c r="L114" s="28">
        <f t="shared" si="42"/>
        <v>64081310.81</v>
      </c>
      <c r="M114" s="28">
        <f t="shared" si="42"/>
        <v>63738393.61</v>
      </c>
      <c r="N114" s="28">
        <f t="shared" si="42"/>
        <v>63397313.63</v>
      </c>
    </row>
    <row r="115">
      <c r="G115" s="25" t="s">
        <v>136</v>
      </c>
      <c r="H115" s="28">
        <f t="shared" ref="H115:N115" si="43">(((1000*H43/365)/(24*3600*(ROUNDUP(H61/60000,0))))*(ROUNDUP(H61/60000,0)))*(((0.13*(10^6))/(((1000*H43/365)/(24*3600*(ROUNDUP(H61/60000,0))))^0.71))+(((1.14*(10^6))*(ln($B$4/$B$2)))/(((1000*H43/365)/(24*3600*(ROUNDUP(H61/60000,0))))^0.6)))*2.107</f>
        <v>156373201.8</v>
      </c>
      <c r="I115" s="28">
        <f t="shared" si="43"/>
        <v>155536211.9</v>
      </c>
      <c r="J115" s="28">
        <f t="shared" si="43"/>
        <v>154703707.1</v>
      </c>
      <c r="K115" s="28">
        <f t="shared" si="43"/>
        <v>153875663.2</v>
      </c>
      <c r="L115" s="28">
        <f t="shared" si="43"/>
        <v>153052056.4</v>
      </c>
      <c r="M115" s="28">
        <f t="shared" si="43"/>
        <v>152232862.8</v>
      </c>
      <c r="N115" s="28">
        <f t="shared" si="43"/>
        <v>151418058.9</v>
      </c>
    </row>
    <row r="116">
      <c r="G116" s="25" t="s">
        <v>137</v>
      </c>
      <c r="H116" s="28">
        <f t="shared" ref="H116:N116" si="44">(((1000*H44/365)/(24*3600*(ROUNDUP(H62/60000,0))))*(ROUNDUP(H62/60000,0)))*(((0.13*(10^6))/(((1000*H44/365)/(24*3600*(ROUNDUP(H62/60000,0))))^0.71))+(((1.14*(10^6))*(ln($B$4/$B$2)))/(((1000*H44/365)/(24*3600*(ROUNDUP(H62/60000,0))))^0.6)))*2.107</f>
        <v>212574752.4</v>
      </c>
      <c r="I116" s="28">
        <f t="shared" si="44"/>
        <v>165666004.8</v>
      </c>
      <c r="J116" s="28">
        <f t="shared" si="44"/>
        <v>164779217.8</v>
      </c>
      <c r="K116" s="28">
        <f t="shared" si="44"/>
        <v>163897182.9</v>
      </c>
      <c r="L116" s="28">
        <f t="shared" si="44"/>
        <v>163019874.6</v>
      </c>
      <c r="M116" s="28">
        <f t="shared" si="44"/>
        <v>162147267.6</v>
      </c>
      <c r="N116" s="28">
        <f t="shared" si="44"/>
        <v>161279336.7</v>
      </c>
    </row>
    <row r="118">
      <c r="H118" s="23" t="s">
        <v>140</v>
      </c>
      <c r="I118" s="7"/>
      <c r="J118" s="7"/>
      <c r="K118" s="7"/>
      <c r="L118" s="7"/>
      <c r="M118" s="7"/>
      <c r="N118" s="8"/>
    </row>
    <row r="119">
      <c r="H119" s="24">
        <v>2024.0</v>
      </c>
      <c r="I119" s="24">
        <v>2025.0</v>
      </c>
      <c r="J119" s="24">
        <v>2026.0</v>
      </c>
      <c r="K119" s="24">
        <v>2027.0</v>
      </c>
      <c r="L119" s="24">
        <v>2028.0</v>
      </c>
      <c r="M119" s="24">
        <v>2029.0</v>
      </c>
      <c r="N119" s="24">
        <v>2030.0</v>
      </c>
    </row>
    <row r="120">
      <c r="G120" s="25" t="s">
        <v>125</v>
      </c>
      <c r="H120" s="28">
        <f t="shared" ref="H120:N120" si="45">H102/H48</f>
        <v>1560.9549</v>
      </c>
      <c r="I120" s="28">
        <f t="shared" si="45"/>
        <v>1560.9549</v>
      </c>
      <c r="J120" s="28">
        <f t="shared" si="45"/>
        <v>1560.9549</v>
      </c>
      <c r="K120" s="28">
        <f t="shared" si="45"/>
        <v>1560.9549</v>
      </c>
      <c r="L120" s="28">
        <f t="shared" si="45"/>
        <v>1560.9549</v>
      </c>
      <c r="M120" s="28">
        <f t="shared" si="45"/>
        <v>1560.9549</v>
      </c>
      <c r="N120" s="28">
        <f t="shared" si="45"/>
        <v>1560.9549</v>
      </c>
    </row>
    <row r="121">
      <c r="G121" s="25" t="s">
        <v>126</v>
      </c>
      <c r="H121" s="28">
        <f t="shared" ref="H121:N121" si="46">H103/H49</f>
        <v>2402.477807</v>
      </c>
      <c r="I121" s="28">
        <f t="shared" si="46"/>
        <v>2402.477807</v>
      </c>
      <c r="J121" s="28">
        <f t="shared" si="46"/>
        <v>2402.477807</v>
      </c>
      <c r="K121" s="28">
        <f t="shared" si="46"/>
        <v>2402.477807</v>
      </c>
      <c r="L121" s="28">
        <f t="shared" si="46"/>
        <v>2402.477807</v>
      </c>
      <c r="M121" s="28">
        <f t="shared" si="46"/>
        <v>2402.477807</v>
      </c>
      <c r="N121" s="28">
        <f t="shared" si="46"/>
        <v>2402.477807</v>
      </c>
    </row>
    <row r="122">
      <c r="G122" s="25" t="s">
        <v>127</v>
      </c>
      <c r="H122" s="28">
        <f t="shared" ref="H122:N122" si="47">H104/H50</f>
        <v>3500.209833</v>
      </c>
      <c r="I122" s="28">
        <f t="shared" si="47"/>
        <v>3500.209833</v>
      </c>
      <c r="J122" s="28">
        <f t="shared" si="47"/>
        <v>3500.209833</v>
      </c>
      <c r="K122" s="28">
        <f t="shared" si="47"/>
        <v>3500.209833</v>
      </c>
      <c r="L122" s="28">
        <f t="shared" si="47"/>
        <v>3500.209833</v>
      </c>
      <c r="M122" s="28">
        <f t="shared" si="47"/>
        <v>3500.209833</v>
      </c>
      <c r="N122" s="28">
        <f t="shared" si="47"/>
        <v>3500.209833</v>
      </c>
    </row>
    <row r="123">
      <c r="G123" s="25" t="s">
        <v>128</v>
      </c>
      <c r="H123" s="28">
        <f t="shared" ref="H123:N123" si="48">H105/H51</f>
        <v>1973.259213</v>
      </c>
      <c r="I123" s="28">
        <f t="shared" si="48"/>
        <v>1973.259213</v>
      </c>
      <c r="J123" s="28">
        <f t="shared" si="48"/>
        <v>1973.259213</v>
      </c>
      <c r="K123" s="28">
        <f t="shared" si="48"/>
        <v>1973.259213</v>
      </c>
      <c r="L123" s="28">
        <f t="shared" si="48"/>
        <v>1973.259213</v>
      </c>
      <c r="M123" s="28">
        <f t="shared" si="48"/>
        <v>1973.259213</v>
      </c>
      <c r="N123" s="28">
        <f t="shared" si="48"/>
        <v>1973.259213</v>
      </c>
    </row>
    <row r="124">
      <c r="G124" s="25" t="s">
        <v>129</v>
      </c>
      <c r="H124" s="28">
        <f t="shared" ref="H124:N124" si="49">H106/H52</f>
        <v>1509.195933</v>
      </c>
      <c r="I124" s="28">
        <f t="shared" si="49"/>
        <v>1509.195933</v>
      </c>
      <c r="J124" s="28">
        <f t="shared" si="49"/>
        <v>1509.195933</v>
      </c>
      <c r="K124" s="28">
        <f t="shared" si="49"/>
        <v>1509.195933</v>
      </c>
      <c r="L124" s="28">
        <f t="shared" si="49"/>
        <v>1509.195933</v>
      </c>
      <c r="M124" s="28">
        <f t="shared" si="49"/>
        <v>1509.195933</v>
      </c>
      <c r="N124" s="28">
        <f t="shared" si="49"/>
        <v>1509.195933</v>
      </c>
    </row>
    <row r="125">
      <c r="G125" s="25" t="s">
        <v>130</v>
      </c>
      <c r="H125" s="28">
        <f t="shared" ref="H125:N125" si="50">H107/H53</f>
        <v>1751.08698</v>
      </c>
      <c r="I125" s="28">
        <f t="shared" si="50"/>
        <v>1751.08698</v>
      </c>
      <c r="J125" s="28">
        <f t="shared" si="50"/>
        <v>1751.08698</v>
      </c>
      <c r="K125" s="28">
        <f t="shared" si="50"/>
        <v>1751.08698</v>
      </c>
      <c r="L125" s="28">
        <f t="shared" si="50"/>
        <v>1751.08698</v>
      </c>
      <c r="M125" s="28">
        <f t="shared" si="50"/>
        <v>1751.08698</v>
      </c>
      <c r="N125" s="28">
        <f t="shared" si="50"/>
        <v>1751.08698</v>
      </c>
    </row>
    <row r="127">
      <c r="H127" s="23" t="s">
        <v>141</v>
      </c>
      <c r="I127" s="7"/>
      <c r="J127" s="7"/>
      <c r="K127" s="7"/>
      <c r="L127" s="7"/>
      <c r="M127" s="7"/>
      <c r="N127" s="8"/>
    </row>
    <row r="128">
      <c r="H128" s="24">
        <v>2024.0</v>
      </c>
      <c r="I128" s="24">
        <v>2025.0</v>
      </c>
      <c r="J128" s="24">
        <v>2026.0</v>
      </c>
      <c r="K128" s="24">
        <v>2027.0</v>
      </c>
      <c r="L128" s="24">
        <v>2028.0</v>
      </c>
      <c r="M128" s="24">
        <v>2029.0</v>
      </c>
      <c r="N128" s="24">
        <v>2030.0</v>
      </c>
    </row>
    <row r="129">
      <c r="G129" s="25" t="s">
        <v>132</v>
      </c>
      <c r="H129" s="28">
        <f t="shared" ref="H129:N129" si="51">H111/H57</f>
        <v>1573.659684</v>
      </c>
      <c r="I129" s="28">
        <f t="shared" si="51"/>
        <v>1387.157564</v>
      </c>
      <c r="J129" s="28">
        <f t="shared" si="51"/>
        <v>1398.447134</v>
      </c>
      <c r="K129" s="28">
        <f t="shared" si="51"/>
        <v>1409.82863</v>
      </c>
      <c r="L129" s="28">
        <f t="shared" si="51"/>
        <v>1421.302803</v>
      </c>
      <c r="M129" s="28">
        <f t="shared" si="51"/>
        <v>1432.870406</v>
      </c>
      <c r="N129" s="28">
        <f t="shared" si="51"/>
        <v>1444.532201</v>
      </c>
    </row>
    <row r="130">
      <c r="G130" s="25" t="s">
        <v>133</v>
      </c>
      <c r="H130" s="28">
        <f t="shared" ref="H130:N130" si="52">H112/H58</f>
        <v>2422.036215</v>
      </c>
      <c r="I130" s="28">
        <f t="shared" si="52"/>
        <v>2441.753932</v>
      </c>
      <c r="J130" s="28">
        <f t="shared" si="52"/>
        <v>2461.632258</v>
      </c>
      <c r="K130" s="28">
        <f t="shared" si="52"/>
        <v>2481.672501</v>
      </c>
      <c r="L130" s="28">
        <f t="shared" si="52"/>
        <v>2501.875981</v>
      </c>
      <c r="M130" s="28">
        <f t="shared" si="52"/>
        <v>2522.244029</v>
      </c>
      <c r="N130" s="28">
        <f t="shared" si="52"/>
        <v>2542.777985</v>
      </c>
    </row>
    <row r="131">
      <c r="G131" s="25" t="s">
        <v>134</v>
      </c>
      <c r="H131" s="28">
        <f t="shared" ref="H131:N131" si="53">H113/H59</f>
        <v>3528.710722</v>
      </c>
      <c r="I131" s="28">
        <f t="shared" si="53"/>
        <v>3557.443872</v>
      </c>
      <c r="J131" s="28">
        <f t="shared" si="53"/>
        <v>3586.411122</v>
      </c>
      <c r="K131" s="28">
        <f t="shared" si="53"/>
        <v>3615.61438</v>
      </c>
      <c r="L131" s="28">
        <f t="shared" si="53"/>
        <v>3645.055572</v>
      </c>
      <c r="M131" s="28">
        <f t="shared" si="53"/>
        <v>3674.736636</v>
      </c>
      <c r="N131" s="28">
        <f t="shared" si="53"/>
        <v>3704.659529</v>
      </c>
    </row>
    <row r="132">
      <c r="G132" s="25" t="s">
        <v>135</v>
      </c>
      <c r="H132" s="28">
        <f t="shared" ref="H132:N132" si="54">H114/H60</f>
        <v>1989.321851</v>
      </c>
      <c r="I132" s="28">
        <f t="shared" si="54"/>
        <v>2005.515164</v>
      </c>
      <c r="J132" s="28">
        <f t="shared" si="54"/>
        <v>2021.840362</v>
      </c>
      <c r="K132" s="28">
        <f t="shared" si="54"/>
        <v>2038.298519</v>
      </c>
      <c r="L132" s="28">
        <f t="shared" si="54"/>
        <v>2054.890719</v>
      </c>
      <c r="M132" s="28">
        <f t="shared" si="54"/>
        <v>2071.618055</v>
      </c>
      <c r="N132" s="28">
        <f t="shared" si="54"/>
        <v>2088.481626</v>
      </c>
    </row>
    <row r="133">
      <c r="G133" s="25" t="s">
        <v>136</v>
      </c>
      <c r="H133" s="28">
        <f t="shared" ref="H133:N133" si="55">H115/H61</f>
        <v>1521.479238</v>
      </c>
      <c r="I133" s="28">
        <f t="shared" si="55"/>
        <v>1533.862568</v>
      </c>
      <c r="J133" s="28">
        <f t="shared" si="55"/>
        <v>1546.346735</v>
      </c>
      <c r="K133" s="28">
        <f t="shared" si="55"/>
        <v>1558.932562</v>
      </c>
      <c r="L133" s="28">
        <f t="shared" si="55"/>
        <v>1571.620878</v>
      </c>
      <c r="M133" s="28">
        <f t="shared" si="55"/>
        <v>1584.412517</v>
      </c>
      <c r="N133" s="28">
        <f t="shared" si="55"/>
        <v>1597.308322</v>
      </c>
    </row>
    <row r="134">
      <c r="G134" s="25" t="s">
        <v>137</v>
      </c>
      <c r="H134" s="28">
        <f t="shared" ref="H134:N134" si="56">H116/H62</f>
        <v>1765.340097</v>
      </c>
      <c r="I134" s="28">
        <f t="shared" si="56"/>
        <v>1394.444816</v>
      </c>
      <c r="J134" s="28">
        <f t="shared" si="56"/>
        <v>1405.793723</v>
      </c>
      <c r="K134" s="28">
        <f t="shared" si="56"/>
        <v>1417.23504</v>
      </c>
      <c r="L134" s="28">
        <f t="shared" si="56"/>
        <v>1428.769521</v>
      </c>
      <c r="M134" s="28">
        <f t="shared" si="56"/>
        <v>1440.397924</v>
      </c>
      <c r="N134" s="28">
        <f t="shared" si="56"/>
        <v>1452.121014</v>
      </c>
    </row>
    <row r="168">
      <c r="H168" s="23" t="s">
        <v>142</v>
      </c>
      <c r="I168" s="7"/>
      <c r="J168" s="7"/>
      <c r="K168" s="7"/>
      <c r="L168" s="7"/>
      <c r="M168" s="7"/>
      <c r="N168" s="8"/>
      <c r="Q168" s="23" t="s">
        <v>143</v>
      </c>
      <c r="R168" s="7"/>
      <c r="S168" s="7"/>
      <c r="T168" s="7"/>
      <c r="U168" s="7"/>
      <c r="V168" s="7"/>
      <c r="W168" s="8"/>
      <c r="Z168" s="23" t="s">
        <v>144</v>
      </c>
      <c r="AA168" s="7"/>
      <c r="AB168" s="7"/>
      <c r="AC168" s="7"/>
      <c r="AD168" s="7"/>
      <c r="AE168" s="7"/>
      <c r="AF168" s="8"/>
    </row>
    <row r="169">
      <c r="H169" s="24">
        <v>2024.0</v>
      </c>
      <c r="I169" s="24">
        <v>2025.0</v>
      </c>
      <c r="J169" s="24">
        <v>2026.0</v>
      </c>
      <c r="K169" s="24">
        <v>2027.0</v>
      </c>
      <c r="L169" s="24">
        <v>2028.0</v>
      </c>
      <c r="M169" s="24">
        <v>2029.0</v>
      </c>
      <c r="N169" s="24">
        <v>2030.0</v>
      </c>
      <c r="Q169" s="24">
        <v>2024.0</v>
      </c>
      <c r="R169" s="24">
        <v>2025.0</v>
      </c>
      <c r="S169" s="24">
        <v>2026.0</v>
      </c>
      <c r="T169" s="24">
        <v>2027.0</v>
      </c>
      <c r="U169" s="24">
        <v>2028.0</v>
      </c>
      <c r="V169" s="24">
        <v>2029.0</v>
      </c>
      <c r="W169" s="24">
        <v>2030.0</v>
      </c>
      <c r="Z169" s="24">
        <v>2024.0</v>
      </c>
      <c r="AA169" s="24">
        <v>2025.0</v>
      </c>
      <c r="AB169" s="24">
        <v>2026.0</v>
      </c>
      <c r="AC169" s="24">
        <v>2027.0</v>
      </c>
      <c r="AD169" s="24">
        <v>2028.0</v>
      </c>
      <c r="AE169" s="24">
        <v>2029.0</v>
      </c>
      <c r="AF169" s="24">
        <v>2030.0</v>
      </c>
    </row>
    <row r="170">
      <c r="G170" s="25" t="s">
        <v>125</v>
      </c>
      <c r="H170" s="28">
        <f t="shared" ref="H170:N170" si="57">H102*$B$100</f>
        <v>35976013.21</v>
      </c>
      <c r="I170" s="28">
        <f t="shared" si="57"/>
        <v>35976013.21</v>
      </c>
      <c r="J170" s="28">
        <f t="shared" si="57"/>
        <v>35976013.21</v>
      </c>
      <c r="K170" s="28">
        <f t="shared" si="57"/>
        <v>35976013.21</v>
      </c>
      <c r="L170" s="28">
        <f t="shared" si="57"/>
        <v>35976013.21</v>
      </c>
      <c r="M170" s="28">
        <f t="shared" si="57"/>
        <v>35976013.21</v>
      </c>
      <c r="N170" s="28">
        <f t="shared" si="57"/>
        <v>35976013.21</v>
      </c>
      <c r="P170" s="25" t="s">
        <v>125</v>
      </c>
      <c r="Q170" s="28">
        <f t="shared" ref="Q170:W170" si="58">H102*$B$101</f>
        <v>19217955.77</v>
      </c>
      <c r="R170" s="28">
        <f t="shared" si="58"/>
        <v>19217955.77</v>
      </c>
      <c r="S170" s="28">
        <f t="shared" si="58"/>
        <v>19217955.77</v>
      </c>
      <c r="T170" s="28">
        <f t="shared" si="58"/>
        <v>19217955.77</v>
      </c>
      <c r="U170" s="28">
        <f t="shared" si="58"/>
        <v>19217955.77</v>
      </c>
      <c r="V170" s="28">
        <f t="shared" si="58"/>
        <v>19217955.77</v>
      </c>
      <c r="W170" s="28">
        <f t="shared" si="58"/>
        <v>19217955.77</v>
      </c>
      <c r="Y170" s="25" t="s">
        <v>125</v>
      </c>
      <c r="Z170" s="28">
        <f t="shared" ref="Z170:AF170" si="59">H48*$B$102*$B$103*24*365</f>
        <v>140636656.1</v>
      </c>
      <c r="AA170" s="28">
        <f t="shared" si="59"/>
        <v>140636656.1</v>
      </c>
      <c r="AB170" s="28">
        <f t="shared" si="59"/>
        <v>140636656.1</v>
      </c>
      <c r="AC170" s="28">
        <f t="shared" si="59"/>
        <v>140636656.1</v>
      </c>
      <c r="AD170" s="28">
        <f t="shared" si="59"/>
        <v>140636656.1</v>
      </c>
      <c r="AE170" s="28">
        <f t="shared" si="59"/>
        <v>140636656.1</v>
      </c>
      <c r="AF170" s="28">
        <f t="shared" si="59"/>
        <v>140636656.1</v>
      </c>
    </row>
    <row r="171">
      <c r="G171" s="25" t="s">
        <v>126</v>
      </c>
      <c r="H171" s="28">
        <f t="shared" ref="H171:N171" si="60">H103*$B$100</f>
        <v>5408699.274</v>
      </c>
      <c r="I171" s="28">
        <f t="shared" si="60"/>
        <v>5408699.274</v>
      </c>
      <c r="J171" s="28">
        <f t="shared" si="60"/>
        <v>5408699.274</v>
      </c>
      <c r="K171" s="28">
        <f t="shared" si="60"/>
        <v>5408699.274</v>
      </c>
      <c r="L171" s="28">
        <f t="shared" si="60"/>
        <v>5408699.274</v>
      </c>
      <c r="M171" s="28">
        <f t="shared" si="60"/>
        <v>5408699.274</v>
      </c>
      <c r="N171" s="28">
        <f t="shared" si="60"/>
        <v>5408699.274</v>
      </c>
      <c r="P171" s="25" t="s">
        <v>126</v>
      </c>
      <c r="Q171" s="28">
        <f t="shared" ref="Q171:W171" si="61">H103*$B$101</f>
        <v>2889262.433</v>
      </c>
      <c r="R171" s="28">
        <f t="shared" si="61"/>
        <v>2889262.433</v>
      </c>
      <c r="S171" s="28">
        <f t="shared" si="61"/>
        <v>2889262.433</v>
      </c>
      <c r="T171" s="28">
        <f t="shared" si="61"/>
        <v>2889262.433</v>
      </c>
      <c r="U171" s="28">
        <f t="shared" si="61"/>
        <v>2889262.433</v>
      </c>
      <c r="V171" s="28">
        <f t="shared" si="61"/>
        <v>2889262.433</v>
      </c>
      <c r="W171" s="28">
        <f t="shared" si="61"/>
        <v>2889262.433</v>
      </c>
      <c r="Y171" s="25" t="s">
        <v>126</v>
      </c>
      <c r="Z171" s="28">
        <f t="shared" ref="Z171:AF171" si="62">H49*$B$102*$B$103*24*365</f>
        <v>13737550.56</v>
      </c>
      <c r="AA171" s="28">
        <f t="shared" si="62"/>
        <v>13737550.56</v>
      </c>
      <c r="AB171" s="28">
        <f t="shared" si="62"/>
        <v>13737550.56</v>
      </c>
      <c r="AC171" s="28">
        <f t="shared" si="62"/>
        <v>13737550.56</v>
      </c>
      <c r="AD171" s="28">
        <f t="shared" si="62"/>
        <v>13737550.56</v>
      </c>
      <c r="AE171" s="28">
        <f t="shared" si="62"/>
        <v>13737550.56</v>
      </c>
      <c r="AF171" s="28">
        <f t="shared" si="62"/>
        <v>13737550.56</v>
      </c>
    </row>
    <row r="172">
      <c r="G172" s="25" t="s">
        <v>127</v>
      </c>
      <c r="H172" s="28">
        <f t="shared" ref="H172:N172" si="63">H104*$B$100</f>
        <v>4216739.983</v>
      </c>
      <c r="I172" s="28">
        <f t="shared" si="63"/>
        <v>4216739.983</v>
      </c>
      <c r="J172" s="28">
        <f t="shared" si="63"/>
        <v>4216739.983</v>
      </c>
      <c r="K172" s="28">
        <f t="shared" si="63"/>
        <v>4216739.983</v>
      </c>
      <c r="L172" s="28">
        <f t="shared" si="63"/>
        <v>4216739.983</v>
      </c>
      <c r="M172" s="28">
        <f t="shared" si="63"/>
        <v>4216739.983</v>
      </c>
      <c r="N172" s="28">
        <f t="shared" si="63"/>
        <v>4216739.983</v>
      </c>
      <c r="P172" s="25" t="s">
        <v>127</v>
      </c>
      <c r="Q172" s="28">
        <f t="shared" ref="Q172:W172" si="64">H104*$B$101</f>
        <v>2252532.042</v>
      </c>
      <c r="R172" s="28">
        <f t="shared" si="64"/>
        <v>2252532.042</v>
      </c>
      <c r="S172" s="28">
        <f t="shared" si="64"/>
        <v>2252532.042</v>
      </c>
      <c r="T172" s="28">
        <f t="shared" si="64"/>
        <v>2252532.042</v>
      </c>
      <c r="U172" s="28">
        <f t="shared" si="64"/>
        <v>2252532.042</v>
      </c>
      <c r="V172" s="28">
        <f t="shared" si="64"/>
        <v>2252532.042</v>
      </c>
      <c r="W172" s="28">
        <f t="shared" si="64"/>
        <v>2252532.042</v>
      </c>
      <c r="Y172" s="25" t="s">
        <v>127</v>
      </c>
      <c r="Z172" s="28">
        <f t="shared" ref="Z172:AF172" si="65">H50*$B$102*$B$103*24*365</f>
        <v>7351206.025</v>
      </c>
      <c r="AA172" s="28">
        <f t="shared" si="65"/>
        <v>7351206.025</v>
      </c>
      <c r="AB172" s="28">
        <f t="shared" si="65"/>
        <v>7351206.025</v>
      </c>
      <c r="AC172" s="28">
        <f t="shared" si="65"/>
        <v>7351206.025</v>
      </c>
      <c r="AD172" s="28">
        <f t="shared" si="65"/>
        <v>7351206.025</v>
      </c>
      <c r="AE172" s="28">
        <f t="shared" si="65"/>
        <v>7351206.025</v>
      </c>
      <c r="AF172" s="28">
        <f t="shared" si="65"/>
        <v>7351206.025</v>
      </c>
    </row>
    <row r="173">
      <c r="G173" s="25" t="s">
        <v>128</v>
      </c>
      <c r="H173" s="28">
        <f t="shared" ref="H173:N173" si="66">H105*$B$100</f>
        <v>6161108.323</v>
      </c>
      <c r="I173" s="28">
        <f t="shared" si="66"/>
        <v>6161108.323</v>
      </c>
      <c r="J173" s="28">
        <f t="shared" si="66"/>
        <v>6161108.323</v>
      </c>
      <c r="K173" s="28">
        <f t="shared" si="66"/>
        <v>6161108.323</v>
      </c>
      <c r="L173" s="28">
        <f t="shared" si="66"/>
        <v>6161108.323</v>
      </c>
      <c r="M173" s="28">
        <f t="shared" si="66"/>
        <v>6161108.323</v>
      </c>
      <c r="N173" s="28">
        <f t="shared" si="66"/>
        <v>6161108.323</v>
      </c>
      <c r="P173" s="25" t="s">
        <v>128</v>
      </c>
      <c r="Q173" s="28">
        <f t="shared" ref="Q173:W173" si="67">H105*$B$101</f>
        <v>3291190.343</v>
      </c>
      <c r="R173" s="28">
        <f t="shared" si="67"/>
        <v>3291190.343</v>
      </c>
      <c r="S173" s="28">
        <f t="shared" si="67"/>
        <v>3291190.343</v>
      </c>
      <c r="T173" s="28">
        <f t="shared" si="67"/>
        <v>3291190.343</v>
      </c>
      <c r="U173" s="28">
        <f t="shared" si="67"/>
        <v>3291190.343</v>
      </c>
      <c r="V173" s="28">
        <f t="shared" si="67"/>
        <v>3291190.343</v>
      </c>
      <c r="W173" s="28">
        <f t="shared" si="67"/>
        <v>3291190.343</v>
      </c>
      <c r="Y173" s="25" t="s">
        <v>128</v>
      </c>
      <c r="Z173" s="28">
        <f t="shared" ref="Z173:AF173" si="68">H51*$B$102*$B$103*24*365</f>
        <v>19052438.06</v>
      </c>
      <c r="AA173" s="28">
        <f t="shared" si="68"/>
        <v>19052438.06</v>
      </c>
      <c r="AB173" s="28">
        <f t="shared" si="68"/>
        <v>19052438.06</v>
      </c>
      <c r="AC173" s="28">
        <f t="shared" si="68"/>
        <v>19052438.06</v>
      </c>
      <c r="AD173" s="28">
        <f t="shared" si="68"/>
        <v>19052438.06</v>
      </c>
      <c r="AE173" s="28">
        <f t="shared" si="68"/>
        <v>19052438.06</v>
      </c>
      <c r="AF173" s="28">
        <f t="shared" si="68"/>
        <v>19052438.06</v>
      </c>
    </row>
    <row r="174">
      <c r="G174" s="25" t="s">
        <v>129</v>
      </c>
      <c r="H174" s="28">
        <f t="shared" ref="H174:N174" si="69">H106*$B$100</f>
        <v>14715296.01</v>
      </c>
      <c r="I174" s="28">
        <f t="shared" si="69"/>
        <v>14715296.01</v>
      </c>
      <c r="J174" s="28">
        <f t="shared" si="69"/>
        <v>14715296.01</v>
      </c>
      <c r="K174" s="28">
        <f t="shared" si="69"/>
        <v>14715296.01</v>
      </c>
      <c r="L174" s="28">
        <f t="shared" si="69"/>
        <v>14715296.01</v>
      </c>
      <c r="M174" s="28">
        <f t="shared" si="69"/>
        <v>14715296.01</v>
      </c>
      <c r="N174" s="28">
        <f t="shared" si="69"/>
        <v>14715296.01</v>
      </c>
      <c r="P174" s="25" t="s">
        <v>129</v>
      </c>
      <c r="Q174" s="28">
        <f t="shared" ref="Q174:W174" si="70">H106*$B$101</f>
        <v>7860735.048</v>
      </c>
      <c r="R174" s="28">
        <f t="shared" si="70"/>
        <v>7860735.048</v>
      </c>
      <c r="S174" s="28">
        <f t="shared" si="70"/>
        <v>7860735.048</v>
      </c>
      <c r="T174" s="28">
        <f t="shared" si="70"/>
        <v>7860735.048</v>
      </c>
      <c r="U174" s="28">
        <f t="shared" si="70"/>
        <v>7860735.048</v>
      </c>
      <c r="V174" s="28">
        <f t="shared" si="70"/>
        <v>7860735.048</v>
      </c>
      <c r="W174" s="28">
        <f t="shared" si="70"/>
        <v>7860735.048</v>
      </c>
      <c r="Y174" s="25" t="s">
        <v>129</v>
      </c>
      <c r="Z174" s="28">
        <f t="shared" ref="Z174:AF174" si="71">H52*$B$102*$B$103*24*365</f>
        <v>59497570.15</v>
      </c>
      <c r="AA174" s="28">
        <f t="shared" si="71"/>
        <v>59497570.15</v>
      </c>
      <c r="AB174" s="28">
        <f t="shared" si="71"/>
        <v>59497570.15</v>
      </c>
      <c r="AC174" s="28">
        <f t="shared" si="71"/>
        <v>59497570.15</v>
      </c>
      <c r="AD174" s="28">
        <f t="shared" si="71"/>
        <v>59497570.15</v>
      </c>
      <c r="AE174" s="28">
        <f t="shared" si="71"/>
        <v>59497570.15</v>
      </c>
      <c r="AF174" s="28">
        <f t="shared" si="71"/>
        <v>59497570.15</v>
      </c>
    </row>
    <row r="175">
      <c r="G175" s="25" t="s">
        <v>130</v>
      </c>
      <c r="H175" s="28">
        <f t="shared" ref="H175:N175" si="72">H107*$B$100</f>
        <v>20004057.48</v>
      </c>
      <c r="I175" s="28">
        <f t="shared" si="72"/>
        <v>20004057.48</v>
      </c>
      <c r="J175" s="28">
        <f t="shared" si="72"/>
        <v>20004057.48</v>
      </c>
      <c r="K175" s="28">
        <f t="shared" si="72"/>
        <v>20004057.48</v>
      </c>
      <c r="L175" s="28">
        <f t="shared" si="72"/>
        <v>20004057.48</v>
      </c>
      <c r="M175" s="28">
        <f t="shared" si="72"/>
        <v>20004057.48</v>
      </c>
      <c r="N175" s="28">
        <f t="shared" si="72"/>
        <v>20004057.48</v>
      </c>
      <c r="P175" s="25" t="s">
        <v>130</v>
      </c>
      <c r="Q175" s="28">
        <f t="shared" ref="Q175:W175" si="73">H107*$B$101</f>
        <v>10685928.14</v>
      </c>
      <c r="R175" s="28">
        <f t="shared" si="73"/>
        <v>10685928.14</v>
      </c>
      <c r="S175" s="28">
        <f t="shared" si="73"/>
        <v>10685928.14</v>
      </c>
      <c r="T175" s="28">
        <f t="shared" si="73"/>
        <v>10685928.14</v>
      </c>
      <c r="U175" s="28">
        <f t="shared" si="73"/>
        <v>10685928.14</v>
      </c>
      <c r="V175" s="28">
        <f t="shared" si="73"/>
        <v>10685928.14</v>
      </c>
      <c r="W175" s="28">
        <f t="shared" si="73"/>
        <v>10685928.14</v>
      </c>
      <c r="Y175" s="25" t="s">
        <v>130</v>
      </c>
      <c r="Z175" s="28">
        <f t="shared" ref="Z175:AF175" si="74">H53*$B$102*$B$103*24*365</f>
        <v>69708578.7</v>
      </c>
      <c r="AA175" s="28">
        <f t="shared" si="74"/>
        <v>69708578.7</v>
      </c>
      <c r="AB175" s="28">
        <f t="shared" si="74"/>
        <v>69708578.7</v>
      </c>
      <c r="AC175" s="28">
        <f t="shared" si="74"/>
        <v>69708578.7</v>
      </c>
      <c r="AD175" s="28">
        <f t="shared" si="74"/>
        <v>69708578.7</v>
      </c>
      <c r="AE175" s="28">
        <f t="shared" si="74"/>
        <v>69708578.7</v>
      </c>
      <c r="AF175" s="28">
        <f t="shared" si="74"/>
        <v>69708578.7</v>
      </c>
    </row>
    <row r="177">
      <c r="H177" s="23" t="s">
        <v>145</v>
      </c>
      <c r="I177" s="7"/>
      <c r="J177" s="7"/>
      <c r="K177" s="7"/>
      <c r="L177" s="7"/>
      <c r="M177" s="7"/>
      <c r="N177" s="8"/>
      <c r="Q177" s="23" t="s">
        <v>146</v>
      </c>
      <c r="R177" s="7"/>
      <c r="S177" s="7"/>
      <c r="T177" s="7"/>
      <c r="U177" s="7"/>
      <c r="V177" s="7"/>
      <c r="W177" s="8"/>
      <c r="Z177" s="23" t="s">
        <v>147</v>
      </c>
      <c r="AA177" s="7"/>
      <c r="AB177" s="7"/>
      <c r="AC177" s="7"/>
      <c r="AD177" s="7"/>
      <c r="AE177" s="7"/>
      <c r="AF177" s="8"/>
    </row>
    <row r="178">
      <c r="H178" s="24">
        <v>2024.0</v>
      </c>
      <c r="I178" s="24">
        <v>2025.0</v>
      </c>
      <c r="J178" s="24">
        <v>2026.0</v>
      </c>
      <c r="K178" s="24">
        <v>2027.0</v>
      </c>
      <c r="L178" s="24">
        <v>2028.0</v>
      </c>
      <c r="M178" s="24">
        <v>2029.0</v>
      </c>
      <c r="N178" s="24">
        <v>2030.0</v>
      </c>
      <c r="Q178" s="24">
        <v>2024.0</v>
      </c>
      <c r="R178" s="24">
        <v>2025.0</v>
      </c>
      <c r="S178" s="24">
        <v>2026.0</v>
      </c>
      <c r="T178" s="24">
        <v>2027.0</v>
      </c>
      <c r="U178" s="24">
        <v>2028.0</v>
      </c>
      <c r="V178" s="24">
        <v>2029.0</v>
      </c>
      <c r="W178" s="24">
        <v>2030.0</v>
      </c>
      <c r="Z178" s="24">
        <v>2024.0</v>
      </c>
      <c r="AA178" s="24">
        <v>2025.0</v>
      </c>
      <c r="AB178" s="24">
        <v>2026.0</v>
      </c>
      <c r="AC178" s="24">
        <v>2027.0</v>
      </c>
      <c r="AD178" s="24">
        <v>2028.0</v>
      </c>
      <c r="AE178" s="24">
        <v>2029.0</v>
      </c>
      <c r="AF178" s="24">
        <v>2030.0</v>
      </c>
    </row>
    <row r="179">
      <c r="G179" s="25" t="s">
        <v>132</v>
      </c>
      <c r="H179" s="28">
        <f t="shared" ref="H179:N179" si="75">H111*$B$100</f>
        <v>35783454.74</v>
      </c>
      <c r="I179" s="28">
        <f t="shared" si="75"/>
        <v>31120460.42</v>
      </c>
      <c r="J179" s="28">
        <f t="shared" si="75"/>
        <v>30953876.3</v>
      </c>
      <c r="K179" s="28">
        <f t="shared" si="75"/>
        <v>30788184.87</v>
      </c>
      <c r="L179" s="28">
        <f t="shared" si="75"/>
        <v>30623381.34</v>
      </c>
      <c r="M179" s="28">
        <f t="shared" si="75"/>
        <v>30459460.96</v>
      </c>
      <c r="N179" s="28">
        <f t="shared" si="75"/>
        <v>30296418.98</v>
      </c>
      <c r="P179" s="25" t="s">
        <v>132</v>
      </c>
      <c r="Q179" s="28">
        <f t="shared" ref="Q179:W179" si="76">H111*$B$101</f>
        <v>19115093.35</v>
      </c>
      <c r="R179" s="28">
        <f t="shared" si="76"/>
        <v>16624177.57</v>
      </c>
      <c r="S179" s="28">
        <f t="shared" si="76"/>
        <v>16535190.33</v>
      </c>
      <c r="T179" s="28">
        <f t="shared" si="76"/>
        <v>16446679.95</v>
      </c>
      <c r="U179" s="28">
        <f t="shared" si="76"/>
        <v>16358643.88</v>
      </c>
      <c r="V179" s="28">
        <f t="shared" si="76"/>
        <v>16271079.57</v>
      </c>
      <c r="W179" s="28">
        <f t="shared" si="76"/>
        <v>16183984.5</v>
      </c>
      <c r="Y179" s="25" t="s">
        <v>132</v>
      </c>
      <c r="Z179" s="28">
        <f t="shared" ref="Z179:AF179" si="77">H57*$B$102*$B$103*24*365</f>
        <v>138754571.9</v>
      </c>
      <c r="AA179" s="28">
        <f t="shared" si="77"/>
        <v>136897675</v>
      </c>
      <c r="AB179" s="28">
        <f t="shared" si="77"/>
        <v>135065628.1</v>
      </c>
      <c r="AC179" s="28">
        <f t="shared" si="77"/>
        <v>133258098.8</v>
      </c>
      <c r="AD179" s="28">
        <f t="shared" si="77"/>
        <v>131474759</v>
      </c>
      <c r="AE179" s="28">
        <f t="shared" si="77"/>
        <v>129715284.8</v>
      </c>
      <c r="AF179" s="28">
        <f t="shared" si="77"/>
        <v>127979357</v>
      </c>
    </row>
    <row r="180">
      <c r="G180" s="25" t="s">
        <v>133</v>
      </c>
      <c r="H180" s="28">
        <f t="shared" ref="H180:N180" si="78">H112*$B$100</f>
        <v>5379759.404</v>
      </c>
      <c r="I180" s="28">
        <f t="shared" si="78"/>
        <v>5350974.569</v>
      </c>
      <c r="J180" s="28">
        <f t="shared" si="78"/>
        <v>5322343.938</v>
      </c>
      <c r="K180" s="28">
        <f t="shared" si="78"/>
        <v>5293866.684</v>
      </c>
      <c r="L180" s="28">
        <f t="shared" si="78"/>
        <v>5265541.984</v>
      </c>
      <c r="M180" s="28">
        <f t="shared" si="78"/>
        <v>5237369.021</v>
      </c>
      <c r="N180" s="28">
        <f t="shared" si="78"/>
        <v>5209346.981</v>
      </c>
      <c r="P180" s="25" t="s">
        <v>133</v>
      </c>
      <c r="Q180" s="28">
        <f t="shared" ref="Q180:W180" si="79">H112*$B$101</f>
        <v>2873803.1</v>
      </c>
      <c r="R180" s="28">
        <f t="shared" si="79"/>
        <v>2858426.586</v>
      </c>
      <c r="S180" s="28">
        <f t="shared" si="79"/>
        <v>2843132.446</v>
      </c>
      <c r="T180" s="28">
        <f t="shared" si="79"/>
        <v>2827920.237</v>
      </c>
      <c r="U180" s="28">
        <f t="shared" si="79"/>
        <v>2812789.522</v>
      </c>
      <c r="V180" s="28">
        <f t="shared" si="79"/>
        <v>2797739.862</v>
      </c>
      <c r="W180" s="28">
        <f t="shared" si="79"/>
        <v>2782770.823</v>
      </c>
      <c r="Y180" s="25" t="s">
        <v>133</v>
      </c>
      <c r="Z180" s="28">
        <f t="shared" ref="Z180:AF180" si="80">H58*$B$102*$B$103*24*365</f>
        <v>13553706.41</v>
      </c>
      <c r="AA180" s="28">
        <f t="shared" si="80"/>
        <v>13372322.58</v>
      </c>
      <c r="AB180" s="28">
        <f t="shared" si="80"/>
        <v>13193366.13</v>
      </c>
      <c r="AC180" s="28">
        <f t="shared" si="80"/>
        <v>13016804.59</v>
      </c>
      <c r="AD180" s="28">
        <f t="shared" si="80"/>
        <v>12842605.89</v>
      </c>
      <c r="AE180" s="28">
        <f t="shared" si="80"/>
        <v>12670738.43</v>
      </c>
      <c r="AF180" s="28">
        <f t="shared" si="80"/>
        <v>12501171.01</v>
      </c>
    </row>
    <row r="181">
      <c r="G181" s="25" t="s">
        <v>134</v>
      </c>
      <c r="H181" s="28">
        <f t="shared" ref="H181:N181" si="81">H113*$B$100</f>
        <v>4194184.972</v>
      </c>
      <c r="I181" s="28">
        <f t="shared" si="81"/>
        <v>4171750.721</v>
      </c>
      <c r="J181" s="28">
        <f t="shared" si="81"/>
        <v>4149436.625</v>
      </c>
      <c r="K181" s="28">
        <f t="shared" si="81"/>
        <v>4127242.041</v>
      </c>
      <c r="L181" s="28">
        <f t="shared" si="81"/>
        <v>4105166.327</v>
      </c>
      <c r="M181" s="28">
        <f t="shared" si="81"/>
        <v>4083208.846</v>
      </c>
      <c r="N181" s="28">
        <f t="shared" si="81"/>
        <v>4061368.964</v>
      </c>
      <c r="P181" s="25" t="s">
        <v>134</v>
      </c>
      <c r="Q181" s="28">
        <f t="shared" ref="Q181:W181" si="82">H113*$B$101</f>
        <v>2240483.425</v>
      </c>
      <c r="R181" s="28">
        <f t="shared" si="82"/>
        <v>2228499.317</v>
      </c>
      <c r="S181" s="28">
        <f t="shared" si="82"/>
        <v>2216579.394</v>
      </c>
      <c r="T181" s="28">
        <f t="shared" si="82"/>
        <v>2204723.312</v>
      </c>
      <c r="U181" s="28">
        <f t="shared" si="82"/>
        <v>2192930.73</v>
      </c>
      <c r="V181" s="28">
        <f t="shared" si="82"/>
        <v>2181201.306</v>
      </c>
      <c r="W181" s="28">
        <f t="shared" si="82"/>
        <v>2169534.703</v>
      </c>
      <c r="Y181" s="25" t="s">
        <v>134</v>
      </c>
      <c r="Z181" s="28">
        <f t="shared" ref="Z181:AF181" si="83">H59*$B$102*$B$103*24*365</f>
        <v>7252827.958</v>
      </c>
      <c r="AA181" s="28">
        <f t="shared" si="83"/>
        <v>7155766.261</v>
      </c>
      <c r="AB181" s="28">
        <f t="shared" si="83"/>
        <v>7060003.502</v>
      </c>
      <c r="AC181" s="28">
        <f t="shared" si="83"/>
        <v>6965522.298</v>
      </c>
      <c r="AD181" s="28">
        <f t="shared" si="83"/>
        <v>6872305.498</v>
      </c>
      <c r="AE181" s="28">
        <f t="shared" si="83"/>
        <v>6780336.181</v>
      </c>
      <c r="AF181" s="28">
        <f t="shared" si="83"/>
        <v>6689597.653</v>
      </c>
    </row>
    <row r="182">
      <c r="G182" s="25" t="s">
        <v>135</v>
      </c>
      <c r="H182" s="28">
        <f t="shared" ref="H182:N182" si="84">H114*$B$100</f>
        <v>6128137.151</v>
      </c>
      <c r="I182" s="28">
        <f t="shared" si="84"/>
        <v>6095342.923</v>
      </c>
      <c r="J182" s="28">
        <f t="shared" si="84"/>
        <v>6062724.398</v>
      </c>
      <c r="K182" s="28">
        <f t="shared" si="84"/>
        <v>6030280.633</v>
      </c>
      <c r="L182" s="28">
        <f t="shared" si="84"/>
        <v>5998010.692</v>
      </c>
      <c r="M182" s="28">
        <f t="shared" si="84"/>
        <v>5965913.642</v>
      </c>
      <c r="N182" s="28">
        <f t="shared" si="84"/>
        <v>5933988.556</v>
      </c>
      <c r="P182" s="25" t="s">
        <v>135</v>
      </c>
      <c r="Q182" s="28">
        <f t="shared" ref="Q182:W182" si="85">H114*$B$101</f>
        <v>3273577.538</v>
      </c>
      <c r="R182" s="28">
        <f t="shared" si="85"/>
        <v>3256059.254</v>
      </c>
      <c r="S182" s="28">
        <f t="shared" si="85"/>
        <v>3238634.828</v>
      </c>
      <c r="T182" s="28">
        <f t="shared" si="85"/>
        <v>3221303.757</v>
      </c>
      <c r="U182" s="28">
        <f t="shared" si="85"/>
        <v>3204065.541</v>
      </c>
      <c r="V182" s="28">
        <f t="shared" si="85"/>
        <v>3186919.68</v>
      </c>
      <c r="W182" s="28">
        <f t="shared" si="85"/>
        <v>3169865.682</v>
      </c>
      <c r="Y182" s="25" t="s">
        <v>135</v>
      </c>
      <c r="Z182" s="28">
        <f t="shared" ref="Z182:AF182" si="86">H60*$B$102*$B$103*24*365</f>
        <v>18797464.65</v>
      </c>
      <c r="AA182" s="28">
        <f t="shared" si="86"/>
        <v>18545905.69</v>
      </c>
      <c r="AB182" s="28">
        <f t="shared" si="86"/>
        <v>18297713.25</v>
      </c>
      <c r="AC182" s="28">
        <f t="shared" si="86"/>
        <v>18052842.27</v>
      </c>
      <c r="AD182" s="28">
        <f t="shared" si="86"/>
        <v>17811248.3</v>
      </c>
      <c r="AE182" s="28">
        <f t="shared" si="86"/>
        <v>17572887.48</v>
      </c>
      <c r="AF182" s="28">
        <f t="shared" si="86"/>
        <v>17337716.56</v>
      </c>
    </row>
    <row r="183">
      <c r="G183" s="25" t="s">
        <v>136</v>
      </c>
      <c r="H183" s="28">
        <f t="shared" ref="H183:N183" si="87">H115*$B$100</f>
        <v>14636531.69</v>
      </c>
      <c r="I183" s="28">
        <f t="shared" si="87"/>
        <v>14558189.44</v>
      </c>
      <c r="J183" s="28">
        <f t="shared" si="87"/>
        <v>14480266.98</v>
      </c>
      <c r="K183" s="28">
        <f t="shared" si="87"/>
        <v>14402762.07</v>
      </c>
      <c r="L183" s="28">
        <f t="shared" si="87"/>
        <v>14325672.48</v>
      </c>
      <c r="M183" s="28">
        <f t="shared" si="87"/>
        <v>14248995.96</v>
      </c>
      <c r="N183" s="28">
        <f t="shared" si="87"/>
        <v>14172730.31</v>
      </c>
      <c r="P183" s="25" t="s">
        <v>136</v>
      </c>
      <c r="Q183" s="28">
        <f t="shared" ref="Q183:W183" si="88">H115*$B$101</f>
        <v>7818660.092</v>
      </c>
      <c r="R183" s="28">
        <f t="shared" si="88"/>
        <v>7776810.597</v>
      </c>
      <c r="S183" s="28">
        <f t="shared" si="88"/>
        <v>7735185.354</v>
      </c>
      <c r="T183" s="28">
        <f t="shared" si="88"/>
        <v>7693783.16</v>
      </c>
      <c r="U183" s="28">
        <f t="shared" si="88"/>
        <v>7652602.819</v>
      </c>
      <c r="V183" s="28">
        <f t="shared" si="88"/>
        <v>7611643.142</v>
      </c>
      <c r="W183" s="28">
        <f t="shared" si="88"/>
        <v>7570902.944</v>
      </c>
      <c r="Y183" s="25" t="s">
        <v>136</v>
      </c>
      <c r="Z183" s="28">
        <f t="shared" ref="Z183:AF183" si="89">H61*$B$102*$B$103*24*365</f>
        <v>58701337.96</v>
      </c>
      <c r="AA183" s="28">
        <f t="shared" si="89"/>
        <v>57915761.42</v>
      </c>
      <c r="AB183" s="28">
        <f t="shared" si="89"/>
        <v>57140697.94</v>
      </c>
      <c r="AC183" s="28">
        <f t="shared" si="89"/>
        <v>56376006.83</v>
      </c>
      <c r="AD183" s="28">
        <f t="shared" si="89"/>
        <v>55621549.27</v>
      </c>
      <c r="AE183" s="28">
        <f t="shared" si="89"/>
        <v>54877188.31</v>
      </c>
      <c r="AF183" s="28">
        <f t="shared" si="89"/>
        <v>54142788.84</v>
      </c>
    </row>
    <row r="184">
      <c r="G184" s="25" t="s">
        <v>137</v>
      </c>
      <c r="H184" s="28">
        <f t="shared" ref="H184:N184" si="90">H116*$B$100</f>
        <v>19896996.83</v>
      </c>
      <c r="I184" s="28">
        <f t="shared" si="90"/>
        <v>15506338.05</v>
      </c>
      <c r="J184" s="28">
        <f t="shared" si="90"/>
        <v>15423334.78</v>
      </c>
      <c r="K184" s="28">
        <f t="shared" si="90"/>
        <v>15340776.32</v>
      </c>
      <c r="L184" s="28">
        <f t="shared" si="90"/>
        <v>15258660.26</v>
      </c>
      <c r="M184" s="28">
        <f t="shared" si="90"/>
        <v>15176984.25</v>
      </c>
      <c r="N184" s="28">
        <f t="shared" si="90"/>
        <v>15095745.91</v>
      </c>
      <c r="P184" s="25" t="s">
        <v>137</v>
      </c>
      <c r="Q184" s="28">
        <f t="shared" ref="Q184:W184" si="91">H116*$B$101</f>
        <v>10628737.62</v>
      </c>
      <c r="R184" s="28">
        <f t="shared" si="91"/>
        <v>8283300.239</v>
      </c>
      <c r="S184" s="28">
        <f t="shared" si="91"/>
        <v>8238960.889</v>
      </c>
      <c r="T184" s="28">
        <f t="shared" si="91"/>
        <v>8194859.145</v>
      </c>
      <c r="U184" s="28">
        <f t="shared" si="91"/>
        <v>8150993.731</v>
      </c>
      <c r="V184" s="28">
        <f t="shared" si="91"/>
        <v>8107363.38</v>
      </c>
      <c r="W184" s="28">
        <f t="shared" si="91"/>
        <v>8063966.833</v>
      </c>
      <c r="Y184" s="25" t="s">
        <v>137</v>
      </c>
      <c r="Z184" s="28">
        <f t="shared" ref="Z184:AF184" si="92">H62*$B$102*$B$103*24*365</f>
        <v>68775696.66</v>
      </c>
      <c r="AA184" s="28">
        <f t="shared" si="92"/>
        <v>67855299.01</v>
      </c>
      <c r="AB184" s="28">
        <f t="shared" si="92"/>
        <v>66947218.67</v>
      </c>
      <c r="AC184" s="28">
        <f t="shared" si="92"/>
        <v>66051290.81</v>
      </c>
      <c r="AD184" s="28">
        <f t="shared" si="92"/>
        <v>65167352.8</v>
      </c>
      <c r="AE184" s="28">
        <f t="shared" si="92"/>
        <v>64295244.17</v>
      </c>
      <c r="AF184" s="28">
        <f t="shared" si="92"/>
        <v>63434806.62</v>
      </c>
    </row>
    <row r="187">
      <c r="S187" s="1" t="s">
        <v>148</v>
      </c>
      <c r="T187" s="1" t="s">
        <v>149</v>
      </c>
      <c r="U187" s="1" t="s">
        <v>150</v>
      </c>
    </row>
    <row r="188">
      <c r="H188" s="23" t="s">
        <v>151</v>
      </c>
      <c r="I188" s="7"/>
      <c r="J188" s="7"/>
      <c r="K188" s="7"/>
      <c r="L188" s="7"/>
      <c r="M188" s="7"/>
      <c r="N188" s="8"/>
      <c r="Q188" s="1">
        <v>2024.0</v>
      </c>
      <c r="R188" s="25" t="s">
        <v>125</v>
      </c>
      <c r="S188" s="5">
        <f>H170</f>
        <v>35976013.21</v>
      </c>
      <c r="T188" s="5">
        <f>Q170</f>
        <v>19217955.77</v>
      </c>
      <c r="U188" s="5">
        <f>Z170</f>
        <v>140636656.1</v>
      </c>
    </row>
    <row r="189">
      <c r="H189" s="24">
        <v>2024.0</v>
      </c>
      <c r="I189" s="24">
        <v>2025.0</v>
      </c>
      <c r="J189" s="24">
        <v>2026.0</v>
      </c>
      <c r="K189" s="24">
        <v>2027.0</v>
      </c>
      <c r="L189" s="24">
        <v>2028.0</v>
      </c>
      <c r="M189" s="24">
        <v>2029.0</v>
      </c>
      <c r="N189" s="24">
        <v>2030.0</v>
      </c>
      <c r="Q189" s="1">
        <v>2024.0</v>
      </c>
      <c r="R189" s="25" t="s">
        <v>132</v>
      </c>
      <c r="S189" s="5">
        <f>H179</f>
        <v>35783454.74</v>
      </c>
      <c r="T189" s="5">
        <f>Q179</f>
        <v>19115093.35</v>
      </c>
      <c r="U189" s="5">
        <f>Z179</f>
        <v>138754571.9</v>
      </c>
      <c r="V189" s="5"/>
      <c r="W189" s="5"/>
    </row>
    <row r="190">
      <c r="G190" s="25" t="s">
        <v>125</v>
      </c>
      <c r="H190" s="28">
        <f t="shared" ref="H190:N190" si="93">H170+Q170+Z170</f>
        <v>195830625.1</v>
      </c>
      <c r="I190" s="28">
        <f t="shared" si="93"/>
        <v>195830625.1</v>
      </c>
      <c r="J190" s="28">
        <f t="shared" si="93"/>
        <v>195830625.1</v>
      </c>
      <c r="K190" s="28">
        <f t="shared" si="93"/>
        <v>195830625.1</v>
      </c>
      <c r="L190" s="28">
        <f t="shared" si="93"/>
        <v>195830625.1</v>
      </c>
      <c r="M190" s="28">
        <f t="shared" si="93"/>
        <v>195830625.1</v>
      </c>
      <c r="N190" s="28">
        <f t="shared" si="93"/>
        <v>195830625.1</v>
      </c>
      <c r="Q190" s="1">
        <v>2024.0</v>
      </c>
      <c r="R190" s="25" t="s">
        <v>126</v>
      </c>
      <c r="S190" s="5">
        <f>H171</f>
        <v>5408699.274</v>
      </c>
      <c r="T190" s="5">
        <f>Q171</f>
        <v>2889262.433</v>
      </c>
      <c r="U190" s="5">
        <f>Z171</f>
        <v>13737550.56</v>
      </c>
      <c r="V190" s="5"/>
      <c r="W190" s="5"/>
    </row>
    <row r="191">
      <c r="G191" s="25" t="s">
        <v>126</v>
      </c>
      <c r="H191" s="28">
        <f t="shared" ref="H191:N191" si="94">H171+Q171+Z171</f>
        <v>22035512.26</v>
      </c>
      <c r="I191" s="28">
        <f t="shared" si="94"/>
        <v>22035512.26</v>
      </c>
      <c r="J191" s="28">
        <f t="shared" si="94"/>
        <v>22035512.26</v>
      </c>
      <c r="K191" s="28">
        <f t="shared" si="94"/>
        <v>22035512.26</v>
      </c>
      <c r="L191" s="28">
        <f t="shared" si="94"/>
        <v>22035512.26</v>
      </c>
      <c r="M191" s="28">
        <f t="shared" si="94"/>
        <v>22035512.26</v>
      </c>
      <c r="N191" s="28">
        <f t="shared" si="94"/>
        <v>22035512.26</v>
      </c>
      <c r="Q191" s="1">
        <v>2024.0</v>
      </c>
      <c r="R191" s="25" t="s">
        <v>133</v>
      </c>
      <c r="S191" s="5">
        <f>H180</f>
        <v>5379759.404</v>
      </c>
      <c r="T191" s="5">
        <f>Q180</f>
        <v>2873803.1</v>
      </c>
      <c r="U191" s="5">
        <f>Z180</f>
        <v>13553706.41</v>
      </c>
      <c r="V191" s="5"/>
      <c r="W191" s="5"/>
    </row>
    <row r="192">
      <c r="G192" s="25" t="s">
        <v>127</v>
      </c>
      <c r="H192" s="28">
        <f t="shared" ref="H192:N192" si="95">H172+Q172+Z172</f>
        <v>13820478.05</v>
      </c>
      <c r="I192" s="28">
        <f t="shared" si="95"/>
        <v>13820478.05</v>
      </c>
      <c r="J192" s="28">
        <f t="shared" si="95"/>
        <v>13820478.05</v>
      </c>
      <c r="K192" s="28">
        <f t="shared" si="95"/>
        <v>13820478.05</v>
      </c>
      <c r="L192" s="28">
        <f t="shared" si="95"/>
        <v>13820478.05</v>
      </c>
      <c r="M192" s="28">
        <f t="shared" si="95"/>
        <v>13820478.05</v>
      </c>
      <c r="N192" s="28">
        <f t="shared" si="95"/>
        <v>13820478.05</v>
      </c>
      <c r="Q192" s="1">
        <v>2024.0</v>
      </c>
      <c r="R192" s="25" t="s">
        <v>127</v>
      </c>
      <c r="S192" s="5">
        <f>H172</f>
        <v>4216739.983</v>
      </c>
      <c r="T192" s="5">
        <f>Q172</f>
        <v>2252532.042</v>
      </c>
      <c r="U192" s="5">
        <f>Z172</f>
        <v>7351206.025</v>
      </c>
      <c r="V192" s="5"/>
      <c r="W192" s="5"/>
    </row>
    <row r="193">
      <c r="G193" s="25" t="s">
        <v>128</v>
      </c>
      <c r="H193" s="28">
        <f t="shared" ref="H193:N193" si="96">H173+Q173+Z173</f>
        <v>28504736.73</v>
      </c>
      <c r="I193" s="28">
        <f t="shared" si="96"/>
        <v>28504736.73</v>
      </c>
      <c r="J193" s="28">
        <f t="shared" si="96"/>
        <v>28504736.73</v>
      </c>
      <c r="K193" s="28">
        <f t="shared" si="96"/>
        <v>28504736.73</v>
      </c>
      <c r="L193" s="28">
        <f t="shared" si="96"/>
        <v>28504736.73</v>
      </c>
      <c r="M193" s="28">
        <f t="shared" si="96"/>
        <v>28504736.73</v>
      </c>
      <c r="N193" s="28">
        <f t="shared" si="96"/>
        <v>28504736.73</v>
      </c>
      <c r="Q193" s="1">
        <v>2024.0</v>
      </c>
      <c r="R193" s="25" t="s">
        <v>134</v>
      </c>
      <c r="S193" s="5">
        <f>H181</f>
        <v>4194184.972</v>
      </c>
      <c r="T193" s="5">
        <f>Q181</f>
        <v>2240483.425</v>
      </c>
      <c r="U193" s="5">
        <f>Z181</f>
        <v>7252827.958</v>
      </c>
      <c r="V193" s="5"/>
      <c r="W193" s="5"/>
    </row>
    <row r="194">
      <c r="G194" s="25" t="s">
        <v>129</v>
      </c>
      <c r="H194" s="28">
        <f t="shared" ref="H194:N194" si="97">H174+Q174+Z174</f>
        <v>82073601.21</v>
      </c>
      <c r="I194" s="28">
        <f t="shared" si="97"/>
        <v>82073601.21</v>
      </c>
      <c r="J194" s="28">
        <f t="shared" si="97"/>
        <v>82073601.21</v>
      </c>
      <c r="K194" s="28">
        <f t="shared" si="97"/>
        <v>82073601.21</v>
      </c>
      <c r="L194" s="28">
        <f t="shared" si="97"/>
        <v>82073601.21</v>
      </c>
      <c r="M194" s="28">
        <f t="shared" si="97"/>
        <v>82073601.21</v>
      </c>
      <c r="N194" s="28">
        <f t="shared" si="97"/>
        <v>82073601.21</v>
      </c>
      <c r="Q194" s="1">
        <v>2024.0</v>
      </c>
      <c r="R194" s="25" t="s">
        <v>128</v>
      </c>
      <c r="S194" s="5">
        <f>H173</f>
        <v>6161108.323</v>
      </c>
      <c r="T194" s="5">
        <f>Q173</f>
        <v>3291190.343</v>
      </c>
      <c r="U194" s="5">
        <f>Z173</f>
        <v>19052438.06</v>
      </c>
      <c r="V194" s="5"/>
      <c r="W194" s="5"/>
    </row>
    <row r="195">
      <c r="G195" s="25" t="s">
        <v>130</v>
      </c>
      <c r="H195" s="28">
        <f t="shared" ref="H195:N195" si="98">H175+Q175+Z175</f>
        <v>100398564.3</v>
      </c>
      <c r="I195" s="28">
        <f t="shared" si="98"/>
        <v>100398564.3</v>
      </c>
      <c r="J195" s="28">
        <f t="shared" si="98"/>
        <v>100398564.3</v>
      </c>
      <c r="K195" s="28">
        <f t="shared" si="98"/>
        <v>100398564.3</v>
      </c>
      <c r="L195" s="28">
        <f t="shared" si="98"/>
        <v>100398564.3</v>
      </c>
      <c r="M195" s="28">
        <f t="shared" si="98"/>
        <v>100398564.3</v>
      </c>
      <c r="N195" s="28">
        <f t="shared" si="98"/>
        <v>100398564.3</v>
      </c>
      <c r="Q195" s="1">
        <v>2024.0</v>
      </c>
      <c r="R195" s="25" t="s">
        <v>135</v>
      </c>
      <c r="S195" s="5">
        <f>H182</f>
        <v>6128137.151</v>
      </c>
      <c r="T195" s="5">
        <f>Q182</f>
        <v>3273577.538</v>
      </c>
      <c r="U195" s="5">
        <f>Z182</f>
        <v>18797464.65</v>
      </c>
      <c r="V195" s="5"/>
      <c r="W195" s="5"/>
    </row>
    <row r="196">
      <c r="Q196" s="1">
        <v>2024.0</v>
      </c>
      <c r="R196" s="25" t="s">
        <v>129</v>
      </c>
      <c r="S196" s="5">
        <f>H174</f>
        <v>14715296.01</v>
      </c>
      <c r="T196" s="5">
        <f>Q174</f>
        <v>7860735.048</v>
      </c>
      <c r="U196" s="5">
        <f>Z174</f>
        <v>59497570.15</v>
      </c>
    </row>
    <row r="197">
      <c r="H197" s="23" t="s">
        <v>152</v>
      </c>
      <c r="I197" s="7"/>
      <c r="J197" s="7"/>
      <c r="K197" s="7"/>
      <c r="L197" s="7"/>
      <c r="M197" s="7"/>
      <c r="N197" s="8"/>
      <c r="Q197" s="1">
        <v>2024.0</v>
      </c>
      <c r="R197" s="25" t="s">
        <v>136</v>
      </c>
      <c r="S197" s="5">
        <f>H183</f>
        <v>14636531.69</v>
      </c>
      <c r="T197" s="5">
        <f>Q183</f>
        <v>7818660.092</v>
      </c>
      <c r="U197" s="5">
        <f>Z183</f>
        <v>58701337.96</v>
      </c>
    </row>
    <row r="198">
      <c r="H198" s="24">
        <v>2024.0</v>
      </c>
      <c r="I198" s="24">
        <v>2025.0</v>
      </c>
      <c r="J198" s="24">
        <v>2026.0</v>
      </c>
      <c r="K198" s="24">
        <v>2027.0</v>
      </c>
      <c r="L198" s="24">
        <v>2028.0</v>
      </c>
      <c r="M198" s="24">
        <v>2029.0</v>
      </c>
      <c r="N198" s="24">
        <v>2030.0</v>
      </c>
      <c r="Q198" s="1">
        <v>2024.0</v>
      </c>
      <c r="R198" s="25" t="s">
        <v>130</v>
      </c>
      <c r="S198" s="5">
        <f>H175</f>
        <v>20004057.48</v>
      </c>
      <c r="T198" s="5">
        <f>Q175</f>
        <v>10685928.14</v>
      </c>
      <c r="U198" s="5">
        <f>Z175</f>
        <v>69708578.7</v>
      </c>
      <c r="V198" s="5"/>
      <c r="W198" s="5"/>
    </row>
    <row r="199">
      <c r="G199" s="25" t="s">
        <v>132</v>
      </c>
      <c r="H199" s="28">
        <f t="shared" ref="H199:N199" si="99">H179+Q179+Z179</f>
        <v>193653120</v>
      </c>
      <c r="I199" s="28">
        <f t="shared" si="99"/>
        <v>184642313</v>
      </c>
      <c r="J199" s="28">
        <f t="shared" si="99"/>
        <v>182554694.8</v>
      </c>
      <c r="K199" s="28">
        <f t="shared" si="99"/>
        <v>180492963.7</v>
      </c>
      <c r="L199" s="28">
        <f t="shared" si="99"/>
        <v>178456784.2</v>
      </c>
      <c r="M199" s="28">
        <f t="shared" si="99"/>
        <v>176445825.4</v>
      </c>
      <c r="N199" s="28">
        <f t="shared" si="99"/>
        <v>174459760.5</v>
      </c>
      <c r="Q199" s="1">
        <v>2024.0</v>
      </c>
      <c r="R199" s="25" t="s">
        <v>137</v>
      </c>
      <c r="S199" s="5">
        <f>H184</f>
        <v>19896996.83</v>
      </c>
      <c r="T199" s="5">
        <f>Q184</f>
        <v>10628737.62</v>
      </c>
      <c r="U199" s="5">
        <f>Z184</f>
        <v>68775696.66</v>
      </c>
      <c r="V199" s="5"/>
      <c r="W199" s="5"/>
    </row>
    <row r="200">
      <c r="G200" s="25" t="s">
        <v>133</v>
      </c>
      <c r="H200" s="28">
        <f t="shared" ref="H200:N200" si="100">H180+Q180+Z180</f>
        <v>21807268.91</v>
      </c>
      <c r="I200" s="28">
        <f t="shared" si="100"/>
        <v>21581723.73</v>
      </c>
      <c r="J200" s="28">
        <f t="shared" si="100"/>
        <v>21358842.51</v>
      </c>
      <c r="K200" s="28">
        <f t="shared" si="100"/>
        <v>21138591.51</v>
      </c>
      <c r="L200" s="28">
        <f t="shared" si="100"/>
        <v>20920937.4</v>
      </c>
      <c r="M200" s="28">
        <f t="shared" si="100"/>
        <v>20705847.32</v>
      </c>
      <c r="N200" s="28">
        <f t="shared" si="100"/>
        <v>20493288.81</v>
      </c>
      <c r="V200" s="5"/>
      <c r="W200" s="5"/>
    </row>
    <row r="201">
      <c r="G201" s="25" t="s">
        <v>134</v>
      </c>
      <c r="H201" s="28">
        <f t="shared" ref="H201:N201" si="101">H181+Q181+Z181</f>
        <v>13687496.35</v>
      </c>
      <c r="I201" s="28">
        <f t="shared" si="101"/>
        <v>13556016.3</v>
      </c>
      <c r="J201" s="28">
        <f t="shared" si="101"/>
        <v>13426019.52</v>
      </c>
      <c r="K201" s="28">
        <f t="shared" si="101"/>
        <v>13297487.65</v>
      </c>
      <c r="L201" s="28">
        <f t="shared" si="101"/>
        <v>13170402.55</v>
      </c>
      <c r="M201" s="28">
        <f t="shared" si="101"/>
        <v>13044746.33</v>
      </c>
      <c r="N201" s="28">
        <f t="shared" si="101"/>
        <v>12920501.32</v>
      </c>
      <c r="Q201" s="1">
        <v>2025.0</v>
      </c>
      <c r="R201" s="25" t="s">
        <v>125</v>
      </c>
      <c r="S201" s="5">
        <f t="shared" ref="S201:S206" si="103">I170</f>
        <v>35976013.21</v>
      </c>
      <c r="T201" s="5">
        <f t="shared" ref="T201:T206" si="104">R170</f>
        <v>19217955.77</v>
      </c>
      <c r="U201" s="5">
        <f t="shared" ref="U201:U206" si="105">AA170</f>
        <v>140636656.1</v>
      </c>
      <c r="V201" s="5"/>
      <c r="W201" s="5"/>
    </row>
    <row r="202">
      <c r="G202" s="25" t="s">
        <v>135</v>
      </c>
      <c r="H202" s="28">
        <f t="shared" ref="H202:N202" si="102">H182+Q182+Z182</f>
        <v>28199179.34</v>
      </c>
      <c r="I202" s="28">
        <f t="shared" si="102"/>
        <v>27897307.87</v>
      </c>
      <c r="J202" s="28">
        <f t="shared" si="102"/>
        <v>27599072.48</v>
      </c>
      <c r="K202" s="28">
        <f t="shared" si="102"/>
        <v>27304426.66</v>
      </c>
      <c r="L202" s="28">
        <f t="shared" si="102"/>
        <v>27013324.53</v>
      </c>
      <c r="M202" s="28">
        <f t="shared" si="102"/>
        <v>26725720.81</v>
      </c>
      <c r="N202" s="28">
        <f t="shared" si="102"/>
        <v>26441570.79</v>
      </c>
      <c r="Q202" s="1">
        <v>2025.0</v>
      </c>
      <c r="R202" s="25" t="s">
        <v>126</v>
      </c>
      <c r="S202" s="5">
        <f t="shared" si="103"/>
        <v>5408699.274</v>
      </c>
      <c r="T202" s="5">
        <f t="shared" si="104"/>
        <v>2889262.433</v>
      </c>
      <c r="U202" s="5">
        <f t="shared" si="105"/>
        <v>13737550.56</v>
      </c>
      <c r="V202" s="5"/>
      <c r="W202" s="5"/>
    </row>
    <row r="203">
      <c r="G203" s="25" t="s">
        <v>136</v>
      </c>
      <c r="H203" s="28">
        <f t="shared" ref="H203:N203" si="106">H183+Q183+Z183</f>
        <v>81156529.74</v>
      </c>
      <c r="I203" s="28">
        <f t="shared" si="106"/>
        <v>80250761.46</v>
      </c>
      <c r="J203" s="28">
        <f t="shared" si="106"/>
        <v>79356150.28</v>
      </c>
      <c r="K203" s="28">
        <f t="shared" si="106"/>
        <v>78472552.06</v>
      </c>
      <c r="L203" s="28">
        <f t="shared" si="106"/>
        <v>77599824.56</v>
      </c>
      <c r="M203" s="28">
        <f t="shared" si="106"/>
        <v>76737827.41</v>
      </c>
      <c r="N203" s="28">
        <f t="shared" si="106"/>
        <v>75886422.09</v>
      </c>
      <c r="Q203" s="1">
        <v>2025.0</v>
      </c>
      <c r="R203" s="25" t="s">
        <v>127</v>
      </c>
      <c r="S203" s="5">
        <f t="shared" si="103"/>
        <v>4216739.983</v>
      </c>
      <c r="T203" s="5">
        <f t="shared" si="104"/>
        <v>2252532.042</v>
      </c>
      <c r="U203" s="5">
        <f t="shared" si="105"/>
        <v>7351206.025</v>
      </c>
      <c r="V203" s="5"/>
      <c r="W203" s="5"/>
    </row>
    <row r="204">
      <c r="G204" s="25" t="s">
        <v>137</v>
      </c>
      <c r="H204" s="28">
        <f t="shared" ref="H204:N204" si="107">H184+Q184+Z184</f>
        <v>99301431.11</v>
      </c>
      <c r="I204" s="28">
        <f t="shared" si="107"/>
        <v>91644937.3</v>
      </c>
      <c r="J204" s="28">
        <f t="shared" si="107"/>
        <v>90609514.35</v>
      </c>
      <c r="K204" s="28">
        <f t="shared" si="107"/>
        <v>89586926.28</v>
      </c>
      <c r="L204" s="28">
        <f t="shared" si="107"/>
        <v>88577006.79</v>
      </c>
      <c r="M204" s="28">
        <f t="shared" si="107"/>
        <v>87579591.8</v>
      </c>
      <c r="N204" s="28">
        <f t="shared" si="107"/>
        <v>86594519.36</v>
      </c>
      <c r="Q204" s="1">
        <v>2025.0</v>
      </c>
      <c r="R204" s="25" t="s">
        <v>128</v>
      </c>
      <c r="S204" s="5">
        <f t="shared" si="103"/>
        <v>6161108.323</v>
      </c>
      <c r="T204" s="5">
        <f t="shared" si="104"/>
        <v>3291190.343</v>
      </c>
      <c r="U204" s="5">
        <f t="shared" si="105"/>
        <v>19052438.06</v>
      </c>
      <c r="V204" s="5"/>
      <c r="W204" s="5"/>
    </row>
    <row r="205">
      <c r="Q205" s="1">
        <v>2025.0</v>
      </c>
      <c r="R205" s="25" t="s">
        <v>129</v>
      </c>
      <c r="S205" s="5">
        <f t="shared" si="103"/>
        <v>14715296.01</v>
      </c>
      <c r="T205" s="5">
        <f t="shared" si="104"/>
        <v>7860735.048</v>
      </c>
      <c r="U205" s="5">
        <f t="shared" si="105"/>
        <v>59497570.15</v>
      </c>
    </row>
    <row r="206">
      <c r="Q206" s="1">
        <v>2025.0</v>
      </c>
      <c r="R206" s="25" t="s">
        <v>130</v>
      </c>
      <c r="S206" s="5">
        <f t="shared" si="103"/>
        <v>20004057.48</v>
      </c>
      <c r="T206" s="5">
        <f t="shared" si="104"/>
        <v>10685928.14</v>
      </c>
      <c r="U206" s="5">
        <f t="shared" si="105"/>
        <v>69708578.7</v>
      </c>
    </row>
    <row r="207">
      <c r="Q207" s="1">
        <v>2025.0</v>
      </c>
      <c r="R207" s="25" t="s">
        <v>132</v>
      </c>
      <c r="S207" s="5">
        <f t="shared" ref="S207:S212" si="108">I179</f>
        <v>31120460.42</v>
      </c>
      <c r="T207" s="5">
        <f t="shared" ref="T207:T212" si="109">R179</f>
        <v>16624177.57</v>
      </c>
      <c r="U207" s="5">
        <f t="shared" ref="U207:U212" si="110">AA179</f>
        <v>136897675</v>
      </c>
      <c r="V207" s="5"/>
      <c r="W207" s="5"/>
    </row>
    <row r="208">
      <c r="Q208" s="1">
        <v>2025.0</v>
      </c>
      <c r="R208" s="25" t="s">
        <v>133</v>
      </c>
      <c r="S208" s="5">
        <f t="shared" si="108"/>
        <v>5350974.569</v>
      </c>
      <c r="T208" s="5">
        <f t="shared" si="109"/>
        <v>2858426.586</v>
      </c>
      <c r="U208" s="5">
        <f t="shared" si="110"/>
        <v>13372322.58</v>
      </c>
      <c r="V208" s="5"/>
      <c r="W208" s="5"/>
    </row>
    <row r="209">
      <c r="Q209" s="1">
        <v>2025.0</v>
      </c>
      <c r="R209" s="25" t="s">
        <v>134</v>
      </c>
      <c r="S209" s="5">
        <f t="shared" si="108"/>
        <v>4171750.721</v>
      </c>
      <c r="T209" s="5">
        <f t="shared" si="109"/>
        <v>2228499.317</v>
      </c>
      <c r="U209" s="5">
        <f t="shared" si="110"/>
        <v>7155766.261</v>
      </c>
      <c r="V209" s="5"/>
      <c r="W209" s="5"/>
    </row>
    <row r="210">
      <c r="Q210" s="1">
        <v>2025.0</v>
      </c>
      <c r="R210" s="25" t="s">
        <v>135</v>
      </c>
      <c r="S210" s="5">
        <f t="shared" si="108"/>
        <v>6095342.923</v>
      </c>
      <c r="T210" s="5">
        <f t="shared" si="109"/>
        <v>3256059.254</v>
      </c>
      <c r="U210" s="5">
        <f t="shared" si="110"/>
        <v>18545905.69</v>
      </c>
      <c r="V210" s="5"/>
      <c r="W210" s="5"/>
    </row>
    <row r="211">
      <c r="Q211" s="1">
        <v>2025.0</v>
      </c>
      <c r="R211" s="25" t="s">
        <v>136</v>
      </c>
      <c r="S211" s="5">
        <f t="shared" si="108"/>
        <v>14558189.44</v>
      </c>
      <c r="T211" s="5">
        <f t="shared" si="109"/>
        <v>7776810.597</v>
      </c>
      <c r="U211" s="5">
        <f t="shared" si="110"/>
        <v>57915761.42</v>
      </c>
      <c r="V211" s="5"/>
      <c r="W211" s="5"/>
    </row>
    <row r="212">
      <c r="Q212" s="1">
        <v>2025.0</v>
      </c>
      <c r="R212" s="25" t="s">
        <v>137</v>
      </c>
      <c r="S212" s="5">
        <f t="shared" si="108"/>
        <v>15506338.05</v>
      </c>
      <c r="T212" s="5">
        <f t="shared" si="109"/>
        <v>8283300.239</v>
      </c>
      <c r="U212" s="5">
        <f t="shared" si="110"/>
        <v>67855299.01</v>
      </c>
      <c r="V212" s="5"/>
      <c r="W212" s="5"/>
    </row>
    <row r="213">
      <c r="Q213" s="1">
        <v>2026.0</v>
      </c>
      <c r="R213" s="25" t="s">
        <v>125</v>
      </c>
      <c r="S213" s="5">
        <f t="shared" ref="S213:U213" si="111">J170</f>
        <v>35976013.21</v>
      </c>
      <c r="T213" s="5">
        <f t="shared" si="111"/>
        <v>35976013.21</v>
      </c>
      <c r="U213" s="5">
        <f t="shared" si="111"/>
        <v>35976013.21</v>
      </c>
      <c r="V213" s="5"/>
      <c r="W213" s="5"/>
    </row>
    <row r="214">
      <c r="Q214" s="1">
        <v>2026.0</v>
      </c>
      <c r="R214" s="25" t="s">
        <v>126</v>
      </c>
      <c r="S214" s="5">
        <f t="shared" ref="S214:U214" si="112">J171</f>
        <v>5408699.274</v>
      </c>
      <c r="T214" s="5">
        <f t="shared" si="112"/>
        <v>5408699.274</v>
      </c>
      <c r="U214" s="5">
        <f t="shared" si="112"/>
        <v>5408699.274</v>
      </c>
    </row>
    <row r="215">
      <c r="Q215" s="1">
        <v>2026.0</v>
      </c>
      <c r="R215" s="25" t="s">
        <v>127</v>
      </c>
      <c r="S215" s="5">
        <f t="shared" ref="S215:U215" si="113">J172</f>
        <v>4216739.983</v>
      </c>
      <c r="T215" s="5">
        <f t="shared" si="113"/>
        <v>4216739.983</v>
      </c>
      <c r="U215" s="5">
        <f t="shared" si="113"/>
        <v>4216739.983</v>
      </c>
    </row>
    <row r="216">
      <c r="Q216" s="1">
        <v>2026.0</v>
      </c>
      <c r="R216" s="25" t="s">
        <v>128</v>
      </c>
      <c r="S216" s="5">
        <f t="shared" ref="S216:U216" si="114">J173</f>
        <v>6161108.323</v>
      </c>
      <c r="T216" s="5">
        <f t="shared" si="114"/>
        <v>6161108.323</v>
      </c>
      <c r="U216" s="5">
        <f t="shared" si="114"/>
        <v>6161108.323</v>
      </c>
    </row>
    <row r="217">
      <c r="Q217" s="1">
        <v>2026.0</v>
      </c>
      <c r="R217" s="25" t="s">
        <v>129</v>
      </c>
      <c r="S217" s="5">
        <f t="shared" ref="S217:U217" si="115">J174</f>
        <v>14715296.01</v>
      </c>
      <c r="T217" s="5">
        <f t="shared" si="115"/>
        <v>14715296.01</v>
      </c>
      <c r="U217" s="5">
        <f t="shared" si="115"/>
        <v>14715296.01</v>
      </c>
    </row>
    <row r="218">
      <c r="Q218" s="1">
        <v>2026.0</v>
      </c>
      <c r="R218" s="25" t="s">
        <v>130</v>
      </c>
      <c r="S218" s="5">
        <f t="shared" ref="S218:U218" si="116">J175</f>
        <v>20004057.48</v>
      </c>
      <c r="T218" s="5">
        <f t="shared" si="116"/>
        <v>20004057.48</v>
      </c>
      <c r="U218" s="5">
        <f t="shared" si="116"/>
        <v>20004057.48</v>
      </c>
    </row>
    <row r="219">
      <c r="Q219" s="1">
        <v>2026.0</v>
      </c>
      <c r="R219" s="25" t="s">
        <v>132</v>
      </c>
      <c r="S219" s="5">
        <f t="shared" ref="S219:U219" si="117">J179</f>
        <v>30953876.3</v>
      </c>
      <c r="T219" s="5">
        <f t="shared" si="117"/>
        <v>30788184.87</v>
      </c>
      <c r="U219" s="5">
        <f t="shared" si="117"/>
        <v>30623381.34</v>
      </c>
    </row>
    <row r="220">
      <c r="Q220" s="1">
        <v>2026.0</v>
      </c>
      <c r="R220" s="25" t="s">
        <v>133</v>
      </c>
      <c r="S220" s="5">
        <f t="shared" ref="S220:U220" si="118">J180</f>
        <v>5322343.938</v>
      </c>
      <c r="T220" s="5">
        <f t="shared" si="118"/>
        <v>5293866.684</v>
      </c>
      <c r="U220" s="5">
        <f t="shared" si="118"/>
        <v>5265541.984</v>
      </c>
    </row>
    <row r="221">
      <c r="Q221" s="1">
        <v>2026.0</v>
      </c>
      <c r="R221" s="25" t="s">
        <v>134</v>
      </c>
      <c r="S221" s="5">
        <f t="shared" ref="S221:U221" si="119">J181</f>
        <v>4149436.625</v>
      </c>
      <c r="T221" s="5">
        <f t="shared" si="119"/>
        <v>4127242.041</v>
      </c>
      <c r="U221" s="5">
        <f t="shared" si="119"/>
        <v>4105166.327</v>
      </c>
    </row>
    <row r="222">
      <c r="Q222" s="1">
        <v>2026.0</v>
      </c>
      <c r="R222" s="25" t="s">
        <v>135</v>
      </c>
      <c r="S222" s="5">
        <f t="shared" ref="S222:U222" si="120">J182</f>
        <v>6062724.398</v>
      </c>
      <c r="T222" s="5">
        <f t="shared" si="120"/>
        <v>6030280.633</v>
      </c>
      <c r="U222" s="5">
        <f t="shared" si="120"/>
        <v>5998010.692</v>
      </c>
    </row>
    <row r="223">
      <c r="Q223" s="1">
        <v>2026.0</v>
      </c>
      <c r="R223" s="25" t="s">
        <v>136</v>
      </c>
      <c r="S223" s="5">
        <f t="shared" ref="S223:U223" si="121">J183</f>
        <v>14480266.98</v>
      </c>
      <c r="T223" s="5">
        <f t="shared" si="121"/>
        <v>14402762.07</v>
      </c>
      <c r="U223" s="5">
        <f t="shared" si="121"/>
        <v>14325672.48</v>
      </c>
    </row>
    <row r="224">
      <c r="Q224" s="1">
        <v>2026.0</v>
      </c>
      <c r="R224" s="25" t="s">
        <v>137</v>
      </c>
      <c r="S224" s="5">
        <f t="shared" ref="S224:U224" si="122">J184</f>
        <v>15423334.78</v>
      </c>
      <c r="T224" s="5">
        <f t="shared" si="122"/>
        <v>15340776.32</v>
      </c>
      <c r="U224" s="5">
        <f t="shared" si="122"/>
        <v>15258660.26</v>
      </c>
    </row>
  </sheetData>
  <mergeCells count="19">
    <mergeCell ref="H1:N1"/>
    <mergeCell ref="H10:N10"/>
    <mergeCell ref="H19:N19"/>
    <mergeCell ref="H28:N28"/>
    <mergeCell ref="H37:N37"/>
    <mergeCell ref="H46:N46"/>
    <mergeCell ref="H55:N55"/>
    <mergeCell ref="H177:N177"/>
    <mergeCell ref="Q177:W177"/>
    <mergeCell ref="Z177:AF177"/>
    <mergeCell ref="H188:N188"/>
    <mergeCell ref="H197:N197"/>
    <mergeCell ref="H100:N100"/>
    <mergeCell ref="H109:N109"/>
    <mergeCell ref="H118:N118"/>
    <mergeCell ref="H127:N127"/>
    <mergeCell ref="H168:N168"/>
    <mergeCell ref="Q168:W168"/>
    <mergeCell ref="Z168:AF168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9.88"/>
    <col customWidth="1" min="2" max="2" width="8.0"/>
    <col customWidth="1" min="3" max="3" width="11.25"/>
    <col customWidth="1" min="4" max="4" width="15.5"/>
    <col customWidth="1" min="5" max="5" width="16.88"/>
    <col customWidth="1" min="7" max="7" width="5.63"/>
    <col customWidth="1" min="8" max="8" width="25.63"/>
    <col customWidth="1" min="9" max="10" width="18.75"/>
  </cols>
  <sheetData>
    <row r="1">
      <c r="A1" s="1" t="s">
        <v>0</v>
      </c>
      <c r="B1" s="1"/>
      <c r="C1" s="1" t="s">
        <v>1</v>
      </c>
      <c r="D1" s="1" t="s">
        <v>2</v>
      </c>
      <c r="E1" s="1" t="s">
        <v>3</v>
      </c>
    </row>
    <row r="2">
      <c r="A2" s="1" t="s">
        <v>4</v>
      </c>
      <c r="B2" s="2">
        <v>0.1</v>
      </c>
      <c r="C2" s="1" t="s">
        <v>5</v>
      </c>
      <c r="D2" s="1" t="s">
        <v>6</v>
      </c>
      <c r="E2" s="1" t="s">
        <v>7</v>
      </c>
    </row>
    <row r="3">
      <c r="A3" s="1" t="s">
        <v>8</v>
      </c>
      <c r="B3" s="2">
        <v>15.0</v>
      </c>
      <c r="C3" s="1" t="s">
        <v>5</v>
      </c>
      <c r="D3" s="1" t="s">
        <v>9</v>
      </c>
      <c r="E3" s="1" t="s">
        <v>10</v>
      </c>
    </row>
    <row r="4">
      <c r="A4" s="1" t="s">
        <v>11</v>
      </c>
      <c r="B4" s="2">
        <v>7.38</v>
      </c>
      <c r="C4" s="1" t="s">
        <v>5</v>
      </c>
      <c r="D4" s="1" t="s">
        <v>12</v>
      </c>
      <c r="E4" s="1" t="s">
        <v>7</v>
      </c>
      <c r="G4" s="1"/>
      <c r="H4" s="3" t="s">
        <v>13</v>
      </c>
      <c r="I4" s="3" t="s">
        <v>14</v>
      </c>
      <c r="J4" s="3" t="s">
        <v>15</v>
      </c>
      <c r="K4" s="3" t="s">
        <v>16</v>
      </c>
      <c r="L4" s="3" t="s">
        <v>17</v>
      </c>
    </row>
    <row r="5">
      <c r="A5" s="1" t="s">
        <v>18</v>
      </c>
      <c r="B5" s="2">
        <v>4.0</v>
      </c>
      <c r="C5" s="4" t="s">
        <v>19</v>
      </c>
      <c r="D5" s="1" t="s">
        <v>20</v>
      </c>
      <c r="E5" s="1" t="s">
        <v>21</v>
      </c>
      <c r="G5" s="1"/>
      <c r="H5" s="3" t="s">
        <v>22</v>
      </c>
      <c r="I5" s="3" t="s">
        <v>23</v>
      </c>
      <c r="J5" s="3" t="s">
        <v>24</v>
      </c>
      <c r="K5" s="3" t="s">
        <v>25</v>
      </c>
      <c r="L5" s="3" t="s">
        <v>26</v>
      </c>
    </row>
    <row r="6">
      <c r="A6" s="1" t="s">
        <v>27</v>
      </c>
      <c r="B6" s="2">
        <v>44.01</v>
      </c>
      <c r="C6" s="1" t="s">
        <v>28</v>
      </c>
      <c r="D6" s="1" t="s">
        <v>29</v>
      </c>
      <c r="E6" s="1" t="s">
        <v>30</v>
      </c>
      <c r="H6" s="3" t="s">
        <v>31</v>
      </c>
      <c r="I6" s="3" t="s">
        <v>32</v>
      </c>
      <c r="J6" s="3" t="s">
        <v>33</v>
      </c>
      <c r="K6" s="3" t="s">
        <v>34</v>
      </c>
      <c r="L6" s="3" t="s">
        <v>35</v>
      </c>
    </row>
    <row r="7">
      <c r="A7" s="1" t="s">
        <v>36</v>
      </c>
      <c r="B7" s="2">
        <v>8.314</v>
      </c>
      <c r="C7" s="1" t="s">
        <v>37</v>
      </c>
      <c r="D7" s="1" t="s">
        <v>38</v>
      </c>
      <c r="E7" s="1" t="s">
        <v>30</v>
      </c>
      <c r="H7" s="3" t="s">
        <v>39</v>
      </c>
      <c r="I7" s="3" t="s">
        <v>40</v>
      </c>
      <c r="J7" s="3" t="s">
        <v>41</v>
      </c>
      <c r="K7" s="3" t="s">
        <v>42</v>
      </c>
      <c r="L7" s="3" t="s">
        <v>43</v>
      </c>
    </row>
    <row r="8">
      <c r="A8" s="1" t="s">
        <v>44</v>
      </c>
      <c r="B8" s="2">
        <v>313.15</v>
      </c>
      <c r="C8" s="1" t="s">
        <v>45</v>
      </c>
      <c r="D8" s="1" t="s">
        <v>46</v>
      </c>
      <c r="E8" s="1" t="s">
        <v>21</v>
      </c>
    </row>
    <row r="9">
      <c r="A9" s="1" t="s">
        <v>47</v>
      </c>
      <c r="B9" s="2">
        <v>0.82</v>
      </c>
      <c r="C9" s="4" t="s">
        <v>19</v>
      </c>
      <c r="D9" s="1" t="s">
        <v>48</v>
      </c>
      <c r="E9" s="1" t="s">
        <v>49</v>
      </c>
    </row>
    <row r="10">
      <c r="A10" s="1" t="s">
        <v>50</v>
      </c>
      <c r="B10" s="1">
        <v>25000.0</v>
      </c>
      <c r="F10" s="1">
        <v>82628.85</v>
      </c>
    </row>
    <row r="11">
      <c r="A11" s="1" t="s">
        <v>51</v>
      </c>
      <c r="B11" s="1">
        <v>630.0</v>
      </c>
    </row>
    <row r="12">
      <c r="A12" s="1" t="s">
        <v>52</v>
      </c>
      <c r="B12" s="1">
        <v>0.75</v>
      </c>
      <c r="E12" s="1">
        <v>356.0</v>
      </c>
    </row>
    <row r="13">
      <c r="A13" s="1"/>
      <c r="E13" s="1"/>
      <c r="H13" s="6" t="s">
        <v>53</v>
      </c>
      <c r="I13" s="7"/>
      <c r="J13" s="8"/>
    </row>
    <row r="14">
      <c r="A14" s="1" t="s">
        <v>54</v>
      </c>
      <c r="E14" s="1" t="s">
        <v>55</v>
      </c>
      <c r="H14" s="9" t="s">
        <v>56</v>
      </c>
      <c r="I14" s="6" t="s">
        <v>57</v>
      </c>
      <c r="J14" s="8"/>
    </row>
    <row r="15">
      <c r="A15" s="1" t="s">
        <v>58</v>
      </c>
      <c r="B15" s="10">
        <f>(B4/B2)^(1/B5)</f>
        <v>2.930988338</v>
      </c>
      <c r="H15" s="11"/>
      <c r="I15" s="9" t="s">
        <v>59</v>
      </c>
      <c r="J15" s="9" t="s">
        <v>60</v>
      </c>
    </row>
    <row r="16">
      <c r="A16" s="1"/>
      <c r="H16" s="9">
        <v>300.0</v>
      </c>
      <c r="I16" s="9">
        <v>1176.0</v>
      </c>
      <c r="J16" s="9">
        <v>56.0</v>
      </c>
    </row>
    <row r="17">
      <c r="B17" s="1" t="s">
        <v>61</v>
      </c>
      <c r="C17" s="5">
        <f>(1000/(24*3600))*($B$10*C18*$B$7*$B$8/($B$6*$B$9))*(C19/(C19-1))*($B$15^(((C19-1)/C19))-1)</f>
        <v>25123.83279</v>
      </c>
      <c r="D17" s="12">
        <f>((22.26+((5.981*10^-2)*$E$12)+((-3.501*10^-5)*$E$12^2)+((7.469*10^-9)*$E$12^3))/44.01)/D18</f>
        <v>1.267002209</v>
      </c>
      <c r="E17" s="1" t="s">
        <v>62</v>
      </c>
      <c r="F17" s="5">
        <f>((1000*10)/(24*36))*((B10*(B3-B4))/(B11*B12))</f>
        <v>4666.372722</v>
      </c>
      <c r="H17" s="9">
        <v>5000.0</v>
      </c>
      <c r="I17" s="9">
        <v>19605.0</v>
      </c>
      <c r="J17" s="9">
        <v>933.0</v>
      </c>
    </row>
    <row r="18">
      <c r="B18" s="1" t="s">
        <v>63</v>
      </c>
      <c r="C18" s="1">
        <v>0.995</v>
      </c>
      <c r="D18" s="13">
        <f>((22.26+((5.981*10^-2)*$E$12)+((-3.501*10^-5)*$E$12^2)+((7.469*10^-9)*$E$12^3))/44.01)-(8.314/44.01)</f>
        <v>0.7075282686</v>
      </c>
      <c r="H18" s="9">
        <v>10000.0</v>
      </c>
      <c r="I18" s="9">
        <v>39210.0</v>
      </c>
      <c r="J18" s="9">
        <v>1867.0</v>
      </c>
    </row>
    <row r="19">
      <c r="A19" s="14">
        <v>1.277</v>
      </c>
      <c r="B19" s="1" t="s">
        <v>64</v>
      </c>
      <c r="C19" s="15">
        <f>D17/C18</f>
        <v>1.273369055</v>
      </c>
      <c r="D19" s="12">
        <f>D17/C18</f>
        <v>1.273369055</v>
      </c>
      <c r="H19" s="9">
        <v>15000.0</v>
      </c>
      <c r="I19" s="9">
        <v>58816.0</v>
      </c>
      <c r="J19" s="9">
        <v>2800.0</v>
      </c>
    </row>
    <row r="20">
      <c r="H20" s="9">
        <v>20000.0</v>
      </c>
      <c r="I20" s="9">
        <v>78421.0</v>
      </c>
      <c r="J20" s="9">
        <v>3733.0</v>
      </c>
    </row>
    <row r="21">
      <c r="B21" s="1" t="s">
        <v>65</v>
      </c>
      <c r="C21" s="5">
        <f>(1000/(24*3600))*($B$10*C22*$B$7*$B$8/($B$6*$B$9))*(C23/(C23-1))*($B$15^(((C23-1)/C23))-1)</f>
        <v>24995.5809</v>
      </c>
      <c r="D21" s="12">
        <f>((22.26+((5.981*10^-2)*$E$12)+((-3.501*10^-5)*$E$12^2)+((7.469*10^-9)*$E$12^3))/44.01)/D22</f>
        <v>1.267002209</v>
      </c>
      <c r="H21" s="9">
        <v>25000.0</v>
      </c>
      <c r="I21" s="9">
        <v>98026.0</v>
      </c>
      <c r="J21" s="9">
        <v>4666.0</v>
      </c>
    </row>
    <row r="22">
      <c r="B22" s="1" t="s">
        <v>63</v>
      </c>
      <c r="C22" s="1">
        <v>0.986</v>
      </c>
      <c r="D22" s="13">
        <f>((22.26+((5.981*10^-2)*$E$12)+((-3.501*10^-5)*$E$12^2)+((7.469*10^-9)*$E$12^3))/44.01)-(8.314/44.01)</f>
        <v>0.7075282686</v>
      </c>
      <c r="E22" s="1" t="s">
        <v>66</v>
      </c>
      <c r="F22" s="5">
        <f>SUM(C17,C21,C25,C29)</f>
        <v>98026.06396</v>
      </c>
      <c r="H22" s="9">
        <v>30000.0</v>
      </c>
      <c r="I22" s="9">
        <v>117631.0</v>
      </c>
      <c r="J22" s="9">
        <v>5600.0</v>
      </c>
    </row>
    <row r="23">
      <c r="A23" s="14">
        <v>1.286</v>
      </c>
      <c r="B23" s="1" t="s">
        <v>64</v>
      </c>
      <c r="C23" s="15">
        <f>D21/C22</f>
        <v>1.284992099</v>
      </c>
      <c r="D23" s="12">
        <f>D21/C22</f>
        <v>1.284992099</v>
      </c>
      <c r="E23" s="1" t="s">
        <v>67</v>
      </c>
      <c r="F23" s="1">
        <f>ROUNDUP(F22/60000,0)</f>
        <v>2</v>
      </c>
      <c r="H23" s="9">
        <v>35000.0</v>
      </c>
      <c r="I23" s="9">
        <v>137236.0</v>
      </c>
      <c r="J23" s="9">
        <v>6533.0</v>
      </c>
    </row>
    <row r="24">
      <c r="H24" s="9">
        <v>40000.0</v>
      </c>
      <c r="I24" s="9">
        <v>156842.0</v>
      </c>
      <c r="J24" s="9">
        <v>7466.0</v>
      </c>
    </row>
    <row r="25">
      <c r="B25" s="1" t="s">
        <v>68</v>
      </c>
      <c r="C25" s="5">
        <f>(1000/(24*3600))*($B$10*C26*$B$7*$B$8/($B$6*$B$9))*(C27/(C27-1))*($B$15^(((C27-1)/C27))-1)</f>
        <v>24603.00052</v>
      </c>
      <c r="D25" s="12">
        <f>((22.26+((5.981*10^-2)*$E$12)+((-3.501*10^-5)*$E$12^2)+((7.469*10^-9)*$E$12^3))/44.01)/D26</f>
        <v>1.267002209</v>
      </c>
      <c r="H25" s="9">
        <v>45000.0</v>
      </c>
      <c r="I25" s="9">
        <v>176447.0</v>
      </c>
      <c r="J25" s="9">
        <v>8399.0</v>
      </c>
    </row>
    <row r="26">
      <c r="B26" s="1" t="s">
        <v>63</v>
      </c>
      <c r="C26" s="1">
        <v>0.959</v>
      </c>
      <c r="D26" s="13">
        <f>((22.26+((5.981*10^-2)*$E$12)+((-3.501*10^-5)*$E$12^2)+((7.469*10^-9)*$E$12^3))/44.01)-(8.314/44.01)</f>
        <v>0.7075282686</v>
      </c>
      <c r="H26" s="9">
        <v>50000.0</v>
      </c>
      <c r="I26" s="9">
        <v>196052.0</v>
      </c>
      <c r="J26" s="9">
        <v>9333.0</v>
      </c>
    </row>
    <row r="27">
      <c r="A27" s="14">
        <v>1.379</v>
      </c>
      <c r="B27" s="1" t="s">
        <v>64</v>
      </c>
      <c r="C27" s="15">
        <f>D25/C26</f>
        <v>1.321170187</v>
      </c>
      <c r="D27" s="12">
        <f>D25/C26</f>
        <v>1.321170187</v>
      </c>
      <c r="H27" s="9">
        <v>55000.0</v>
      </c>
      <c r="I27" s="9">
        <v>215657.0</v>
      </c>
      <c r="J27" s="9">
        <v>10266.0</v>
      </c>
    </row>
    <row r="28">
      <c r="H28" s="9">
        <v>60000.0</v>
      </c>
      <c r="I28" s="9">
        <v>235263.0</v>
      </c>
      <c r="J28" s="9">
        <v>11199.0</v>
      </c>
    </row>
    <row r="29">
      <c r="B29" s="1" t="s">
        <v>69</v>
      </c>
      <c r="C29" s="5">
        <f>(1000/(24*3600))*($B$10*C30*$B$7*$B$8/($B$6*$B$9))*(C31/(C31-1))*($B$15^(((C31-1)/C31))-1)</f>
        <v>23303.64974</v>
      </c>
      <c r="D29" s="12">
        <f>((22.26+((5.981*10^-2)*$E$12)+((-3.501*10^-5)*$E$12^2)+((7.469*10^-9)*$E$12^3))/44.01)/D30</f>
        <v>1.267002209</v>
      </c>
      <c r="H29" s="9">
        <v>65000.0</v>
      </c>
      <c r="I29" s="9">
        <v>254868.0</v>
      </c>
      <c r="J29" s="9">
        <v>12133.0</v>
      </c>
    </row>
    <row r="30">
      <c r="B30" s="1" t="s">
        <v>63</v>
      </c>
      <c r="C30" s="1">
        <v>0.875</v>
      </c>
      <c r="D30" s="13">
        <f>((22.26+((5.981*10^-2)*$E$12)+((-3.501*10^-5)*$E$12^2)+((7.469*10^-9)*$E$12^3))/44.01)-(8.314/44.01)</f>
        <v>0.7075282686</v>
      </c>
    </row>
    <row r="31">
      <c r="A31" s="14">
        <v>1.704</v>
      </c>
      <c r="B31" s="1" t="s">
        <v>64</v>
      </c>
      <c r="C31" s="15">
        <f>D29/C30</f>
        <v>1.448002525</v>
      </c>
      <c r="D31" s="12">
        <f>D29/C30</f>
        <v>1.448002525</v>
      </c>
    </row>
    <row r="32">
      <c r="H32" s="6" t="s">
        <v>70</v>
      </c>
      <c r="I32" s="7"/>
      <c r="J32" s="8"/>
    </row>
    <row r="33">
      <c r="C33" s="5"/>
      <c r="H33" s="9" t="s">
        <v>56</v>
      </c>
      <c r="I33" s="6" t="s">
        <v>57</v>
      </c>
      <c r="J33" s="8"/>
    </row>
    <row r="34">
      <c r="H34" s="11"/>
      <c r="I34" s="9" t="s">
        <v>59</v>
      </c>
      <c r="J34" s="9" t="s">
        <v>60</v>
      </c>
    </row>
    <row r="35">
      <c r="H35" s="9">
        <v>1000.0</v>
      </c>
      <c r="I35" s="9">
        <v>3921.0</v>
      </c>
      <c r="J35" s="9">
        <v>187.0</v>
      </c>
    </row>
    <row r="36">
      <c r="H36" s="9">
        <v>5000.0</v>
      </c>
      <c r="I36" s="9">
        <f>I17</f>
        <v>19605</v>
      </c>
      <c r="J36" s="9">
        <v>933.0</v>
      </c>
    </row>
    <row r="37">
      <c r="H37" s="9">
        <v>15000.0</v>
      </c>
      <c r="I37" s="9">
        <f>I19</f>
        <v>58816</v>
      </c>
      <c r="J37" s="9">
        <v>2800.0</v>
      </c>
    </row>
    <row r="38">
      <c r="H38" s="9">
        <v>25000.0</v>
      </c>
      <c r="I38" s="9">
        <f>I21</f>
        <v>98026</v>
      </c>
      <c r="J38" s="9">
        <v>4666.0</v>
      </c>
    </row>
    <row r="39">
      <c r="H39" s="9">
        <v>35000.0</v>
      </c>
      <c r="I39" s="9">
        <f>I23</f>
        <v>137236</v>
      </c>
      <c r="J39" s="9">
        <v>6533.0</v>
      </c>
    </row>
    <row r="40">
      <c r="C40" s="5"/>
      <c r="H40" s="9">
        <v>45000.0</v>
      </c>
      <c r="I40" s="9">
        <f>I25</f>
        <v>176447</v>
      </c>
      <c r="J40" s="9">
        <v>8399.0</v>
      </c>
    </row>
    <row r="41">
      <c r="H41" s="9">
        <v>55000.0</v>
      </c>
      <c r="I41" s="9">
        <f>I27</f>
        <v>215657</v>
      </c>
      <c r="J41" s="9">
        <v>10266.0</v>
      </c>
    </row>
    <row r="42">
      <c r="H42" s="9">
        <v>65000.0</v>
      </c>
      <c r="I42" s="9">
        <f>I29</f>
        <v>254868</v>
      </c>
      <c r="J42" s="9">
        <v>12133.0</v>
      </c>
    </row>
    <row r="44">
      <c r="J44" s="16"/>
    </row>
  </sheetData>
  <mergeCells count="4">
    <mergeCell ref="H13:J13"/>
    <mergeCell ref="I14:J14"/>
    <mergeCell ref="H32:J32"/>
    <mergeCell ref="I33:J3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5" max="5" width="5.88"/>
    <col customWidth="1" min="6" max="6" width="26.75"/>
    <col customWidth="1" min="7" max="8" width="19.38"/>
    <col customWidth="1" min="9" max="9" width="6.0"/>
    <col customWidth="1" min="10" max="10" width="25.88"/>
    <col customWidth="1" min="11" max="18" width="13.0"/>
  </cols>
  <sheetData>
    <row r="1">
      <c r="A1" s="1" t="s">
        <v>71</v>
      </c>
      <c r="B1" s="1">
        <v>0.8</v>
      </c>
    </row>
    <row r="2">
      <c r="A2" s="1" t="s">
        <v>72</v>
      </c>
    </row>
    <row r="3">
      <c r="A3" s="1" t="s">
        <v>73</v>
      </c>
      <c r="B3" s="10">
        <f>(1000*'Cópia de Custo energia compress'!B10)/(24*3600*'Cópia de Custo energia compress'!F23)</f>
        <v>144.6759259</v>
      </c>
      <c r="C3" s="1" t="s">
        <v>74</v>
      </c>
      <c r="F3" s="6" t="s">
        <v>75</v>
      </c>
      <c r="G3" s="7"/>
      <c r="H3" s="8"/>
      <c r="J3" s="6" t="s">
        <v>76</v>
      </c>
      <c r="K3" s="7"/>
      <c r="L3" s="7"/>
      <c r="M3" s="7"/>
      <c r="N3" s="7"/>
      <c r="O3" s="7"/>
      <c r="P3" s="7"/>
      <c r="Q3" s="7"/>
      <c r="R3" s="8"/>
    </row>
    <row r="4">
      <c r="A4" s="1" t="s">
        <v>77</v>
      </c>
      <c r="B4" s="1">
        <v>0.0936</v>
      </c>
      <c r="F4" s="9" t="s">
        <v>56</v>
      </c>
      <c r="G4" s="6" t="s">
        <v>57</v>
      </c>
      <c r="H4" s="8"/>
      <c r="J4" s="9" t="s">
        <v>56</v>
      </c>
      <c r="K4" s="9" t="s">
        <v>78</v>
      </c>
      <c r="L4" s="9" t="s">
        <v>79</v>
      </c>
      <c r="M4" s="9" t="s">
        <v>80</v>
      </c>
      <c r="N4" s="9" t="s">
        <v>81</v>
      </c>
      <c r="O4" s="9" t="s">
        <v>82</v>
      </c>
      <c r="P4" s="9" t="s">
        <v>83</v>
      </c>
      <c r="Q4" s="9" t="s">
        <v>84</v>
      </c>
      <c r="R4" s="9" t="s">
        <v>85</v>
      </c>
    </row>
    <row r="5">
      <c r="A5" s="1"/>
      <c r="B5" s="5"/>
      <c r="D5" s="5"/>
      <c r="F5" s="11"/>
      <c r="G5" s="9" t="s">
        <v>86</v>
      </c>
      <c r="H5" s="9" t="s">
        <v>87</v>
      </c>
      <c r="J5" s="9">
        <v>1000.0</v>
      </c>
      <c r="K5" s="17">
        <f t="shared" ref="K5:K12" si="1">L5+N5+P5</f>
        <v>17.68023347</v>
      </c>
      <c r="L5" s="17">
        <f t="shared" ref="L5:L12" si="2">M5/(J5*365*$B$1)</f>
        <v>8.035248</v>
      </c>
      <c r="M5" s="18">
        <f t="shared" ref="M5:M12" si="3">$B$15*N20*$B$1*24*365</f>
        <v>2346292.416</v>
      </c>
      <c r="N5" s="17">
        <f t="shared" ref="N5:N12" si="4">O5/(J5*365*$B$1)</f>
        <v>0.4592850226</v>
      </c>
      <c r="O5" s="18">
        <f t="shared" ref="O5:O12" si="5">Q5*$B$14</f>
        <v>134111.2266</v>
      </c>
      <c r="P5" s="17">
        <f t="shared" ref="P5:P12" si="6">Q5/(J5*365*$B$1)</f>
        <v>9.185700452</v>
      </c>
      <c r="Q5" s="18">
        <f t="shared" ref="Q5:Q12" si="7">R5*$B$4</f>
        <v>2682224.532</v>
      </c>
      <c r="R5" s="18">
        <v>2.8656245E7</v>
      </c>
      <c r="S5" s="19">
        <f t="shared" ref="S5:S12" si="8">O5/T5</f>
        <v>0.0259773166</v>
      </c>
      <c r="T5" s="5">
        <f t="shared" ref="T5:T12" si="9">Q5+O5+M5</f>
        <v>5162628.175</v>
      </c>
      <c r="V5" s="5"/>
    </row>
    <row r="6">
      <c r="A6" s="1" t="s">
        <v>88</v>
      </c>
      <c r="B6" s="5">
        <f>(B3*'Cópia de Custo energia compress'!F23)*(((0.13*(10^6))/(B3^0.71))+(((1.14*(10^6))*(ln('Cópia de Custo energia compress'!B4/'Cópia de Custo energia compress'!B2)))/(B3^0.6)))*2.107</f>
        <v>153452689.7</v>
      </c>
      <c r="D6" s="5">
        <f>(B6/'Cópia de Custo energia compress'!F22)</f>
        <v>1565.427433</v>
      </c>
      <c r="F6" s="9">
        <v>1000.0</v>
      </c>
      <c r="G6" s="9">
        <v>7159.0</v>
      </c>
      <c r="H6" s="9">
        <v>3129.0</v>
      </c>
      <c r="J6" s="9">
        <v>5000.0</v>
      </c>
      <c r="K6" s="17">
        <f t="shared" si="1"/>
        <v>11.77704043</v>
      </c>
      <c r="L6" s="17">
        <f t="shared" si="2"/>
        <v>8.0344656</v>
      </c>
      <c r="M6" s="18">
        <f t="shared" si="3"/>
        <v>11730319.78</v>
      </c>
      <c r="N6" s="17">
        <f t="shared" si="4"/>
        <v>0.1782178491</v>
      </c>
      <c r="O6" s="18">
        <f t="shared" si="5"/>
        <v>260198.0597</v>
      </c>
      <c r="P6" s="17">
        <f t="shared" si="6"/>
        <v>3.564356982</v>
      </c>
      <c r="Q6" s="18">
        <f t="shared" si="7"/>
        <v>5203961.194</v>
      </c>
      <c r="R6" s="18">
        <v>5.5597876E7</v>
      </c>
      <c r="S6" s="19">
        <f t="shared" si="8"/>
        <v>0.01513265155</v>
      </c>
      <c r="T6" s="5">
        <f t="shared" si="9"/>
        <v>17194479.03</v>
      </c>
    </row>
    <row r="7">
      <c r="B7" s="5">
        <f>B6+B8</f>
        <v>164513752.2</v>
      </c>
      <c r="F7" s="9">
        <v>5000.0</v>
      </c>
      <c r="G7" s="9">
        <v>2717.0</v>
      </c>
      <c r="H7" s="9">
        <v>2497.0</v>
      </c>
      <c r="J7" s="9">
        <v>15000.0</v>
      </c>
      <c r="K7" s="17">
        <f t="shared" si="1"/>
        <v>10.03626948</v>
      </c>
      <c r="L7" s="17">
        <f t="shared" si="2"/>
        <v>8.0347264</v>
      </c>
      <c r="M7" s="18">
        <f t="shared" si="3"/>
        <v>35192101.63</v>
      </c>
      <c r="N7" s="17">
        <f t="shared" si="4"/>
        <v>0.0953115751</v>
      </c>
      <c r="O7" s="18">
        <f t="shared" si="5"/>
        <v>417464.6989</v>
      </c>
      <c r="P7" s="17">
        <f t="shared" si="6"/>
        <v>1.906231502</v>
      </c>
      <c r="Q7" s="18">
        <f t="shared" si="7"/>
        <v>8349293.978</v>
      </c>
      <c r="R7" s="18">
        <v>8.92018587437743E7</v>
      </c>
      <c r="S7" s="19">
        <f t="shared" si="8"/>
        <v>0.009496713427</v>
      </c>
      <c r="T7" s="5">
        <f t="shared" si="9"/>
        <v>43958860.31</v>
      </c>
      <c r="V7" s="5"/>
    </row>
    <row r="8">
      <c r="A8" s="1" t="s">
        <v>89</v>
      </c>
      <c r="B8" s="5">
        <f>(((1.11*10^6)*('Cópia de Custo energia compress'!F17/1000))+0.07*10^6)*2.107</f>
        <v>11061062.53</v>
      </c>
      <c r="D8" s="5">
        <f>(B8/'Cópia de Custo energia compress'!F17)</f>
        <v>2370.376991</v>
      </c>
      <c r="F8" s="9">
        <v>15000.0</v>
      </c>
      <c r="G8" s="9">
        <v>1403.0</v>
      </c>
      <c r="H8" s="9">
        <v>2391.0</v>
      </c>
      <c r="J8" s="9">
        <v>25000.0</v>
      </c>
      <c r="K8" s="17">
        <f t="shared" si="1"/>
        <v>10.24947298</v>
      </c>
      <c r="L8" s="17">
        <f t="shared" si="2"/>
        <v>8.03462208</v>
      </c>
      <c r="M8" s="18">
        <f t="shared" si="3"/>
        <v>58652741.18</v>
      </c>
      <c r="N8" s="17">
        <f t="shared" si="4"/>
        <v>0.1054690905</v>
      </c>
      <c r="O8" s="18">
        <f t="shared" si="5"/>
        <v>769924.3605</v>
      </c>
      <c r="P8" s="17">
        <f t="shared" si="6"/>
        <v>2.10938181</v>
      </c>
      <c r="Q8" s="18">
        <f t="shared" si="7"/>
        <v>15398487.21</v>
      </c>
      <c r="R8" s="18">
        <v>1.64513752247375E8</v>
      </c>
      <c r="S8" s="19">
        <f t="shared" si="8"/>
        <v>0.01029019645</v>
      </c>
      <c r="T8" s="5">
        <f t="shared" si="9"/>
        <v>74821152.75</v>
      </c>
      <c r="V8" s="5"/>
    </row>
    <row r="9">
      <c r="F9" s="9">
        <v>25000.0</v>
      </c>
      <c r="G9" s="9">
        <v>1565.0</v>
      </c>
      <c r="H9" s="9">
        <v>2370.0</v>
      </c>
      <c r="J9" s="9">
        <v>35000.0</v>
      </c>
      <c r="K9" s="17">
        <f t="shared" si="1"/>
        <v>10.33648032</v>
      </c>
      <c r="L9" s="17">
        <f t="shared" si="2"/>
        <v>8.034633257</v>
      </c>
      <c r="M9" s="18">
        <f t="shared" si="3"/>
        <v>82113951.89</v>
      </c>
      <c r="N9" s="17">
        <f t="shared" si="4"/>
        <v>0.1096117647</v>
      </c>
      <c r="O9" s="18">
        <f t="shared" si="5"/>
        <v>1120232.235</v>
      </c>
      <c r="P9" s="17">
        <f t="shared" si="6"/>
        <v>2.192235294</v>
      </c>
      <c r="Q9" s="18">
        <f t="shared" si="7"/>
        <v>22404644.7</v>
      </c>
      <c r="R9" s="18">
        <v>2.39365862210376E8</v>
      </c>
      <c r="S9" s="19">
        <f t="shared" si="8"/>
        <v>0.01060436061</v>
      </c>
      <c r="T9" s="5">
        <f t="shared" si="9"/>
        <v>105638828.8</v>
      </c>
    </row>
    <row r="10">
      <c r="A10" s="1"/>
      <c r="F10" s="9">
        <v>35000.0</v>
      </c>
      <c r="G10" s="9">
        <v>1632.0</v>
      </c>
      <c r="H10" s="9">
        <v>2361.0</v>
      </c>
      <c r="J10" s="9">
        <v>45000.0</v>
      </c>
      <c r="K10" s="17">
        <f t="shared" si="1"/>
        <v>10.03397625</v>
      </c>
      <c r="L10" s="17">
        <f t="shared" si="2"/>
        <v>8.034639467</v>
      </c>
      <c r="M10" s="18">
        <f t="shared" si="3"/>
        <v>105575162.6</v>
      </c>
      <c r="N10" s="17">
        <f t="shared" si="4"/>
        <v>0.09520651373</v>
      </c>
      <c r="O10" s="18">
        <f t="shared" si="5"/>
        <v>1251013.59</v>
      </c>
      <c r="P10" s="17">
        <f t="shared" si="6"/>
        <v>1.904130275</v>
      </c>
      <c r="Q10" s="18">
        <f t="shared" si="7"/>
        <v>25020271.81</v>
      </c>
      <c r="R10" s="18">
        <v>2.67310596231323E8</v>
      </c>
      <c r="S10" s="19">
        <f t="shared" si="8"/>
        <v>0.009488413298</v>
      </c>
      <c r="T10" s="5">
        <f t="shared" si="9"/>
        <v>131846448</v>
      </c>
    </row>
    <row r="11">
      <c r="A11" s="1" t="s">
        <v>90</v>
      </c>
      <c r="B11" s="5">
        <f>D6+D8</f>
        <v>3935.804424</v>
      </c>
      <c r="F11" s="9">
        <v>45000.0</v>
      </c>
      <c r="G11" s="9">
        <v>1403.0</v>
      </c>
      <c r="H11" s="9">
        <v>2356.0</v>
      </c>
      <c r="J11" s="9">
        <v>55000.0</v>
      </c>
      <c r="K11" s="17">
        <f t="shared" si="1"/>
        <v>10.13327558</v>
      </c>
      <c r="L11" s="17">
        <f t="shared" si="2"/>
        <v>8.034643418</v>
      </c>
      <c r="M11" s="18">
        <f t="shared" si="3"/>
        <v>129036373.3</v>
      </c>
      <c r="N11" s="17">
        <f t="shared" si="4"/>
        <v>0.09993486502</v>
      </c>
      <c r="O11" s="18">
        <f t="shared" si="5"/>
        <v>1604953.932</v>
      </c>
      <c r="P11" s="17">
        <f t="shared" si="6"/>
        <v>1.9986973</v>
      </c>
      <c r="Q11" s="18">
        <f t="shared" si="7"/>
        <v>32099078.64</v>
      </c>
      <c r="R11" s="18">
        <v>3.42938874399133E8</v>
      </c>
      <c r="S11" s="19">
        <f t="shared" si="8"/>
        <v>0.009862049462</v>
      </c>
      <c r="T11" s="5">
        <f t="shared" si="9"/>
        <v>162740405.9</v>
      </c>
    </row>
    <row r="12">
      <c r="A12" s="1" t="s">
        <v>91</v>
      </c>
      <c r="B12" s="5">
        <f>B11*B4</f>
        <v>368.3912941</v>
      </c>
      <c r="F12" s="9">
        <v>55000.0</v>
      </c>
      <c r="G12" s="9">
        <v>1478.0</v>
      </c>
      <c r="H12" s="9">
        <v>2353.0</v>
      </c>
      <c r="J12" s="9">
        <v>65000.0</v>
      </c>
      <c r="K12" s="17">
        <f t="shared" si="1"/>
        <v>10.20012506</v>
      </c>
      <c r="L12" s="17">
        <f t="shared" si="2"/>
        <v>8.034676246</v>
      </c>
      <c r="M12" s="18">
        <f t="shared" si="3"/>
        <v>152498155.2</v>
      </c>
      <c r="N12" s="17">
        <f t="shared" si="4"/>
        <v>0.10311661</v>
      </c>
      <c r="O12" s="18">
        <f t="shared" si="5"/>
        <v>1957153.258</v>
      </c>
      <c r="P12" s="17">
        <f t="shared" si="6"/>
        <v>2.0623322</v>
      </c>
      <c r="Q12" s="18">
        <f t="shared" si="7"/>
        <v>39143065.17</v>
      </c>
      <c r="R12" s="18">
        <v>4.18195140655795E8</v>
      </c>
      <c r="S12" s="19">
        <f t="shared" si="8"/>
        <v>0.01010934763</v>
      </c>
      <c r="T12" s="5">
        <f t="shared" si="9"/>
        <v>193598373.6</v>
      </c>
    </row>
    <row r="13">
      <c r="C13" s="5"/>
      <c r="F13" s="9">
        <v>65000.0</v>
      </c>
      <c r="G13" s="9">
        <v>1529.0</v>
      </c>
      <c r="H13" s="9">
        <v>2351.0</v>
      </c>
    </row>
    <row r="14">
      <c r="A14" s="1" t="s">
        <v>92</v>
      </c>
      <c r="B14" s="1">
        <v>0.05</v>
      </c>
      <c r="C14" s="5"/>
    </row>
    <row r="15">
      <c r="A15" s="1" t="s">
        <v>93</v>
      </c>
      <c r="B15" s="15">
        <v>0.0815</v>
      </c>
    </row>
    <row r="17">
      <c r="J17" s="6" t="s">
        <v>70</v>
      </c>
      <c r="K17" s="7"/>
      <c r="L17" s="7"/>
      <c r="M17" s="8"/>
    </row>
    <row r="18">
      <c r="J18" s="9" t="s">
        <v>56</v>
      </c>
      <c r="K18" s="9"/>
      <c r="L18" s="6" t="s">
        <v>57</v>
      </c>
      <c r="M18" s="8"/>
    </row>
    <row r="19">
      <c r="J19" s="11"/>
      <c r="K19" s="9"/>
      <c r="L19" s="9" t="s">
        <v>59</v>
      </c>
      <c r="M19" s="9" t="s">
        <v>60</v>
      </c>
    </row>
    <row r="20">
      <c r="J20" s="9">
        <v>1000.0</v>
      </c>
      <c r="K20" s="9"/>
      <c r="L20" s="1">
        <v>3921.0</v>
      </c>
      <c r="M20" s="9">
        <v>187.0</v>
      </c>
      <c r="N20" s="13">
        <f t="shared" ref="N20:N27" si="10">L20+M20</f>
        <v>4108</v>
      </c>
      <c r="O20" s="1">
        <v>3921.0</v>
      </c>
    </row>
    <row r="21">
      <c r="J21" s="9">
        <v>5000.0</v>
      </c>
      <c r="K21" s="9"/>
      <c r="L21" s="1">
        <v>19605.0</v>
      </c>
      <c r="M21" s="9">
        <v>933.0</v>
      </c>
      <c r="N21" s="13">
        <f t="shared" si="10"/>
        <v>20538</v>
      </c>
      <c r="O21" s="1">
        <v>19605.0</v>
      </c>
    </row>
    <row r="22">
      <c r="J22" s="9">
        <v>15000.0</v>
      </c>
      <c r="K22" s="9"/>
      <c r="L22" s="1">
        <v>58816.0</v>
      </c>
      <c r="M22" s="9">
        <v>2800.0</v>
      </c>
      <c r="N22" s="13">
        <f t="shared" si="10"/>
        <v>61616</v>
      </c>
      <c r="O22" s="1">
        <v>58816.0</v>
      </c>
    </row>
    <row r="23">
      <c r="J23" s="9">
        <v>25000.0</v>
      </c>
      <c r="K23" s="9"/>
      <c r="L23" s="1">
        <v>98026.0</v>
      </c>
      <c r="M23" s="9">
        <v>4666.0</v>
      </c>
      <c r="N23" s="13">
        <f t="shared" si="10"/>
        <v>102692</v>
      </c>
      <c r="O23" s="1">
        <v>98026.0</v>
      </c>
    </row>
    <row r="24">
      <c r="J24" s="9">
        <v>35000.0</v>
      </c>
      <c r="K24" s="9"/>
      <c r="L24" s="1">
        <v>137236.0</v>
      </c>
      <c r="M24" s="9">
        <v>6533.0</v>
      </c>
      <c r="N24" s="13">
        <f t="shared" si="10"/>
        <v>143769</v>
      </c>
      <c r="O24" s="1">
        <v>137236.0</v>
      </c>
    </row>
    <row r="25">
      <c r="J25" s="9">
        <v>45000.0</v>
      </c>
      <c r="K25" s="9"/>
      <c r="L25" s="1">
        <v>176447.0</v>
      </c>
      <c r="M25" s="9">
        <v>8399.0</v>
      </c>
      <c r="N25" s="13">
        <f t="shared" si="10"/>
        <v>184846</v>
      </c>
      <c r="O25" s="1">
        <v>176447.0</v>
      </c>
    </row>
    <row r="26">
      <c r="J26" s="9">
        <v>55000.0</v>
      </c>
      <c r="K26" s="9"/>
      <c r="L26" s="1">
        <v>215657.0</v>
      </c>
      <c r="M26" s="9">
        <v>10266.0</v>
      </c>
      <c r="N26" s="13">
        <f t="shared" si="10"/>
        <v>225923</v>
      </c>
      <c r="O26" s="1">
        <v>215657.0</v>
      </c>
    </row>
    <row r="27">
      <c r="J27" s="9">
        <v>65000.0</v>
      </c>
      <c r="K27" s="9"/>
      <c r="L27" s="1">
        <v>254868.0</v>
      </c>
      <c r="M27" s="9">
        <v>12133.0</v>
      </c>
      <c r="N27" s="13">
        <f t="shared" si="10"/>
        <v>267001</v>
      </c>
      <c r="O27" s="1">
        <v>254868.0</v>
      </c>
    </row>
  </sheetData>
  <mergeCells count="5">
    <mergeCell ref="F3:H3"/>
    <mergeCell ref="J3:R3"/>
    <mergeCell ref="G4:H4"/>
    <mergeCell ref="J17:M17"/>
    <mergeCell ref="L18:M18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4" max="4" width="8.75"/>
    <col customWidth="1" min="5" max="5" width="7.63"/>
    <col customWidth="1" min="6" max="6" width="18.75"/>
    <col customWidth="1" min="7" max="7" width="14.0"/>
  </cols>
  <sheetData>
    <row r="1">
      <c r="D1" s="29"/>
      <c r="E1" s="29"/>
      <c r="F1" s="29"/>
      <c r="G1" s="29"/>
    </row>
    <row r="2">
      <c r="D2" s="29"/>
      <c r="E2" s="29"/>
      <c r="F2" s="29"/>
      <c r="G2" s="29"/>
    </row>
    <row r="3">
      <c r="D3" s="29"/>
      <c r="E3" s="29"/>
      <c r="F3" s="29"/>
      <c r="G3" s="29"/>
    </row>
    <row r="4">
      <c r="D4" s="29"/>
      <c r="E4" s="29"/>
      <c r="F4" s="29"/>
      <c r="G4" s="29"/>
    </row>
    <row r="5">
      <c r="D5" s="30" t="s">
        <v>153</v>
      </c>
      <c r="E5" s="30" t="s">
        <v>154</v>
      </c>
      <c r="F5" s="30" t="s">
        <v>155</v>
      </c>
      <c r="G5" s="30" t="s">
        <v>156</v>
      </c>
    </row>
    <row r="6" ht="36.0" customHeight="1">
      <c r="D6" s="31" t="s">
        <v>157</v>
      </c>
      <c r="E6" s="31" t="s">
        <v>158</v>
      </c>
      <c r="F6" s="31" t="s">
        <v>159</v>
      </c>
      <c r="G6" s="31" t="s">
        <v>160</v>
      </c>
    </row>
    <row r="7" ht="36.0" customHeight="1">
      <c r="D7" s="31" t="s">
        <v>161</v>
      </c>
      <c r="E7" s="31" t="s">
        <v>162</v>
      </c>
      <c r="F7" s="31" t="s">
        <v>163</v>
      </c>
      <c r="G7" s="31" t="s">
        <v>164</v>
      </c>
    </row>
    <row r="8" ht="36.0" customHeight="1">
      <c r="D8" s="31" t="s">
        <v>165</v>
      </c>
      <c r="E8" s="31" t="s">
        <v>166</v>
      </c>
      <c r="F8" s="31" t="s">
        <v>167</v>
      </c>
      <c r="G8" s="31" t="s">
        <v>168</v>
      </c>
    </row>
    <row r="9" ht="36.0" customHeight="1">
      <c r="D9" s="31" t="s">
        <v>169</v>
      </c>
      <c r="E9" s="31" t="s">
        <v>170</v>
      </c>
      <c r="F9" s="31" t="s">
        <v>171</v>
      </c>
      <c r="G9" s="31" t="s">
        <v>172</v>
      </c>
    </row>
    <row r="10" ht="36.0" customHeight="1">
      <c r="D10" s="31" t="s">
        <v>173</v>
      </c>
      <c r="E10" s="31" t="s">
        <v>174</v>
      </c>
      <c r="F10" s="31" t="s">
        <v>175</v>
      </c>
      <c r="G10" s="31" t="s">
        <v>176</v>
      </c>
      <c r="L10" s="32"/>
    </row>
    <row r="11">
      <c r="D11" s="29"/>
      <c r="E11" s="29"/>
      <c r="F11" s="29"/>
      <c r="G11" s="29"/>
      <c r="L11" s="32"/>
    </row>
    <row r="12">
      <c r="D12" s="29"/>
      <c r="E12" s="29"/>
      <c r="F12" s="29"/>
      <c r="G12" s="29"/>
      <c r="L12" s="32"/>
    </row>
    <row r="13">
      <c r="D13" s="29"/>
      <c r="E13" s="29"/>
      <c r="F13" s="29"/>
      <c r="G13" s="29"/>
      <c r="L13" s="32"/>
    </row>
    <row r="14">
      <c r="D14" s="29"/>
      <c r="E14" s="29"/>
      <c r="F14" s="29"/>
      <c r="G14" s="29"/>
      <c r="L14" s="32"/>
    </row>
    <row r="15">
      <c r="D15" s="29"/>
      <c r="E15" s="29"/>
      <c r="F15" s="29"/>
      <c r="G15" s="29"/>
      <c r="L15" s="32"/>
    </row>
    <row r="16">
      <c r="D16" s="29"/>
      <c r="E16" s="29"/>
      <c r="F16" s="29"/>
      <c r="G16" s="29"/>
      <c r="L16" s="32"/>
    </row>
    <row r="17">
      <c r="D17" s="29"/>
      <c r="E17" s="29"/>
      <c r="F17" s="29"/>
      <c r="G17" s="29"/>
      <c r="L17" s="32"/>
    </row>
    <row r="18">
      <c r="D18" s="29"/>
      <c r="E18" s="29"/>
      <c r="F18" s="29"/>
      <c r="G18" s="29"/>
      <c r="L18" s="32"/>
    </row>
    <row r="19">
      <c r="D19" s="29"/>
      <c r="E19" s="29"/>
      <c r="F19" s="29"/>
      <c r="G19" s="29"/>
      <c r="L19" s="32"/>
    </row>
    <row r="20">
      <c r="D20" s="29"/>
      <c r="E20" s="29"/>
      <c r="F20" s="29"/>
      <c r="G20" s="29"/>
      <c r="L20" s="32"/>
    </row>
    <row r="21">
      <c r="D21" s="29"/>
      <c r="E21" s="29"/>
      <c r="F21" s="29"/>
      <c r="G21" s="29"/>
      <c r="L21" s="32"/>
    </row>
    <row r="22">
      <c r="D22" s="29"/>
      <c r="E22" s="29"/>
      <c r="F22" s="29"/>
      <c r="G22" s="29"/>
    </row>
    <row r="23">
      <c r="D23" s="29"/>
      <c r="E23" s="29"/>
      <c r="F23" s="29"/>
      <c r="G23" s="29"/>
    </row>
    <row r="24">
      <c r="D24" s="29"/>
      <c r="E24" s="29"/>
      <c r="F24" s="29"/>
      <c r="G24" s="29"/>
    </row>
    <row r="25">
      <c r="D25" s="29"/>
      <c r="E25" s="29"/>
      <c r="F25" s="29"/>
      <c r="G25" s="29"/>
    </row>
    <row r="26">
      <c r="D26" s="29"/>
      <c r="E26" s="29"/>
      <c r="F26" s="29"/>
      <c r="G26" s="29"/>
    </row>
    <row r="27">
      <c r="D27" s="29"/>
      <c r="E27" s="29"/>
      <c r="F27" s="29"/>
      <c r="G27" s="29"/>
    </row>
    <row r="28">
      <c r="D28" s="29"/>
      <c r="E28" s="29"/>
      <c r="F28" s="29"/>
      <c r="G28" s="29"/>
    </row>
    <row r="29">
      <c r="D29" s="29"/>
      <c r="E29" s="29"/>
      <c r="F29" s="29"/>
      <c r="G29" s="29"/>
    </row>
    <row r="30">
      <c r="D30" s="29"/>
      <c r="E30" s="29"/>
      <c r="F30" s="29"/>
      <c r="G30" s="29"/>
    </row>
    <row r="31">
      <c r="D31" s="29"/>
      <c r="E31" s="29"/>
      <c r="F31" s="29"/>
      <c r="G31" s="29"/>
    </row>
    <row r="32">
      <c r="D32" s="29"/>
      <c r="E32" s="29"/>
      <c r="F32" s="29"/>
      <c r="G32" s="29"/>
    </row>
    <row r="33">
      <c r="D33" s="29"/>
      <c r="E33" s="29"/>
      <c r="F33" s="29"/>
      <c r="G33" s="29"/>
    </row>
    <row r="34">
      <c r="D34" s="29"/>
      <c r="E34" s="29"/>
      <c r="F34" s="29"/>
      <c r="G34" s="29"/>
    </row>
    <row r="35">
      <c r="D35" s="29"/>
      <c r="E35" s="29"/>
      <c r="F35" s="29"/>
      <c r="G35" s="29"/>
    </row>
    <row r="36">
      <c r="D36" s="29"/>
      <c r="E36" s="29"/>
      <c r="F36" s="29"/>
      <c r="G36" s="29"/>
    </row>
    <row r="37">
      <c r="D37" s="29"/>
      <c r="E37" s="29"/>
      <c r="F37" s="29"/>
      <c r="G37" s="29"/>
    </row>
    <row r="38">
      <c r="D38" s="29"/>
      <c r="E38" s="29"/>
      <c r="F38" s="29"/>
      <c r="G38" s="29"/>
    </row>
    <row r="39">
      <c r="D39" s="29"/>
      <c r="E39" s="29"/>
      <c r="F39" s="29"/>
      <c r="G39" s="29"/>
    </row>
    <row r="40">
      <c r="D40" s="29"/>
      <c r="E40" s="29"/>
      <c r="F40" s="29"/>
      <c r="G40" s="29"/>
    </row>
    <row r="41">
      <c r="D41" s="29"/>
      <c r="E41" s="29"/>
      <c r="F41" s="29"/>
      <c r="G41" s="29"/>
    </row>
    <row r="42">
      <c r="D42" s="29"/>
      <c r="E42" s="29"/>
      <c r="F42" s="29"/>
      <c r="G42" s="29"/>
    </row>
    <row r="43">
      <c r="D43" s="29"/>
      <c r="E43" s="29"/>
      <c r="F43" s="29"/>
      <c r="G43" s="29"/>
    </row>
    <row r="44">
      <c r="D44" s="29"/>
      <c r="E44" s="29"/>
      <c r="F44" s="29"/>
      <c r="G44" s="29"/>
    </row>
    <row r="45">
      <c r="D45" s="29"/>
      <c r="E45" s="29"/>
      <c r="F45" s="29"/>
      <c r="G45" s="29"/>
    </row>
    <row r="46">
      <c r="D46" s="29"/>
      <c r="E46" s="29"/>
      <c r="F46" s="29"/>
      <c r="G46" s="29"/>
    </row>
    <row r="47">
      <c r="D47" s="29"/>
      <c r="E47" s="29"/>
      <c r="F47" s="29"/>
      <c r="G47" s="29"/>
    </row>
    <row r="48">
      <c r="D48" s="29"/>
      <c r="E48" s="29"/>
      <c r="F48" s="29"/>
      <c r="G48" s="29"/>
    </row>
    <row r="49">
      <c r="D49" s="29"/>
      <c r="E49" s="29"/>
      <c r="F49" s="29"/>
      <c r="G49" s="29"/>
    </row>
    <row r="50">
      <c r="D50" s="29"/>
      <c r="E50" s="29"/>
      <c r="F50" s="29"/>
      <c r="G50" s="29"/>
    </row>
    <row r="51">
      <c r="D51" s="29"/>
      <c r="E51" s="29"/>
      <c r="F51" s="29"/>
      <c r="G51" s="29"/>
    </row>
    <row r="52">
      <c r="D52" s="29"/>
      <c r="E52" s="29"/>
      <c r="F52" s="29"/>
      <c r="G52" s="29"/>
    </row>
    <row r="53">
      <c r="D53" s="29"/>
      <c r="E53" s="29"/>
      <c r="F53" s="29"/>
      <c r="G53" s="29"/>
    </row>
    <row r="54">
      <c r="D54" s="29"/>
      <c r="E54" s="29"/>
      <c r="F54" s="29"/>
      <c r="G54" s="29"/>
    </row>
    <row r="55">
      <c r="D55" s="29"/>
      <c r="E55" s="29"/>
      <c r="F55" s="29"/>
      <c r="G55" s="29"/>
    </row>
    <row r="56">
      <c r="D56" s="29"/>
      <c r="E56" s="29"/>
      <c r="F56" s="29"/>
      <c r="G56" s="29"/>
    </row>
    <row r="57">
      <c r="D57" s="29"/>
      <c r="E57" s="29"/>
      <c r="F57" s="29"/>
      <c r="G57" s="29"/>
    </row>
    <row r="58">
      <c r="D58" s="29"/>
      <c r="E58" s="29"/>
      <c r="F58" s="29"/>
      <c r="G58" s="29"/>
    </row>
    <row r="59">
      <c r="D59" s="29"/>
      <c r="E59" s="29"/>
      <c r="F59" s="29"/>
      <c r="G59" s="29"/>
    </row>
    <row r="60">
      <c r="D60" s="29"/>
      <c r="E60" s="29"/>
      <c r="F60" s="29"/>
      <c r="G60" s="29"/>
    </row>
    <row r="61">
      <c r="D61" s="29"/>
      <c r="E61" s="29"/>
      <c r="F61" s="29"/>
      <c r="G61" s="29"/>
    </row>
    <row r="62">
      <c r="D62" s="29"/>
      <c r="E62" s="29"/>
      <c r="F62" s="29"/>
      <c r="G62" s="29"/>
    </row>
    <row r="63">
      <c r="D63" s="29"/>
      <c r="E63" s="29"/>
      <c r="F63" s="29"/>
      <c r="G63" s="29"/>
    </row>
    <row r="64">
      <c r="D64" s="29"/>
      <c r="E64" s="29"/>
      <c r="F64" s="29"/>
      <c r="G64" s="29"/>
    </row>
    <row r="65">
      <c r="D65" s="29"/>
      <c r="E65" s="29"/>
      <c r="F65" s="29"/>
      <c r="G65" s="29"/>
    </row>
    <row r="66">
      <c r="D66" s="29"/>
      <c r="E66" s="29"/>
      <c r="F66" s="29"/>
      <c r="G66" s="29"/>
    </row>
    <row r="67">
      <c r="D67" s="29"/>
      <c r="E67" s="29"/>
      <c r="F67" s="29"/>
      <c r="G67" s="29"/>
    </row>
    <row r="68">
      <c r="D68" s="29"/>
      <c r="E68" s="29"/>
      <c r="F68" s="29"/>
      <c r="G68" s="29"/>
    </row>
    <row r="69">
      <c r="D69" s="29"/>
      <c r="E69" s="29"/>
      <c r="F69" s="29"/>
      <c r="G69" s="29"/>
    </row>
    <row r="70">
      <c r="D70" s="29"/>
      <c r="E70" s="29"/>
      <c r="F70" s="29"/>
      <c r="G70" s="29"/>
    </row>
    <row r="71">
      <c r="D71" s="29"/>
      <c r="E71" s="29"/>
      <c r="F71" s="29"/>
      <c r="G71" s="29"/>
    </row>
    <row r="72">
      <c r="D72" s="29"/>
      <c r="E72" s="29"/>
      <c r="F72" s="29"/>
      <c r="G72" s="29"/>
    </row>
    <row r="73">
      <c r="D73" s="29"/>
      <c r="E73" s="29"/>
      <c r="F73" s="29"/>
      <c r="G73" s="29"/>
    </row>
    <row r="74">
      <c r="D74" s="29"/>
      <c r="E74" s="29"/>
      <c r="F74" s="29"/>
      <c r="G74" s="29"/>
    </row>
    <row r="75">
      <c r="D75" s="29"/>
      <c r="E75" s="29"/>
      <c r="F75" s="29"/>
      <c r="G75" s="29"/>
    </row>
    <row r="76">
      <c r="D76" s="29"/>
      <c r="E76" s="29"/>
      <c r="F76" s="29"/>
      <c r="G76" s="29"/>
    </row>
    <row r="77">
      <c r="D77" s="29"/>
      <c r="E77" s="29"/>
      <c r="F77" s="29"/>
      <c r="G77" s="29"/>
    </row>
    <row r="78">
      <c r="D78" s="29"/>
      <c r="E78" s="29"/>
      <c r="F78" s="29"/>
      <c r="G78" s="29"/>
    </row>
    <row r="79">
      <c r="D79" s="29"/>
      <c r="E79" s="29"/>
      <c r="F79" s="29"/>
      <c r="G79" s="29"/>
    </row>
    <row r="80">
      <c r="D80" s="29"/>
      <c r="E80" s="29"/>
      <c r="F80" s="29"/>
      <c r="G80" s="29"/>
    </row>
    <row r="81">
      <c r="D81" s="29"/>
      <c r="E81" s="29"/>
      <c r="F81" s="29"/>
      <c r="G81" s="29"/>
    </row>
    <row r="82">
      <c r="D82" s="29"/>
      <c r="E82" s="29"/>
      <c r="F82" s="29"/>
      <c r="G82" s="29"/>
    </row>
    <row r="83">
      <c r="D83" s="29"/>
      <c r="E83" s="29"/>
      <c r="F83" s="29"/>
      <c r="G83" s="29"/>
    </row>
    <row r="84">
      <c r="D84" s="29"/>
      <c r="E84" s="29"/>
      <c r="F84" s="29"/>
      <c r="G84" s="29"/>
    </row>
    <row r="85">
      <c r="D85" s="29"/>
      <c r="E85" s="29"/>
      <c r="F85" s="29"/>
      <c r="G85" s="29"/>
    </row>
    <row r="86">
      <c r="D86" s="29"/>
      <c r="E86" s="29"/>
      <c r="F86" s="29"/>
      <c r="G86" s="29"/>
    </row>
    <row r="87">
      <c r="D87" s="29"/>
      <c r="E87" s="29"/>
      <c r="F87" s="29"/>
      <c r="G87" s="29"/>
    </row>
    <row r="88">
      <c r="D88" s="29"/>
      <c r="E88" s="29"/>
      <c r="F88" s="29"/>
      <c r="G88" s="29"/>
    </row>
    <row r="89">
      <c r="D89" s="29"/>
      <c r="E89" s="29"/>
      <c r="F89" s="29"/>
      <c r="G89" s="29"/>
    </row>
    <row r="90">
      <c r="D90" s="29"/>
      <c r="E90" s="29"/>
      <c r="F90" s="29"/>
      <c r="G90" s="29"/>
    </row>
    <row r="91">
      <c r="D91" s="29"/>
      <c r="E91" s="29"/>
      <c r="F91" s="29"/>
      <c r="G91" s="29"/>
    </row>
    <row r="92">
      <c r="D92" s="29"/>
      <c r="E92" s="29"/>
      <c r="F92" s="29"/>
      <c r="G92" s="29"/>
    </row>
    <row r="93">
      <c r="D93" s="29"/>
      <c r="E93" s="29"/>
      <c r="F93" s="29"/>
      <c r="G93" s="29"/>
    </row>
    <row r="94">
      <c r="D94" s="29"/>
      <c r="E94" s="29"/>
      <c r="F94" s="29"/>
      <c r="G94" s="29"/>
    </row>
    <row r="95">
      <c r="D95" s="29"/>
      <c r="E95" s="29"/>
      <c r="F95" s="29"/>
      <c r="G95" s="29"/>
    </row>
    <row r="96">
      <c r="D96" s="29"/>
      <c r="E96" s="29"/>
      <c r="F96" s="29"/>
      <c r="G96" s="29"/>
    </row>
    <row r="97">
      <c r="D97" s="29"/>
      <c r="E97" s="29"/>
      <c r="F97" s="29"/>
      <c r="G97" s="29"/>
    </row>
    <row r="98">
      <c r="D98" s="29"/>
      <c r="E98" s="29"/>
      <c r="F98" s="29"/>
      <c r="G98" s="29"/>
    </row>
    <row r="99">
      <c r="D99" s="29"/>
      <c r="E99" s="29"/>
      <c r="F99" s="29"/>
      <c r="G99" s="29"/>
    </row>
    <row r="100">
      <c r="D100" s="29"/>
      <c r="E100" s="29"/>
      <c r="F100" s="29"/>
      <c r="G100" s="29"/>
    </row>
    <row r="101">
      <c r="D101" s="29"/>
      <c r="E101" s="29"/>
      <c r="F101" s="29"/>
      <c r="G101" s="29"/>
    </row>
    <row r="102">
      <c r="D102" s="29"/>
      <c r="E102" s="29"/>
      <c r="F102" s="29"/>
      <c r="G102" s="29"/>
    </row>
    <row r="103">
      <c r="D103" s="29"/>
      <c r="E103" s="29"/>
      <c r="F103" s="29"/>
      <c r="G103" s="29"/>
    </row>
    <row r="104">
      <c r="D104" s="29"/>
      <c r="E104" s="29"/>
      <c r="F104" s="29"/>
      <c r="G104" s="29"/>
    </row>
    <row r="105">
      <c r="D105" s="29"/>
      <c r="E105" s="29"/>
      <c r="F105" s="29"/>
      <c r="G105" s="29"/>
    </row>
    <row r="106">
      <c r="D106" s="29"/>
      <c r="E106" s="29"/>
      <c r="F106" s="29"/>
      <c r="G106" s="29"/>
    </row>
    <row r="107">
      <c r="D107" s="29"/>
      <c r="E107" s="29"/>
      <c r="F107" s="29"/>
      <c r="G107" s="29"/>
    </row>
    <row r="108">
      <c r="D108" s="29"/>
      <c r="E108" s="29"/>
      <c r="F108" s="29"/>
      <c r="G108" s="29"/>
    </row>
    <row r="109">
      <c r="D109" s="29"/>
      <c r="E109" s="29"/>
      <c r="F109" s="29"/>
      <c r="G109" s="29"/>
    </row>
    <row r="110">
      <c r="D110" s="29"/>
      <c r="E110" s="29"/>
      <c r="F110" s="29"/>
      <c r="G110" s="29"/>
    </row>
    <row r="111">
      <c r="D111" s="29"/>
      <c r="E111" s="29"/>
      <c r="F111" s="29"/>
      <c r="G111" s="29"/>
    </row>
    <row r="112">
      <c r="D112" s="29"/>
      <c r="E112" s="29"/>
      <c r="F112" s="29"/>
      <c r="G112" s="29"/>
    </row>
    <row r="113">
      <c r="D113" s="29"/>
      <c r="E113" s="29"/>
      <c r="F113" s="29"/>
      <c r="G113" s="29"/>
    </row>
    <row r="114">
      <c r="D114" s="29"/>
      <c r="E114" s="29"/>
      <c r="F114" s="29"/>
      <c r="G114" s="29"/>
    </row>
    <row r="115">
      <c r="D115" s="29"/>
      <c r="E115" s="29"/>
      <c r="F115" s="29"/>
      <c r="G115" s="29"/>
    </row>
    <row r="116">
      <c r="D116" s="29"/>
      <c r="E116" s="29"/>
      <c r="F116" s="29"/>
      <c r="G116" s="29"/>
    </row>
    <row r="117">
      <c r="D117" s="29"/>
      <c r="E117" s="29"/>
      <c r="F117" s="29"/>
      <c r="G117" s="29"/>
    </row>
    <row r="118">
      <c r="D118" s="29"/>
      <c r="E118" s="29"/>
      <c r="F118" s="29"/>
      <c r="G118" s="29"/>
    </row>
    <row r="119">
      <c r="D119" s="29"/>
      <c r="E119" s="29"/>
      <c r="F119" s="29"/>
      <c r="G119" s="29"/>
    </row>
    <row r="120">
      <c r="D120" s="29"/>
      <c r="E120" s="29"/>
      <c r="F120" s="29"/>
      <c r="G120" s="29"/>
    </row>
    <row r="121">
      <c r="D121" s="29"/>
      <c r="E121" s="29"/>
      <c r="F121" s="29"/>
      <c r="G121" s="29"/>
    </row>
    <row r="122">
      <c r="D122" s="29"/>
      <c r="E122" s="29"/>
      <c r="F122" s="29"/>
      <c r="G122" s="29"/>
    </row>
    <row r="123">
      <c r="D123" s="29"/>
      <c r="E123" s="29"/>
      <c r="F123" s="29"/>
      <c r="G123" s="29"/>
    </row>
    <row r="124">
      <c r="D124" s="29"/>
      <c r="E124" s="29"/>
      <c r="F124" s="29"/>
      <c r="G124" s="29"/>
    </row>
    <row r="125">
      <c r="D125" s="29"/>
      <c r="E125" s="29"/>
      <c r="F125" s="29"/>
      <c r="G125" s="29"/>
    </row>
    <row r="126">
      <c r="D126" s="29"/>
      <c r="E126" s="29"/>
      <c r="F126" s="29"/>
      <c r="G126" s="29"/>
    </row>
    <row r="127">
      <c r="D127" s="29"/>
      <c r="E127" s="29"/>
      <c r="F127" s="29"/>
      <c r="G127" s="29"/>
    </row>
    <row r="128">
      <c r="D128" s="29"/>
      <c r="E128" s="29"/>
      <c r="F128" s="29"/>
      <c r="G128" s="29"/>
    </row>
    <row r="129">
      <c r="D129" s="29"/>
      <c r="E129" s="29"/>
      <c r="F129" s="29"/>
      <c r="G129" s="29"/>
    </row>
    <row r="130">
      <c r="D130" s="29"/>
      <c r="E130" s="29"/>
      <c r="F130" s="29"/>
      <c r="G130" s="29"/>
    </row>
    <row r="131">
      <c r="D131" s="29"/>
      <c r="E131" s="29"/>
      <c r="F131" s="29"/>
      <c r="G131" s="29"/>
    </row>
    <row r="132">
      <c r="D132" s="29"/>
      <c r="E132" s="29"/>
      <c r="F132" s="29"/>
      <c r="G132" s="29"/>
    </row>
    <row r="133">
      <c r="D133" s="29"/>
      <c r="E133" s="29"/>
      <c r="F133" s="29"/>
      <c r="G133" s="29"/>
    </row>
    <row r="134">
      <c r="D134" s="29"/>
      <c r="E134" s="29"/>
      <c r="F134" s="29"/>
      <c r="G134" s="29"/>
    </row>
    <row r="135">
      <c r="D135" s="29"/>
      <c r="E135" s="29"/>
      <c r="F135" s="29"/>
      <c r="G135" s="29"/>
    </row>
    <row r="136">
      <c r="D136" s="29"/>
      <c r="E136" s="29"/>
      <c r="F136" s="29"/>
      <c r="G136" s="29"/>
    </row>
    <row r="137">
      <c r="D137" s="29"/>
      <c r="E137" s="29"/>
      <c r="F137" s="29"/>
      <c r="G137" s="29"/>
    </row>
    <row r="138">
      <c r="D138" s="29"/>
      <c r="E138" s="29"/>
      <c r="F138" s="29"/>
      <c r="G138" s="29"/>
    </row>
    <row r="139">
      <c r="D139" s="29"/>
      <c r="E139" s="29"/>
      <c r="F139" s="29"/>
      <c r="G139" s="29"/>
    </row>
    <row r="140">
      <c r="D140" s="29"/>
      <c r="E140" s="29"/>
      <c r="F140" s="29"/>
      <c r="G140" s="29"/>
    </row>
    <row r="141">
      <c r="D141" s="29"/>
      <c r="E141" s="29"/>
      <c r="F141" s="29"/>
      <c r="G141" s="29"/>
    </row>
    <row r="142">
      <c r="D142" s="29"/>
      <c r="E142" s="29"/>
      <c r="F142" s="29"/>
      <c r="G142" s="29"/>
    </row>
    <row r="143">
      <c r="D143" s="29"/>
      <c r="E143" s="29"/>
      <c r="F143" s="29"/>
      <c r="G143" s="29"/>
    </row>
    <row r="144">
      <c r="D144" s="29"/>
      <c r="E144" s="29"/>
      <c r="F144" s="29"/>
      <c r="G144" s="29"/>
    </row>
    <row r="145">
      <c r="D145" s="29"/>
      <c r="E145" s="29"/>
      <c r="F145" s="29"/>
      <c r="G145" s="29"/>
    </row>
    <row r="146">
      <c r="D146" s="29"/>
      <c r="E146" s="29"/>
      <c r="F146" s="29"/>
      <c r="G146" s="29"/>
    </row>
    <row r="147">
      <c r="D147" s="29"/>
      <c r="E147" s="29"/>
      <c r="F147" s="29"/>
      <c r="G147" s="29"/>
    </row>
    <row r="148">
      <c r="D148" s="29"/>
      <c r="E148" s="29"/>
      <c r="F148" s="29"/>
      <c r="G148" s="29"/>
    </row>
    <row r="149">
      <c r="D149" s="29"/>
      <c r="E149" s="29"/>
      <c r="F149" s="29"/>
      <c r="G149" s="29"/>
    </row>
    <row r="150">
      <c r="D150" s="29"/>
      <c r="E150" s="29"/>
      <c r="F150" s="29"/>
      <c r="G150" s="29"/>
    </row>
    <row r="151">
      <c r="D151" s="29"/>
      <c r="E151" s="29"/>
      <c r="F151" s="29"/>
      <c r="G151" s="29"/>
    </row>
    <row r="152">
      <c r="D152" s="29"/>
      <c r="E152" s="29"/>
      <c r="F152" s="29"/>
      <c r="G152" s="29"/>
    </row>
    <row r="153">
      <c r="D153" s="29"/>
      <c r="E153" s="29"/>
      <c r="F153" s="29"/>
      <c r="G153" s="29"/>
    </row>
    <row r="154">
      <c r="D154" s="29"/>
      <c r="E154" s="29"/>
      <c r="F154" s="29"/>
      <c r="G154" s="29"/>
    </row>
    <row r="155">
      <c r="D155" s="29"/>
      <c r="E155" s="29"/>
      <c r="F155" s="29"/>
      <c r="G155" s="29"/>
    </row>
    <row r="156">
      <c r="D156" s="29"/>
      <c r="E156" s="29"/>
      <c r="F156" s="29"/>
      <c r="G156" s="29"/>
    </row>
    <row r="157">
      <c r="D157" s="29"/>
      <c r="E157" s="29"/>
      <c r="F157" s="29"/>
      <c r="G157" s="29"/>
    </row>
    <row r="158">
      <c r="D158" s="29"/>
      <c r="E158" s="29"/>
      <c r="F158" s="29"/>
      <c r="G158" s="29"/>
    </row>
    <row r="159">
      <c r="D159" s="29"/>
      <c r="E159" s="29"/>
      <c r="F159" s="29"/>
      <c r="G159" s="29"/>
    </row>
    <row r="160">
      <c r="D160" s="29"/>
      <c r="E160" s="29"/>
      <c r="F160" s="29"/>
      <c r="G160" s="29"/>
    </row>
    <row r="161">
      <c r="D161" s="29"/>
      <c r="E161" s="29"/>
      <c r="F161" s="29"/>
      <c r="G161" s="29"/>
    </row>
    <row r="162">
      <c r="D162" s="29"/>
      <c r="E162" s="29"/>
      <c r="F162" s="29"/>
      <c r="G162" s="29"/>
    </row>
    <row r="163">
      <c r="D163" s="29"/>
      <c r="E163" s="29"/>
      <c r="F163" s="29"/>
      <c r="G163" s="29"/>
    </row>
    <row r="164">
      <c r="D164" s="29"/>
      <c r="E164" s="29"/>
      <c r="F164" s="29"/>
      <c r="G164" s="29"/>
    </row>
    <row r="165">
      <c r="D165" s="29"/>
      <c r="E165" s="29"/>
      <c r="F165" s="29"/>
      <c r="G165" s="29"/>
    </row>
    <row r="166">
      <c r="D166" s="29"/>
      <c r="E166" s="29"/>
      <c r="F166" s="29"/>
      <c r="G166" s="29"/>
    </row>
    <row r="167">
      <c r="D167" s="29"/>
      <c r="E167" s="29"/>
      <c r="F167" s="29"/>
      <c r="G167" s="29"/>
    </row>
    <row r="168">
      <c r="D168" s="29"/>
      <c r="E168" s="29"/>
      <c r="F168" s="29"/>
      <c r="G168" s="29"/>
    </row>
    <row r="169">
      <c r="D169" s="29"/>
      <c r="E169" s="29"/>
      <c r="F169" s="29"/>
      <c r="G169" s="29"/>
    </row>
    <row r="170">
      <c r="D170" s="29"/>
      <c r="E170" s="29"/>
      <c r="F170" s="29"/>
      <c r="G170" s="29"/>
    </row>
    <row r="171">
      <c r="D171" s="29"/>
      <c r="E171" s="29"/>
      <c r="F171" s="29"/>
      <c r="G171" s="29"/>
    </row>
    <row r="172">
      <c r="D172" s="29"/>
      <c r="E172" s="29"/>
      <c r="F172" s="29"/>
      <c r="G172" s="29"/>
    </row>
    <row r="173">
      <c r="D173" s="29"/>
      <c r="E173" s="29"/>
      <c r="F173" s="29"/>
      <c r="G173" s="29"/>
    </row>
    <row r="174">
      <c r="D174" s="29"/>
      <c r="E174" s="29"/>
      <c r="F174" s="29"/>
      <c r="G174" s="29"/>
    </row>
    <row r="175">
      <c r="D175" s="29"/>
      <c r="E175" s="29"/>
      <c r="F175" s="29"/>
      <c r="G175" s="29"/>
    </row>
    <row r="176">
      <c r="D176" s="29"/>
      <c r="E176" s="29"/>
      <c r="F176" s="29"/>
      <c r="G176" s="29"/>
    </row>
    <row r="177">
      <c r="D177" s="29"/>
      <c r="E177" s="29"/>
      <c r="F177" s="29"/>
      <c r="G177" s="29"/>
    </row>
    <row r="178">
      <c r="D178" s="29"/>
      <c r="E178" s="29"/>
      <c r="F178" s="29"/>
      <c r="G178" s="29"/>
    </row>
    <row r="179">
      <c r="D179" s="29"/>
      <c r="E179" s="29"/>
      <c r="F179" s="29"/>
      <c r="G179" s="29"/>
    </row>
    <row r="180">
      <c r="D180" s="29"/>
      <c r="E180" s="29"/>
      <c r="F180" s="29"/>
      <c r="G180" s="29"/>
    </row>
    <row r="181">
      <c r="D181" s="29"/>
      <c r="E181" s="29"/>
      <c r="F181" s="29"/>
      <c r="G181" s="29"/>
    </row>
    <row r="182">
      <c r="D182" s="29"/>
      <c r="E182" s="29"/>
      <c r="F182" s="29"/>
      <c r="G182" s="29"/>
    </row>
    <row r="183">
      <c r="D183" s="29"/>
      <c r="E183" s="29"/>
      <c r="F183" s="29"/>
      <c r="G183" s="29"/>
    </row>
    <row r="184">
      <c r="D184" s="29"/>
      <c r="E184" s="29"/>
      <c r="F184" s="29"/>
      <c r="G184" s="29"/>
    </row>
    <row r="185">
      <c r="D185" s="29"/>
      <c r="E185" s="29"/>
      <c r="F185" s="29"/>
      <c r="G185" s="29"/>
    </row>
    <row r="186">
      <c r="D186" s="29"/>
      <c r="E186" s="29"/>
      <c r="F186" s="29"/>
      <c r="G186" s="29"/>
    </row>
    <row r="187">
      <c r="D187" s="29"/>
      <c r="E187" s="29"/>
      <c r="F187" s="29"/>
      <c r="G187" s="29"/>
    </row>
    <row r="188">
      <c r="D188" s="29"/>
      <c r="E188" s="29"/>
      <c r="F188" s="29"/>
      <c r="G188" s="29"/>
    </row>
    <row r="189">
      <c r="D189" s="29"/>
      <c r="E189" s="29"/>
      <c r="F189" s="29"/>
      <c r="G189" s="29"/>
    </row>
    <row r="190">
      <c r="D190" s="29"/>
      <c r="E190" s="29"/>
      <c r="F190" s="29"/>
      <c r="G190" s="29"/>
    </row>
    <row r="191">
      <c r="D191" s="29"/>
      <c r="E191" s="29"/>
      <c r="F191" s="29"/>
      <c r="G191" s="29"/>
    </row>
    <row r="192">
      <c r="D192" s="29"/>
      <c r="E192" s="29"/>
      <c r="F192" s="29"/>
      <c r="G192" s="29"/>
    </row>
    <row r="193">
      <c r="D193" s="29"/>
      <c r="E193" s="29"/>
      <c r="F193" s="29"/>
      <c r="G193" s="29"/>
    </row>
    <row r="194">
      <c r="D194" s="29"/>
      <c r="E194" s="29"/>
      <c r="F194" s="29"/>
      <c r="G194" s="29"/>
    </row>
    <row r="195">
      <c r="D195" s="29"/>
      <c r="E195" s="29"/>
      <c r="F195" s="29"/>
      <c r="G195" s="29"/>
    </row>
    <row r="196">
      <c r="D196" s="29"/>
      <c r="E196" s="29"/>
      <c r="F196" s="29"/>
      <c r="G196" s="29"/>
    </row>
    <row r="197">
      <c r="D197" s="29"/>
      <c r="E197" s="29"/>
      <c r="F197" s="29"/>
      <c r="G197" s="29"/>
    </row>
    <row r="198">
      <c r="D198" s="29"/>
      <c r="E198" s="29"/>
      <c r="F198" s="29"/>
      <c r="G198" s="29"/>
    </row>
    <row r="199">
      <c r="D199" s="29"/>
      <c r="E199" s="29"/>
      <c r="F199" s="29"/>
      <c r="G199" s="29"/>
    </row>
    <row r="200">
      <c r="D200" s="29"/>
      <c r="E200" s="29"/>
      <c r="F200" s="29"/>
      <c r="G200" s="29"/>
    </row>
    <row r="201">
      <c r="D201" s="29"/>
      <c r="E201" s="29"/>
      <c r="F201" s="29"/>
      <c r="G201" s="29"/>
    </row>
    <row r="202">
      <c r="D202" s="29"/>
      <c r="E202" s="29"/>
      <c r="F202" s="29"/>
      <c r="G202" s="29"/>
    </row>
    <row r="203">
      <c r="D203" s="29"/>
      <c r="E203" s="29"/>
      <c r="F203" s="29"/>
      <c r="G203" s="29"/>
    </row>
    <row r="204">
      <c r="D204" s="29"/>
      <c r="E204" s="29"/>
      <c r="F204" s="29"/>
      <c r="G204" s="29"/>
    </row>
    <row r="205">
      <c r="D205" s="29"/>
      <c r="E205" s="29"/>
      <c r="F205" s="29"/>
      <c r="G205" s="29"/>
    </row>
    <row r="206">
      <c r="D206" s="29"/>
      <c r="E206" s="29"/>
      <c r="F206" s="29"/>
      <c r="G206" s="29"/>
    </row>
    <row r="207">
      <c r="D207" s="29"/>
      <c r="E207" s="29"/>
      <c r="F207" s="29"/>
      <c r="G207" s="29"/>
    </row>
    <row r="208">
      <c r="D208" s="29"/>
      <c r="E208" s="29"/>
      <c r="F208" s="29"/>
      <c r="G208" s="29"/>
    </row>
    <row r="209">
      <c r="D209" s="29"/>
      <c r="E209" s="29"/>
      <c r="F209" s="29"/>
      <c r="G209" s="29"/>
    </row>
    <row r="210">
      <c r="D210" s="29"/>
      <c r="E210" s="29"/>
      <c r="F210" s="29"/>
      <c r="G210" s="29"/>
    </row>
    <row r="211">
      <c r="D211" s="29"/>
      <c r="E211" s="29"/>
      <c r="F211" s="29"/>
      <c r="G211" s="29"/>
    </row>
    <row r="212">
      <c r="D212" s="29"/>
      <c r="E212" s="29"/>
      <c r="F212" s="29"/>
      <c r="G212" s="29"/>
    </row>
    <row r="213">
      <c r="D213" s="29"/>
      <c r="E213" s="29"/>
      <c r="F213" s="29"/>
      <c r="G213" s="29"/>
    </row>
    <row r="214">
      <c r="D214" s="29"/>
      <c r="E214" s="29"/>
      <c r="F214" s="29"/>
      <c r="G214" s="29"/>
    </row>
    <row r="215">
      <c r="D215" s="29"/>
      <c r="E215" s="29"/>
      <c r="F215" s="29"/>
      <c r="G215" s="29"/>
    </row>
    <row r="216">
      <c r="D216" s="29"/>
      <c r="E216" s="29"/>
      <c r="F216" s="29"/>
      <c r="G216" s="29"/>
    </row>
    <row r="217">
      <c r="D217" s="29"/>
      <c r="E217" s="29"/>
      <c r="F217" s="29"/>
      <c r="G217" s="29"/>
    </row>
    <row r="218">
      <c r="D218" s="29"/>
      <c r="E218" s="29"/>
      <c r="F218" s="29"/>
      <c r="G218" s="29"/>
    </row>
    <row r="219">
      <c r="D219" s="29"/>
      <c r="E219" s="29"/>
      <c r="F219" s="29"/>
      <c r="G219" s="29"/>
    </row>
    <row r="220">
      <c r="D220" s="29"/>
      <c r="E220" s="29"/>
      <c r="F220" s="29"/>
      <c r="G220" s="29"/>
    </row>
    <row r="221">
      <c r="D221" s="29"/>
      <c r="E221" s="29"/>
      <c r="F221" s="29"/>
      <c r="G221" s="29"/>
    </row>
    <row r="222">
      <c r="D222" s="29"/>
      <c r="E222" s="29"/>
      <c r="F222" s="29"/>
      <c r="G222" s="29"/>
    </row>
    <row r="223">
      <c r="D223" s="29"/>
      <c r="E223" s="29"/>
      <c r="F223" s="29"/>
      <c r="G223" s="29"/>
    </row>
    <row r="224">
      <c r="D224" s="29"/>
      <c r="E224" s="29"/>
      <c r="F224" s="29"/>
      <c r="G224" s="29"/>
    </row>
    <row r="225">
      <c r="D225" s="29"/>
      <c r="E225" s="29"/>
      <c r="F225" s="29"/>
      <c r="G225" s="29"/>
    </row>
    <row r="226">
      <c r="D226" s="29"/>
      <c r="E226" s="29"/>
      <c r="F226" s="29"/>
      <c r="G226" s="29"/>
    </row>
    <row r="227">
      <c r="D227" s="29"/>
      <c r="E227" s="29"/>
      <c r="F227" s="29"/>
      <c r="G227" s="29"/>
    </row>
    <row r="228">
      <c r="D228" s="29"/>
      <c r="E228" s="29"/>
      <c r="F228" s="29"/>
      <c r="G228" s="29"/>
    </row>
    <row r="229">
      <c r="D229" s="29"/>
      <c r="E229" s="29"/>
      <c r="F229" s="29"/>
      <c r="G229" s="29"/>
    </row>
    <row r="230">
      <c r="D230" s="29"/>
      <c r="E230" s="29"/>
      <c r="F230" s="29"/>
      <c r="G230" s="29"/>
    </row>
    <row r="231">
      <c r="D231" s="29"/>
      <c r="E231" s="29"/>
      <c r="F231" s="29"/>
      <c r="G231" s="29"/>
    </row>
    <row r="232">
      <c r="D232" s="29"/>
      <c r="E232" s="29"/>
      <c r="F232" s="29"/>
      <c r="G232" s="29"/>
    </row>
    <row r="233">
      <c r="D233" s="29"/>
      <c r="E233" s="29"/>
      <c r="F233" s="29"/>
      <c r="G233" s="29"/>
    </row>
    <row r="234">
      <c r="D234" s="29"/>
      <c r="E234" s="29"/>
      <c r="F234" s="29"/>
      <c r="G234" s="29"/>
    </row>
    <row r="235">
      <c r="D235" s="29"/>
      <c r="E235" s="29"/>
      <c r="F235" s="29"/>
      <c r="G235" s="29"/>
    </row>
    <row r="236">
      <c r="D236" s="29"/>
      <c r="E236" s="29"/>
      <c r="F236" s="29"/>
      <c r="G236" s="29"/>
    </row>
    <row r="237">
      <c r="D237" s="29"/>
      <c r="E237" s="29"/>
      <c r="F237" s="29"/>
      <c r="G237" s="29"/>
    </row>
    <row r="238">
      <c r="D238" s="29"/>
      <c r="E238" s="29"/>
      <c r="F238" s="29"/>
      <c r="G238" s="29"/>
    </row>
    <row r="239">
      <c r="D239" s="29"/>
      <c r="E239" s="29"/>
      <c r="F239" s="29"/>
      <c r="G239" s="29"/>
    </row>
    <row r="240">
      <c r="D240" s="29"/>
      <c r="E240" s="29"/>
      <c r="F240" s="29"/>
      <c r="G240" s="29"/>
    </row>
    <row r="241">
      <c r="D241" s="29"/>
      <c r="E241" s="29"/>
      <c r="F241" s="29"/>
      <c r="G241" s="29"/>
    </row>
    <row r="242">
      <c r="D242" s="29"/>
      <c r="E242" s="29"/>
      <c r="F242" s="29"/>
      <c r="G242" s="29"/>
    </row>
    <row r="243">
      <c r="D243" s="29"/>
      <c r="E243" s="29"/>
      <c r="F243" s="29"/>
      <c r="G243" s="29"/>
    </row>
    <row r="244">
      <c r="D244" s="29"/>
      <c r="E244" s="29"/>
      <c r="F244" s="29"/>
      <c r="G244" s="29"/>
    </row>
    <row r="245">
      <c r="D245" s="29"/>
      <c r="E245" s="29"/>
      <c r="F245" s="29"/>
      <c r="G245" s="29"/>
    </row>
    <row r="246">
      <c r="D246" s="29"/>
      <c r="E246" s="29"/>
      <c r="F246" s="29"/>
      <c r="G246" s="29"/>
    </row>
    <row r="247">
      <c r="D247" s="29"/>
      <c r="E247" s="29"/>
      <c r="F247" s="29"/>
      <c r="G247" s="29"/>
    </row>
    <row r="248">
      <c r="D248" s="29"/>
      <c r="E248" s="29"/>
      <c r="F248" s="29"/>
      <c r="G248" s="29"/>
    </row>
    <row r="249">
      <c r="D249" s="29"/>
      <c r="E249" s="29"/>
      <c r="F249" s="29"/>
      <c r="G249" s="29"/>
    </row>
    <row r="250">
      <c r="D250" s="29"/>
      <c r="E250" s="29"/>
      <c r="F250" s="29"/>
      <c r="G250" s="29"/>
    </row>
    <row r="251">
      <c r="D251" s="29"/>
      <c r="E251" s="29"/>
      <c r="F251" s="29"/>
      <c r="G251" s="29"/>
    </row>
    <row r="252">
      <c r="D252" s="29"/>
      <c r="E252" s="29"/>
      <c r="F252" s="29"/>
      <c r="G252" s="29"/>
    </row>
    <row r="253">
      <c r="D253" s="29"/>
      <c r="E253" s="29"/>
      <c r="F253" s="29"/>
      <c r="G253" s="29"/>
    </row>
    <row r="254">
      <c r="D254" s="29"/>
      <c r="E254" s="29"/>
      <c r="F254" s="29"/>
      <c r="G254" s="29"/>
    </row>
    <row r="255">
      <c r="D255" s="29"/>
      <c r="E255" s="29"/>
      <c r="F255" s="29"/>
      <c r="G255" s="29"/>
    </row>
    <row r="256">
      <c r="D256" s="29"/>
      <c r="E256" s="29"/>
      <c r="F256" s="29"/>
      <c r="G256" s="29"/>
    </row>
    <row r="257">
      <c r="D257" s="29"/>
      <c r="E257" s="29"/>
      <c r="F257" s="29"/>
      <c r="G257" s="29"/>
    </row>
    <row r="258">
      <c r="D258" s="29"/>
      <c r="E258" s="29"/>
      <c r="F258" s="29"/>
      <c r="G258" s="29"/>
    </row>
    <row r="259">
      <c r="D259" s="29"/>
      <c r="E259" s="29"/>
      <c r="F259" s="29"/>
      <c r="G259" s="29"/>
    </row>
    <row r="260">
      <c r="D260" s="29"/>
      <c r="E260" s="29"/>
      <c r="F260" s="29"/>
      <c r="G260" s="29"/>
    </row>
    <row r="261">
      <c r="D261" s="29"/>
      <c r="E261" s="29"/>
      <c r="F261" s="29"/>
      <c r="G261" s="29"/>
    </row>
    <row r="262">
      <c r="D262" s="29"/>
      <c r="E262" s="29"/>
      <c r="F262" s="29"/>
      <c r="G262" s="29"/>
    </row>
    <row r="263">
      <c r="D263" s="29"/>
      <c r="E263" s="29"/>
      <c r="F263" s="29"/>
      <c r="G263" s="29"/>
    </row>
    <row r="264">
      <c r="D264" s="29"/>
      <c r="E264" s="29"/>
      <c r="F264" s="29"/>
      <c r="G264" s="29"/>
    </row>
    <row r="265">
      <c r="D265" s="29"/>
      <c r="E265" s="29"/>
      <c r="F265" s="29"/>
      <c r="G265" s="29"/>
    </row>
    <row r="266">
      <c r="D266" s="29"/>
      <c r="E266" s="29"/>
      <c r="F266" s="29"/>
      <c r="G266" s="29"/>
    </row>
    <row r="267">
      <c r="D267" s="29"/>
      <c r="E267" s="29"/>
      <c r="F267" s="29"/>
      <c r="G267" s="29"/>
    </row>
    <row r="268">
      <c r="D268" s="29"/>
      <c r="E268" s="29"/>
      <c r="F268" s="29"/>
      <c r="G268" s="29"/>
    </row>
    <row r="269">
      <c r="D269" s="29"/>
      <c r="E269" s="29"/>
      <c r="F269" s="29"/>
      <c r="G269" s="29"/>
    </row>
    <row r="270">
      <c r="D270" s="29"/>
      <c r="E270" s="29"/>
      <c r="F270" s="29"/>
      <c r="G270" s="29"/>
    </row>
    <row r="271">
      <c r="D271" s="29"/>
      <c r="E271" s="29"/>
      <c r="F271" s="29"/>
      <c r="G271" s="29"/>
    </row>
    <row r="272">
      <c r="D272" s="29"/>
      <c r="E272" s="29"/>
      <c r="F272" s="29"/>
      <c r="G272" s="29"/>
    </row>
    <row r="273">
      <c r="D273" s="29"/>
      <c r="E273" s="29"/>
      <c r="F273" s="29"/>
      <c r="G273" s="29"/>
    </row>
    <row r="274">
      <c r="D274" s="29"/>
      <c r="E274" s="29"/>
      <c r="F274" s="29"/>
      <c r="G274" s="29"/>
    </row>
    <row r="275">
      <c r="D275" s="29"/>
      <c r="E275" s="29"/>
      <c r="F275" s="29"/>
      <c r="G275" s="29"/>
    </row>
    <row r="276">
      <c r="D276" s="29"/>
      <c r="E276" s="29"/>
      <c r="F276" s="29"/>
      <c r="G276" s="29"/>
    </row>
    <row r="277">
      <c r="D277" s="29"/>
      <c r="E277" s="29"/>
      <c r="F277" s="29"/>
      <c r="G277" s="29"/>
    </row>
    <row r="278">
      <c r="D278" s="29"/>
      <c r="E278" s="29"/>
      <c r="F278" s="29"/>
      <c r="G278" s="29"/>
    </row>
    <row r="279">
      <c r="D279" s="29"/>
      <c r="E279" s="29"/>
      <c r="F279" s="29"/>
      <c r="G279" s="29"/>
    </row>
    <row r="280">
      <c r="D280" s="29"/>
      <c r="E280" s="29"/>
      <c r="F280" s="29"/>
      <c r="G280" s="29"/>
    </row>
    <row r="281">
      <c r="D281" s="29"/>
      <c r="E281" s="29"/>
      <c r="F281" s="29"/>
      <c r="G281" s="29"/>
    </row>
    <row r="282">
      <c r="D282" s="29"/>
      <c r="E282" s="29"/>
      <c r="F282" s="29"/>
      <c r="G282" s="29"/>
    </row>
    <row r="283">
      <c r="D283" s="29"/>
      <c r="E283" s="29"/>
      <c r="F283" s="29"/>
      <c r="G283" s="29"/>
    </row>
    <row r="284">
      <c r="D284" s="29"/>
      <c r="E284" s="29"/>
      <c r="F284" s="29"/>
      <c r="G284" s="29"/>
    </row>
    <row r="285">
      <c r="D285" s="29"/>
      <c r="E285" s="29"/>
      <c r="F285" s="29"/>
      <c r="G285" s="29"/>
    </row>
    <row r="286">
      <c r="D286" s="29"/>
      <c r="E286" s="29"/>
      <c r="F286" s="29"/>
      <c r="G286" s="29"/>
    </row>
    <row r="287">
      <c r="D287" s="29"/>
      <c r="E287" s="29"/>
      <c r="F287" s="29"/>
      <c r="G287" s="29"/>
    </row>
    <row r="288">
      <c r="D288" s="29"/>
      <c r="E288" s="29"/>
      <c r="F288" s="29"/>
      <c r="G288" s="29"/>
    </row>
    <row r="289">
      <c r="D289" s="29"/>
      <c r="E289" s="29"/>
      <c r="F289" s="29"/>
      <c r="G289" s="29"/>
    </row>
    <row r="290">
      <c r="D290" s="29"/>
      <c r="E290" s="29"/>
      <c r="F290" s="29"/>
      <c r="G290" s="29"/>
    </row>
    <row r="291">
      <c r="D291" s="29"/>
      <c r="E291" s="29"/>
      <c r="F291" s="29"/>
      <c r="G291" s="29"/>
    </row>
    <row r="292">
      <c r="D292" s="29"/>
      <c r="E292" s="29"/>
      <c r="F292" s="29"/>
      <c r="G292" s="29"/>
    </row>
    <row r="293">
      <c r="D293" s="29"/>
      <c r="E293" s="29"/>
      <c r="F293" s="29"/>
      <c r="G293" s="29"/>
    </row>
    <row r="294">
      <c r="D294" s="29"/>
      <c r="E294" s="29"/>
      <c r="F294" s="29"/>
      <c r="G294" s="29"/>
    </row>
    <row r="295">
      <c r="D295" s="29"/>
      <c r="E295" s="29"/>
      <c r="F295" s="29"/>
      <c r="G295" s="29"/>
    </row>
    <row r="296">
      <c r="D296" s="29"/>
      <c r="E296" s="29"/>
      <c r="F296" s="29"/>
      <c r="G296" s="29"/>
    </row>
    <row r="297">
      <c r="D297" s="29"/>
      <c r="E297" s="29"/>
      <c r="F297" s="29"/>
      <c r="G297" s="29"/>
    </row>
    <row r="298">
      <c r="D298" s="29"/>
      <c r="E298" s="29"/>
      <c r="F298" s="29"/>
      <c r="G298" s="29"/>
    </row>
    <row r="299">
      <c r="D299" s="29"/>
      <c r="E299" s="29"/>
      <c r="F299" s="29"/>
      <c r="G299" s="29"/>
    </row>
    <row r="300">
      <c r="D300" s="29"/>
      <c r="E300" s="29"/>
      <c r="F300" s="29"/>
      <c r="G300" s="29"/>
    </row>
    <row r="301">
      <c r="D301" s="29"/>
      <c r="E301" s="29"/>
      <c r="F301" s="29"/>
      <c r="G301" s="29"/>
    </row>
    <row r="302">
      <c r="D302" s="29"/>
      <c r="E302" s="29"/>
      <c r="F302" s="29"/>
      <c r="G302" s="29"/>
    </row>
    <row r="303">
      <c r="D303" s="29"/>
      <c r="E303" s="29"/>
      <c r="F303" s="29"/>
      <c r="G303" s="29"/>
    </row>
    <row r="304">
      <c r="D304" s="29"/>
      <c r="E304" s="29"/>
      <c r="F304" s="29"/>
      <c r="G304" s="29"/>
    </row>
    <row r="305">
      <c r="D305" s="29"/>
      <c r="E305" s="29"/>
      <c r="F305" s="29"/>
      <c r="G305" s="29"/>
    </row>
    <row r="306">
      <c r="D306" s="29"/>
      <c r="E306" s="29"/>
      <c r="F306" s="29"/>
      <c r="G306" s="29"/>
    </row>
    <row r="307">
      <c r="D307" s="29"/>
      <c r="E307" s="29"/>
      <c r="F307" s="29"/>
      <c r="G307" s="29"/>
    </row>
    <row r="308">
      <c r="D308" s="29"/>
      <c r="E308" s="29"/>
      <c r="F308" s="29"/>
      <c r="G308" s="29"/>
    </row>
    <row r="309">
      <c r="D309" s="29"/>
      <c r="E309" s="29"/>
      <c r="F309" s="29"/>
      <c r="G309" s="29"/>
    </row>
    <row r="310">
      <c r="D310" s="29"/>
      <c r="E310" s="29"/>
      <c r="F310" s="29"/>
      <c r="G310" s="29"/>
    </row>
    <row r="311">
      <c r="D311" s="29"/>
      <c r="E311" s="29"/>
      <c r="F311" s="29"/>
      <c r="G311" s="29"/>
    </row>
    <row r="312">
      <c r="D312" s="29"/>
      <c r="E312" s="29"/>
      <c r="F312" s="29"/>
      <c r="G312" s="29"/>
    </row>
    <row r="313">
      <c r="D313" s="29"/>
      <c r="E313" s="29"/>
      <c r="F313" s="29"/>
      <c r="G313" s="29"/>
    </row>
    <row r="314">
      <c r="D314" s="29"/>
      <c r="E314" s="29"/>
      <c r="F314" s="29"/>
      <c r="G314" s="29"/>
    </row>
    <row r="315">
      <c r="D315" s="29"/>
      <c r="E315" s="29"/>
      <c r="F315" s="29"/>
      <c r="G315" s="29"/>
    </row>
    <row r="316">
      <c r="D316" s="29"/>
      <c r="E316" s="29"/>
      <c r="F316" s="29"/>
      <c r="G316" s="29"/>
    </row>
    <row r="317">
      <c r="D317" s="29"/>
      <c r="E317" s="29"/>
      <c r="F317" s="29"/>
      <c r="G317" s="29"/>
    </row>
    <row r="318">
      <c r="D318" s="29"/>
      <c r="E318" s="29"/>
      <c r="F318" s="29"/>
      <c r="G318" s="29"/>
    </row>
    <row r="319">
      <c r="D319" s="29"/>
      <c r="E319" s="29"/>
      <c r="F319" s="29"/>
      <c r="G319" s="29"/>
    </row>
    <row r="320">
      <c r="D320" s="29"/>
      <c r="E320" s="29"/>
      <c r="F320" s="29"/>
      <c r="G320" s="29"/>
    </row>
    <row r="321">
      <c r="D321" s="29"/>
      <c r="E321" s="29"/>
      <c r="F321" s="29"/>
      <c r="G321" s="29"/>
    </row>
    <row r="322">
      <c r="D322" s="29"/>
      <c r="E322" s="29"/>
      <c r="F322" s="29"/>
      <c r="G322" s="29"/>
    </row>
    <row r="323">
      <c r="D323" s="29"/>
      <c r="E323" s="29"/>
      <c r="F323" s="29"/>
      <c r="G323" s="29"/>
    </row>
    <row r="324">
      <c r="D324" s="29"/>
      <c r="E324" s="29"/>
      <c r="F324" s="29"/>
      <c r="G324" s="29"/>
    </row>
    <row r="325">
      <c r="D325" s="29"/>
      <c r="E325" s="29"/>
      <c r="F325" s="29"/>
      <c r="G325" s="29"/>
    </row>
    <row r="326">
      <c r="D326" s="29"/>
      <c r="E326" s="29"/>
      <c r="F326" s="29"/>
      <c r="G326" s="29"/>
    </row>
    <row r="327">
      <c r="D327" s="29"/>
      <c r="E327" s="29"/>
      <c r="F327" s="29"/>
      <c r="G327" s="29"/>
    </row>
    <row r="328">
      <c r="D328" s="29"/>
      <c r="E328" s="29"/>
      <c r="F328" s="29"/>
      <c r="G328" s="29"/>
    </row>
    <row r="329">
      <c r="D329" s="29"/>
      <c r="E329" s="29"/>
      <c r="F329" s="29"/>
      <c r="G329" s="29"/>
    </row>
    <row r="330">
      <c r="D330" s="29"/>
      <c r="E330" s="29"/>
      <c r="F330" s="29"/>
      <c r="G330" s="29"/>
    </row>
    <row r="331">
      <c r="D331" s="29"/>
      <c r="E331" s="29"/>
      <c r="F331" s="29"/>
      <c r="G331" s="29"/>
    </row>
    <row r="332">
      <c r="D332" s="29"/>
      <c r="E332" s="29"/>
      <c r="F332" s="29"/>
      <c r="G332" s="29"/>
    </row>
    <row r="333">
      <c r="D333" s="29"/>
      <c r="E333" s="29"/>
      <c r="F333" s="29"/>
      <c r="G333" s="29"/>
    </row>
    <row r="334">
      <c r="D334" s="29"/>
      <c r="E334" s="29"/>
      <c r="F334" s="29"/>
      <c r="G334" s="29"/>
    </row>
    <row r="335">
      <c r="D335" s="29"/>
      <c r="E335" s="29"/>
      <c r="F335" s="29"/>
      <c r="G335" s="29"/>
    </row>
    <row r="336">
      <c r="D336" s="29"/>
      <c r="E336" s="29"/>
      <c r="F336" s="29"/>
      <c r="G336" s="29"/>
    </row>
    <row r="337">
      <c r="D337" s="29"/>
      <c r="E337" s="29"/>
      <c r="F337" s="29"/>
      <c r="G337" s="29"/>
    </row>
    <row r="338">
      <c r="D338" s="29"/>
      <c r="E338" s="29"/>
      <c r="F338" s="29"/>
      <c r="G338" s="29"/>
    </row>
    <row r="339">
      <c r="D339" s="29"/>
      <c r="E339" s="29"/>
      <c r="F339" s="29"/>
      <c r="G339" s="29"/>
    </row>
    <row r="340">
      <c r="D340" s="29"/>
      <c r="E340" s="29"/>
      <c r="F340" s="29"/>
      <c r="G340" s="29"/>
    </row>
    <row r="341">
      <c r="D341" s="29"/>
      <c r="E341" s="29"/>
      <c r="F341" s="29"/>
      <c r="G341" s="29"/>
    </row>
    <row r="342">
      <c r="D342" s="29"/>
      <c r="E342" s="29"/>
      <c r="F342" s="29"/>
      <c r="G342" s="29"/>
    </row>
    <row r="343">
      <c r="D343" s="29"/>
      <c r="E343" s="29"/>
      <c r="F343" s="29"/>
      <c r="G343" s="29"/>
    </row>
    <row r="344">
      <c r="D344" s="29"/>
      <c r="E344" s="29"/>
      <c r="F344" s="29"/>
      <c r="G344" s="29"/>
    </row>
    <row r="345">
      <c r="D345" s="29"/>
      <c r="E345" s="29"/>
      <c r="F345" s="29"/>
      <c r="G345" s="29"/>
    </row>
    <row r="346">
      <c r="D346" s="29"/>
      <c r="E346" s="29"/>
      <c r="F346" s="29"/>
      <c r="G346" s="29"/>
    </row>
    <row r="347">
      <c r="D347" s="29"/>
      <c r="E347" s="29"/>
      <c r="F347" s="29"/>
      <c r="G347" s="29"/>
    </row>
    <row r="348">
      <c r="D348" s="29"/>
      <c r="E348" s="29"/>
      <c r="F348" s="29"/>
      <c r="G348" s="29"/>
    </row>
    <row r="349">
      <c r="D349" s="29"/>
      <c r="E349" s="29"/>
      <c r="F349" s="29"/>
      <c r="G349" s="29"/>
    </row>
    <row r="350">
      <c r="D350" s="29"/>
      <c r="E350" s="29"/>
      <c r="F350" s="29"/>
      <c r="G350" s="29"/>
    </row>
    <row r="351">
      <c r="D351" s="29"/>
      <c r="E351" s="29"/>
      <c r="F351" s="29"/>
      <c r="G351" s="29"/>
    </row>
    <row r="352">
      <c r="D352" s="29"/>
      <c r="E352" s="29"/>
      <c r="F352" s="29"/>
      <c r="G352" s="29"/>
    </row>
    <row r="353">
      <c r="D353" s="29"/>
      <c r="E353" s="29"/>
      <c r="F353" s="29"/>
      <c r="G353" s="29"/>
    </row>
    <row r="354">
      <c r="D354" s="29"/>
      <c r="E354" s="29"/>
      <c r="F354" s="29"/>
      <c r="G354" s="29"/>
    </row>
    <row r="355">
      <c r="D355" s="29"/>
      <c r="E355" s="29"/>
      <c r="F355" s="29"/>
      <c r="G355" s="29"/>
    </row>
    <row r="356">
      <c r="D356" s="29"/>
      <c r="E356" s="29"/>
      <c r="F356" s="29"/>
      <c r="G356" s="29"/>
    </row>
    <row r="357">
      <c r="D357" s="29"/>
      <c r="E357" s="29"/>
      <c r="F357" s="29"/>
      <c r="G357" s="29"/>
    </row>
    <row r="358">
      <c r="D358" s="29"/>
      <c r="E358" s="29"/>
      <c r="F358" s="29"/>
      <c r="G358" s="29"/>
    </row>
    <row r="359">
      <c r="D359" s="29"/>
      <c r="E359" s="29"/>
      <c r="F359" s="29"/>
      <c r="G359" s="29"/>
    </row>
    <row r="360">
      <c r="D360" s="29"/>
      <c r="E360" s="29"/>
      <c r="F360" s="29"/>
      <c r="G360" s="29"/>
    </row>
    <row r="361">
      <c r="D361" s="29"/>
      <c r="E361" s="29"/>
      <c r="F361" s="29"/>
      <c r="G361" s="29"/>
    </row>
    <row r="362">
      <c r="D362" s="29"/>
      <c r="E362" s="29"/>
      <c r="F362" s="29"/>
      <c r="G362" s="29"/>
    </row>
    <row r="363">
      <c r="D363" s="29"/>
      <c r="E363" s="29"/>
      <c r="F363" s="29"/>
      <c r="G363" s="29"/>
    </row>
    <row r="364">
      <c r="D364" s="29"/>
      <c r="E364" s="29"/>
      <c r="F364" s="29"/>
      <c r="G364" s="29"/>
    </row>
    <row r="365">
      <c r="D365" s="29"/>
      <c r="E365" s="29"/>
      <c r="F365" s="29"/>
      <c r="G365" s="29"/>
    </row>
    <row r="366">
      <c r="D366" s="29"/>
      <c r="E366" s="29"/>
      <c r="F366" s="29"/>
      <c r="G366" s="29"/>
    </row>
    <row r="367">
      <c r="D367" s="29"/>
      <c r="E367" s="29"/>
      <c r="F367" s="29"/>
      <c r="G367" s="29"/>
    </row>
    <row r="368">
      <c r="D368" s="29"/>
      <c r="E368" s="29"/>
      <c r="F368" s="29"/>
      <c r="G368" s="29"/>
    </row>
    <row r="369">
      <c r="D369" s="29"/>
      <c r="E369" s="29"/>
      <c r="F369" s="29"/>
      <c r="G369" s="29"/>
    </row>
    <row r="370">
      <c r="D370" s="29"/>
      <c r="E370" s="29"/>
      <c r="F370" s="29"/>
      <c r="G370" s="29"/>
    </row>
    <row r="371">
      <c r="D371" s="29"/>
      <c r="E371" s="29"/>
      <c r="F371" s="29"/>
      <c r="G371" s="29"/>
    </row>
    <row r="372">
      <c r="D372" s="29"/>
      <c r="E372" s="29"/>
      <c r="F372" s="29"/>
      <c r="G372" s="29"/>
    </row>
    <row r="373">
      <c r="D373" s="29"/>
      <c r="E373" s="29"/>
      <c r="F373" s="29"/>
      <c r="G373" s="29"/>
    </row>
    <row r="374">
      <c r="D374" s="29"/>
      <c r="E374" s="29"/>
      <c r="F374" s="29"/>
      <c r="G374" s="29"/>
    </row>
    <row r="375">
      <c r="D375" s="29"/>
      <c r="E375" s="29"/>
      <c r="F375" s="29"/>
      <c r="G375" s="29"/>
    </row>
    <row r="376">
      <c r="D376" s="29"/>
      <c r="E376" s="29"/>
      <c r="F376" s="29"/>
      <c r="G376" s="29"/>
    </row>
    <row r="377">
      <c r="D377" s="29"/>
      <c r="E377" s="29"/>
      <c r="F377" s="29"/>
      <c r="G377" s="29"/>
    </row>
    <row r="378">
      <c r="D378" s="29"/>
      <c r="E378" s="29"/>
      <c r="F378" s="29"/>
      <c r="G378" s="29"/>
    </row>
    <row r="379">
      <c r="D379" s="29"/>
      <c r="E379" s="29"/>
      <c r="F379" s="29"/>
      <c r="G379" s="29"/>
    </row>
    <row r="380">
      <c r="D380" s="29"/>
      <c r="E380" s="29"/>
      <c r="F380" s="29"/>
      <c r="G380" s="29"/>
    </row>
    <row r="381">
      <c r="D381" s="29"/>
      <c r="E381" s="29"/>
      <c r="F381" s="29"/>
      <c r="G381" s="29"/>
    </row>
    <row r="382">
      <c r="D382" s="29"/>
      <c r="E382" s="29"/>
      <c r="F382" s="29"/>
      <c r="G382" s="29"/>
    </row>
    <row r="383">
      <c r="D383" s="29"/>
      <c r="E383" s="29"/>
      <c r="F383" s="29"/>
      <c r="G383" s="29"/>
    </row>
    <row r="384">
      <c r="D384" s="29"/>
      <c r="E384" s="29"/>
      <c r="F384" s="29"/>
      <c r="G384" s="29"/>
    </row>
    <row r="385">
      <c r="D385" s="29"/>
      <c r="E385" s="29"/>
      <c r="F385" s="29"/>
      <c r="G385" s="29"/>
    </row>
    <row r="386">
      <c r="D386" s="29"/>
      <c r="E386" s="29"/>
      <c r="F386" s="29"/>
      <c r="G386" s="29"/>
    </row>
    <row r="387">
      <c r="D387" s="29"/>
      <c r="E387" s="29"/>
      <c r="F387" s="29"/>
      <c r="G387" s="29"/>
    </row>
    <row r="388">
      <c r="D388" s="29"/>
      <c r="E388" s="29"/>
      <c r="F388" s="29"/>
      <c r="G388" s="29"/>
    </row>
    <row r="389">
      <c r="D389" s="29"/>
      <c r="E389" s="29"/>
      <c r="F389" s="29"/>
      <c r="G389" s="29"/>
    </row>
    <row r="390">
      <c r="D390" s="29"/>
      <c r="E390" s="29"/>
      <c r="F390" s="29"/>
      <c r="G390" s="29"/>
    </row>
    <row r="391">
      <c r="D391" s="29"/>
      <c r="E391" s="29"/>
      <c r="F391" s="29"/>
      <c r="G391" s="29"/>
    </row>
    <row r="392">
      <c r="D392" s="29"/>
      <c r="E392" s="29"/>
      <c r="F392" s="29"/>
      <c r="G392" s="29"/>
    </row>
    <row r="393">
      <c r="D393" s="29"/>
      <c r="E393" s="29"/>
      <c r="F393" s="29"/>
      <c r="G393" s="29"/>
    </row>
    <row r="394">
      <c r="D394" s="29"/>
      <c r="E394" s="29"/>
      <c r="F394" s="29"/>
      <c r="G394" s="29"/>
    </row>
    <row r="395">
      <c r="D395" s="29"/>
      <c r="E395" s="29"/>
      <c r="F395" s="29"/>
      <c r="G395" s="29"/>
    </row>
    <row r="396">
      <c r="D396" s="29"/>
      <c r="E396" s="29"/>
      <c r="F396" s="29"/>
      <c r="G396" s="29"/>
    </row>
    <row r="397">
      <c r="D397" s="29"/>
      <c r="E397" s="29"/>
      <c r="F397" s="29"/>
      <c r="G397" s="29"/>
    </row>
    <row r="398">
      <c r="D398" s="29"/>
      <c r="E398" s="29"/>
      <c r="F398" s="29"/>
      <c r="G398" s="29"/>
    </row>
    <row r="399">
      <c r="D399" s="29"/>
      <c r="E399" s="29"/>
      <c r="F399" s="29"/>
      <c r="G399" s="29"/>
    </row>
    <row r="400">
      <c r="D400" s="29"/>
      <c r="E400" s="29"/>
      <c r="F400" s="29"/>
      <c r="G400" s="29"/>
    </row>
    <row r="401">
      <c r="D401" s="29"/>
      <c r="E401" s="29"/>
      <c r="F401" s="29"/>
      <c r="G401" s="29"/>
    </row>
    <row r="402">
      <c r="D402" s="29"/>
      <c r="E402" s="29"/>
      <c r="F402" s="29"/>
      <c r="G402" s="29"/>
    </row>
    <row r="403">
      <c r="D403" s="29"/>
      <c r="E403" s="29"/>
      <c r="F403" s="29"/>
      <c r="G403" s="29"/>
    </row>
    <row r="404">
      <c r="D404" s="29"/>
      <c r="E404" s="29"/>
      <c r="F404" s="29"/>
      <c r="G404" s="29"/>
    </row>
    <row r="405">
      <c r="D405" s="29"/>
      <c r="E405" s="29"/>
      <c r="F405" s="29"/>
      <c r="G405" s="29"/>
    </row>
    <row r="406">
      <c r="D406" s="29"/>
      <c r="E406" s="29"/>
      <c r="F406" s="29"/>
      <c r="G406" s="29"/>
    </row>
    <row r="407">
      <c r="D407" s="29"/>
      <c r="E407" s="29"/>
      <c r="F407" s="29"/>
      <c r="G407" s="29"/>
    </row>
    <row r="408">
      <c r="D408" s="29"/>
      <c r="E408" s="29"/>
      <c r="F408" s="29"/>
      <c r="G408" s="29"/>
    </row>
    <row r="409">
      <c r="D409" s="29"/>
      <c r="E409" s="29"/>
      <c r="F409" s="29"/>
      <c r="G409" s="29"/>
    </row>
    <row r="410">
      <c r="D410" s="29"/>
      <c r="E410" s="29"/>
      <c r="F410" s="29"/>
      <c r="G410" s="29"/>
    </row>
    <row r="411">
      <c r="D411" s="29"/>
      <c r="E411" s="29"/>
      <c r="F411" s="29"/>
      <c r="G411" s="29"/>
    </row>
    <row r="412">
      <c r="D412" s="29"/>
      <c r="E412" s="29"/>
      <c r="F412" s="29"/>
      <c r="G412" s="29"/>
    </row>
    <row r="413">
      <c r="D413" s="29"/>
      <c r="E413" s="29"/>
      <c r="F413" s="29"/>
      <c r="G413" s="29"/>
    </row>
    <row r="414">
      <c r="D414" s="29"/>
      <c r="E414" s="29"/>
      <c r="F414" s="29"/>
      <c r="G414" s="29"/>
    </row>
    <row r="415">
      <c r="D415" s="29"/>
      <c r="E415" s="29"/>
      <c r="F415" s="29"/>
      <c r="G415" s="29"/>
    </row>
    <row r="416">
      <c r="D416" s="29"/>
      <c r="E416" s="29"/>
      <c r="F416" s="29"/>
      <c r="G416" s="29"/>
    </row>
    <row r="417">
      <c r="D417" s="29"/>
      <c r="E417" s="29"/>
      <c r="F417" s="29"/>
      <c r="G417" s="29"/>
    </row>
    <row r="418">
      <c r="D418" s="29"/>
      <c r="E418" s="29"/>
      <c r="F418" s="29"/>
      <c r="G418" s="29"/>
    </row>
    <row r="419">
      <c r="D419" s="29"/>
      <c r="E419" s="29"/>
      <c r="F419" s="29"/>
      <c r="G419" s="29"/>
    </row>
    <row r="420">
      <c r="D420" s="29"/>
      <c r="E420" s="29"/>
      <c r="F420" s="29"/>
      <c r="G420" s="29"/>
    </row>
    <row r="421">
      <c r="D421" s="29"/>
      <c r="E421" s="29"/>
      <c r="F421" s="29"/>
      <c r="G421" s="29"/>
    </row>
    <row r="422">
      <c r="D422" s="29"/>
      <c r="E422" s="29"/>
      <c r="F422" s="29"/>
      <c r="G422" s="29"/>
    </row>
    <row r="423">
      <c r="D423" s="29"/>
      <c r="E423" s="29"/>
      <c r="F423" s="29"/>
      <c r="G423" s="29"/>
    </row>
    <row r="424">
      <c r="D424" s="29"/>
      <c r="E424" s="29"/>
      <c r="F424" s="29"/>
      <c r="G424" s="29"/>
    </row>
    <row r="425">
      <c r="D425" s="29"/>
      <c r="E425" s="29"/>
      <c r="F425" s="29"/>
      <c r="G425" s="29"/>
    </row>
    <row r="426">
      <c r="D426" s="29"/>
      <c r="E426" s="29"/>
      <c r="F426" s="29"/>
      <c r="G426" s="29"/>
    </row>
    <row r="427">
      <c r="D427" s="29"/>
      <c r="E427" s="29"/>
      <c r="F427" s="29"/>
      <c r="G427" s="29"/>
    </row>
    <row r="428">
      <c r="D428" s="29"/>
      <c r="E428" s="29"/>
      <c r="F428" s="29"/>
      <c r="G428" s="29"/>
    </row>
    <row r="429">
      <c r="D429" s="29"/>
      <c r="E429" s="29"/>
      <c r="F429" s="29"/>
      <c r="G429" s="29"/>
    </row>
    <row r="430">
      <c r="D430" s="29"/>
      <c r="E430" s="29"/>
      <c r="F430" s="29"/>
      <c r="G430" s="29"/>
    </row>
    <row r="431">
      <c r="D431" s="29"/>
      <c r="E431" s="29"/>
      <c r="F431" s="29"/>
      <c r="G431" s="29"/>
    </row>
    <row r="432">
      <c r="D432" s="29"/>
      <c r="E432" s="29"/>
      <c r="F432" s="29"/>
      <c r="G432" s="29"/>
    </row>
    <row r="433">
      <c r="D433" s="29"/>
      <c r="E433" s="29"/>
      <c r="F433" s="29"/>
      <c r="G433" s="29"/>
    </row>
    <row r="434">
      <c r="D434" s="29"/>
      <c r="E434" s="29"/>
      <c r="F434" s="29"/>
      <c r="G434" s="29"/>
    </row>
    <row r="435">
      <c r="D435" s="29"/>
      <c r="E435" s="29"/>
      <c r="F435" s="29"/>
      <c r="G435" s="29"/>
    </row>
    <row r="436">
      <c r="D436" s="29"/>
      <c r="E436" s="29"/>
      <c r="F436" s="29"/>
      <c r="G436" s="29"/>
    </row>
    <row r="437">
      <c r="D437" s="29"/>
      <c r="E437" s="29"/>
      <c r="F437" s="29"/>
      <c r="G437" s="29"/>
    </row>
    <row r="438">
      <c r="D438" s="29"/>
      <c r="E438" s="29"/>
      <c r="F438" s="29"/>
      <c r="G438" s="29"/>
    </row>
    <row r="439">
      <c r="D439" s="29"/>
      <c r="E439" s="29"/>
      <c r="F439" s="29"/>
      <c r="G439" s="29"/>
    </row>
    <row r="440">
      <c r="D440" s="29"/>
      <c r="E440" s="29"/>
      <c r="F440" s="29"/>
      <c r="G440" s="29"/>
    </row>
    <row r="441">
      <c r="D441" s="29"/>
      <c r="E441" s="29"/>
      <c r="F441" s="29"/>
      <c r="G441" s="29"/>
    </row>
    <row r="442">
      <c r="D442" s="29"/>
      <c r="E442" s="29"/>
      <c r="F442" s="29"/>
      <c r="G442" s="29"/>
    </row>
    <row r="443">
      <c r="D443" s="29"/>
      <c r="E443" s="29"/>
      <c r="F443" s="29"/>
      <c r="G443" s="29"/>
    </row>
    <row r="444">
      <c r="D444" s="29"/>
      <c r="E444" s="29"/>
      <c r="F444" s="29"/>
      <c r="G444" s="29"/>
    </row>
    <row r="445">
      <c r="D445" s="29"/>
      <c r="E445" s="29"/>
      <c r="F445" s="29"/>
      <c r="G445" s="29"/>
    </row>
    <row r="446">
      <c r="D446" s="29"/>
      <c r="E446" s="29"/>
      <c r="F446" s="29"/>
      <c r="G446" s="29"/>
    </row>
    <row r="447">
      <c r="D447" s="29"/>
      <c r="E447" s="29"/>
      <c r="F447" s="29"/>
      <c r="G447" s="29"/>
    </row>
    <row r="448">
      <c r="D448" s="29"/>
      <c r="E448" s="29"/>
      <c r="F448" s="29"/>
      <c r="G448" s="29"/>
    </row>
    <row r="449">
      <c r="D449" s="29"/>
      <c r="E449" s="29"/>
      <c r="F449" s="29"/>
      <c r="G449" s="29"/>
    </row>
    <row r="450">
      <c r="D450" s="29"/>
      <c r="E450" s="29"/>
      <c r="F450" s="29"/>
      <c r="G450" s="29"/>
    </row>
    <row r="451">
      <c r="D451" s="29"/>
      <c r="E451" s="29"/>
      <c r="F451" s="29"/>
      <c r="G451" s="29"/>
    </row>
    <row r="452">
      <c r="D452" s="29"/>
      <c r="E452" s="29"/>
      <c r="F452" s="29"/>
      <c r="G452" s="29"/>
    </row>
    <row r="453">
      <c r="D453" s="29"/>
      <c r="E453" s="29"/>
      <c r="F453" s="29"/>
      <c r="G453" s="29"/>
    </row>
    <row r="454">
      <c r="D454" s="29"/>
      <c r="E454" s="29"/>
      <c r="F454" s="29"/>
      <c r="G454" s="29"/>
    </row>
    <row r="455">
      <c r="D455" s="29"/>
      <c r="E455" s="29"/>
      <c r="F455" s="29"/>
      <c r="G455" s="29"/>
    </row>
    <row r="456">
      <c r="D456" s="29"/>
      <c r="E456" s="29"/>
      <c r="F456" s="29"/>
      <c r="G456" s="29"/>
    </row>
    <row r="457">
      <c r="D457" s="29"/>
      <c r="E457" s="29"/>
      <c r="F457" s="29"/>
      <c r="G457" s="29"/>
    </row>
    <row r="458">
      <c r="D458" s="29"/>
      <c r="E458" s="29"/>
      <c r="F458" s="29"/>
      <c r="G458" s="29"/>
    </row>
    <row r="459">
      <c r="D459" s="29"/>
      <c r="E459" s="29"/>
      <c r="F459" s="29"/>
      <c r="G459" s="29"/>
    </row>
    <row r="460">
      <c r="D460" s="29"/>
      <c r="E460" s="29"/>
      <c r="F460" s="29"/>
      <c r="G460" s="29"/>
    </row>
    <row r="461">
      <c r="D461" s="29"/>
      <c r="E461" s="29"/>
      <c r="F461" s="29"/>
      <c r="G461" s="29"/>
    </row>
    <row r="462">
      <c r="D462" s="29"/>
      <c r="E462" s="29"/>
      <c r="F462" s="29"/>
      <c r="G462" s="29"/>
    </row>
    <row r="463">
      <c r="D463" s="29"/>
      <c r="E463" s="29"/>
      <c r="F463" s="29"/>
      <c r="G463" s="29"/>
    </row>
    <row r="464">
      <c r="D464" s="29"/>
      <c r="E464" s="29"/>
      <c r="F464" s="29"/>
      <c r="G464" s="29"/>
    </row>
    <row r="465">
      <c r="D465" s="29"/>
      <c r="E465" s="29"/>
      <c r="F465" s="29"/>
      <c r="G465" s="29"/>
    </row>
    <row r="466">
      <c r="D466" s="29"/>
      <c r="E466" s="29"/>
      <c r="F466" s="29"/>
      <c r="G466" s="29"/>
    </row>
    <row r="467">
      <c r="D467" s="29"/>
      <c r="E467" s="29"/>
      <c r="F467" s="29"/>
      <c r="G467" s="29"/>
    </row>
    <row r="468">
      <c r="D468" s="29"/>
      <c r="E468" s="29"/>
      <c r="F468" s="29"/>
      <c r="G468" s="29"/>
    </row>
    <row r="469">
      <c r="D469" s="29"/>
      <c r="E469" s="29"/>
      <c r="F469" s="29"/>
      <c r="G469" s="29"/>
    </row>
    <row r="470">
      <c r="D470" s="29"/>
      <c r="E470" s="29"/>
      <c r="F470" s="29"/>
      <c r="G470" s="29"/>
    </row>
    <row r="471">
      <c r="D471" s="29"/>
      <c r="E471" s="29"/>
      <c r="F471" s="29"/>
      <c r="G471" s="29"/>
    </row>
    <row r="472">
      <c r="D472" s="29"/>
      <c r="E472" s="29"/>
      <c r="F472" s="29"/>
      <c r="G472" s="29"/>
    </row>
    <row r="473">
      <c r="D473" s="29"/>
      <c r="E473" s="29"/>
      <c r="F473" s="29"/>
      <c r="G473" s="29"/>
    </row>
    <row r="474">
      <c r="D474" s="29"/>
      <c r="E474" s="29"/>
      <c r="F474" s="29"/>
      <c r="G474" s="29"/>
    </row>
    <row r="475">
      <c r="D475" s="29"/>
      <c r="E475" s="29"/>
      <c r="F475" s="29"/>
      <c r="G475" s="29"/>
    </row>
    <row r="476">
      <c r="D476" s="29"/>
      <c r="E476" s="29"/>
      <c r="F476" s="29"/>
      <c r="G476" s="29"/>
    </row>
    <row r="477">
      <c r="D477" s="29"/>
      <c r="E477" s="29"/>
      <c r="F477" s="29"/>
      <c r="G477" s="29"/>
    </row>
    <row r="478">
      <c r="D478" s="29"/>
      <c r="E478" s="29"/>
      <c r="F478" s="29"/>
      <c r="G478" s="29"/>
    </row>
    <row r="479">
      <c r="D479" s="29"/>
      <c r="E479" s="29"/>
      <c r="F479" s="29"/>
      <c r="G479" s="29"/>
    </row>
    <row r="480">
      <c r="D480" s="29"/>
      <c r="E480" s="29"/>
      <c r="F480" s="29"/>
      <c r="G480" s="29"/>
    </row>
    <row r="481">
      <c r="D481" s="29"/>
      <c r="E481" s="29"/>
      <c r="F481" s="29"/>
      <c r="G481" s="29"/>
    </row>
    <row r="482">
      <c r="D482" s="29"/>
      <c r="E482" s="29"/>
      <c r="F482" s="29"/>
      <c r="G482" s="29"/>
    </row>
    <row r="483">
      <c r="D483" s="29"/>
      <c r="E483" s="29"/>
      <c r="F483" s="29"/>
      <c r="G483" s="29"/>
    </row>
    <row r="484">
      <c r="D484" s="29"/>
      <c r="E484" s="29"/>
      <c r="F484" s="29"/>
      <c r="G484" s="29"/>
    </row>
    <row r="485">
      <c r="D485" s="29"/>
      <c r="E485" s="29"/>
      <c r="F485" s="29"/>
      <c r="G485" s="29"/>
    </row>
    <row r="486">
      <c r="D486" s="29"/>
      <c r="E486" s="29"/>
      <c r="F486" s="29"/>
      <c r="G486" s="29"/>
    </row>
    <row r="487">
      <c r="D487" s="29"/>
      <c r="E487" s="29"/>
      <c r="F487" s="29"/>
      <c r="G487" s="29"/>
    </row>
    <row r="488">
      <c r="D488" s="29"/>
      <c r="E488" s="29"/>
      <c r="F488" s="29"/>
      <c r="G488" s="29"/>
    </row>
    <row r="489">
      <c r="D489" s="29"/>
      <c r="E489" s="29"/>
      <c r="F489" s="29"/>
      <c r="G489" s="29"/>
    </row>
    <row r="490">
      <c r="D490" s="29"/>
      <c r="E490" s="29"/>
      <c r="F490" s="29"/>
      <c r="G490" s="29"/>
    </row>
    <row r="491">
      <c r="D491" s="29"/>
      <c r="E491" s="29"/>
      <c r="F491" s="29"/>
      <c r="G491" s="29"/>
    </row>
    <row r="492">
      <c r="D492" s="29"/>
      <c r="E492" s="29"/>
      <c r="F492" s="29"/>
      <c r="G492" s="29"/>
    </row>
    <row r="493">
      <c r="D493" s="29"/>
      <c r="E493" s="29"/>
      <c r="F493" s="29"/>
      <c r="G493" s="29"/>
    </row>
    <row r="494">
      <c r="D494" s="29"/>
      <c r="E494" s="29"/>
      <c r="F494" s="29"/>
      <c r="G494" s="29"/>
    </row>
    <row r="495">
      <c r="D495" s="29"/>
      <c r="E495" s="29"/>
      <c r="F495" s="29"/>
      <c r="G495" s="29"/>
    </row>
    <row r="496">
      <c r="D496" s="29"/>
      <c r="E496" s="29"/>
      <c r="F496" s="29"/>
      <c r="G496" s="29"/>
    </row>
    <row r="497">
      <c r="D497" s="29"/>
      <c r="E497" s="29"/>
      <c r="F497" s="29"/>
      <c r="G497" s="29"/>
    </row>
    <row r="498">
      <c r="D498" s="29"/>
      <c r="E498" s="29"/>
      <c r="F498" s="29"/>
      <c r="G498" s="29"/>
    </row>
    <row r="499">
      <c r="D499" s="29"/>
      <c r="E499" s="29"/>
      <c r="F499" s="29"/>
      <c r="G499" s="29"/>
    </row>
    <row r="500">
      <c r="D500" s="29"/>
      <c r="E500" s="29"/>
      <c r="F500" s="29"/>
      <c r="G500" s="29"/>
    </row>
    <row r="501">
      <c r="D501" s="29"/>
      <c r="E501" s="29"/>
      <c r="F501" s="29"/>
      <c r="G501" s="29"/>
    </row>
    <row r="502">
      <c r="D502" s="29"/>
      <c r="E502" s="29"/>
      <c r="F502" s="29"/>
      <c r="G502" s="29"/>
    </row>
    <row r="503">
      <c r="D503" s="29"/>
      <c r="E503" s="29"/>
      <c r="F503" s="29"/>
      <c r="G503" s="29"/>
    </row>
    <row r="504">
      <c r="D504" s="29"/>
      <c r="E504" s="29"/>
      <c r="F504" s="29"/>
      <c r="G504" s="29"/>
    </row>
    <row r="505">
      <c r="D505" s="29"/>
      <c r="E505" s="29"/>
      <c r="F505" s="29"/>
      <c r="G505" s="29"/>
    </row>
    <row r="506">
      <c r="D506" s="29"/>
      <c r="E506" s="29"/>
      <c r="F506" s="29"/>
      <c r="G506" s="29"/>
    </row>
    <row r="507">
      <c r="D507" s="29"/>
      <c r="E507" s="29"/>
      <c r="F507" s="29"/>
      <c r="G507" s="29"/>
    </row>
    <row r="508">
      <c r="D508" s="29"/>
      <c r="E508" s="29"/>
      <c r="F508" s="29"/>
      <c r="G508" s="29"/>
    </row>
    <row r="509">
      <c r="D509" s="29"/>
      <c r="E509" s="29"/>
      <c r="F509" s="29"/>
      <c r="G509" s="29"/>
    </row>
    <row r="510">
      <c r="D510" s="29"/>
      <c r="E510" s="29"/>
      <c r="F510" s="29"/>
      <c r="G510" s="29"/>
    </row>
    <row r="511">
      <c r="D511" s="29"/>
      <c r="E511" s="29"/>
      <c r="F511" s="29"/>
      <c r="G511" s="29"/>
    </row>
    <row r="512">
      <c r="D512" s="29"/>
      <c r="E512" s="29"/>
      <c r="F512" s="29"/>
      <c r="G512" s="29"/>
    </row>
    <row r="513">
      <c r="D513" s="29"/>
      <c r="E513" s="29"/>
      <c r="F513" s="29"/>
      <c r="G513" s="29"/>
    </row>
    <row r="514">
      <c r="D514" s="29"/>
      <c r="E514" s="29"/>
      <c r="F514" s="29"/>
      <c r="G514" s="29"/>
    </row>
    <row r="515">
      <c r="D515" s="29"/>
      <c r="E515" s="29"/>
      <c r="F515" s="29"/>
      <c r="G515" s="29"/>
    </row>
    <row r="516">
      <c r="D516" s="29"/>
      <c r="E516" s="29"/>
      <c r="F516" s="29"/>
      <c r="G516" s="29"/>
    </row>
    <row r="517">
      <c r="D517" s="29"/>
      <c r="E517" s="29"/>
      <c r="F517" s="29"/>
      <c r="G517" s="29"/>
    </row>
    <row r="518">
      <c r="D518" s="29"/>
      <c r="E518" s="29"/>
      <c r="F518" s="29"/>
      <c r="G518" s="29"/>
    </row>
    <row r="519">
      <c r="D519" s="29"/>
      <c r="E519" s="29"/>
      <c r="F519" s="29"/>
      <c r="G519" s="29"/>
    </row>
    <row r="520">
      <c r="D520" s="29"/>
      <c r="E520" s="29"/>
      <c r="F520" s="29"/>
      <c r="G520" s="29"/>
    </row>
    <row r="521">
      <c r="D521" s="29"/>
      <c r="E521" s="29"/>
      <c r="F521" s="29"/>
      <c r="G521" s="29"/>
    </row>
    <row r="522">
      <c r="D522" s="29"/>
      <c r="E522" s="29"/>
      <c r="F522" s="29"/>
      <c r="G522" s="29"/>
    </row>
    <row r="523">
      <c r="D523" s="29"/>
      <c r="E523" s="29"/>
      <c r="F523" s="29"/>
      <c r="G523" s="29"/>
    </row>
    <row r="524">
      <c r="D524" s="29"/>
      <c r="E524" s="29"/>
      <c r="F524" s="29"/>
      <c r="G524" s="29"/>
    </row>
    <row r="525">
      <c r="D525" s="29"/>
      <c r="E525" s="29"/>
      <c r="F525" s="29"/>
      <c r="G525" s="29"/>
    </row>
    <row r="526">
      <c r="D526" s="29"/>
      <c r="E526" s="29"/>
      <c r="F526" s="29"/>
      <c r="G526" s="29"/>
    </row>
    <row r="527">
      <c r="D527" s="29"/>
      <c r="E527" s="29"/>
      <c r="F527" s="29"/>
      <c r="G527" s="29"/>
    </row>
    <row r="528">
      <c r="D528" s="29"/>
      <c r="E528" s="29"/>
      <c r="F528" s="29"/>
      <c r="G528" s="29"/>
    </row>
    <row r="529">
      <c r="D529" s="29"/>
      <c r="E529" s="29"/>
      <c r="F529" s="29"/>
      <c r="G529" s="29"/>
    </row>
    <row r="530">
      <c r="D530" s="29"/>
      <c r="E530" s="29"/>
      <c r="F530" s="29"/>
      <c r="G530" s="29"/>
    </row>
    <row r="531">
      <c r="D531" s="29"/>
      <c r="E531" s="29"/>
      <c r="F531" s="29"/>
      <c r="G531" s="29"/>
    </row>
    <row r="532">
      <c r="D532" s="29"/>
      <c r="E532" s="29"/>
      <c r="F532" s="29"/>
      <c r="G532" s="29"/>
    </row>
    <row r="533">
      <c r="D533" s="29"/>
      <c r="E533" s="29"/>
      <c r="F533" s="29"/>
      <c r="G533" s="29"/>
    </row>
    <row r="534">
      <c r="D534" s="29"/>
      <c r="E534" s="29"/>
      <c r="F534" s="29"/>
      <c r="G534" s="29"/>
    </row>
    <row r="535">
      <c r="D535" s="29"/>
      <c r="E535" s="29"/>
      <c r="F535" s="29"/>
      <c r="G535" s="29"/>
    </row>
    <row r="536">
      <c r="D536" s="29"/>
      <c r="E536" s="29"/>
      <c r="F536" s="29"/>
      <c r="G536" s="29"/>
    </row>
    <row r="537">
      <c r="D537" s="29"/>
      <c r="E537" s="29"/>
      <c r="F537" s="29"/>
      <c r="G537" s="29"/>
    </row>
    <row r="538">
      <c r="D538" s="29"/>
      <c r="E538" s="29"/>
      <c r="F538" s="29"/>
      <c r="G538" s="29"/>
    </row>
    <row r="539">
      <c r="D539" s="29"/>
      <c r="E539" s="29"/>
      <c r="F539" s="29"/>
      <c r="G539" s="29"/>
    </row>
    <row r="540">
      <c r="D540" s="29"/>
      <c r="E540" s="29"/>
      <c r="F540" s="29"/>
      <c r="G540" s="29"/>
    </row>
    <row r="541">
      <c r="D541" s="29"/>
      <c r="E541" s="29"/>
      <c r="F541" s="29"/>
      <c r="G541" s="29"/>
    </row>
    <row r="542">
      <c r="D542" s="29"/>
      <c r="E542" s="29"/>
      <c r="F542" s="29"/>
      <c r="G542" s="29"/>
    </row>
    <row r="543">
      <c r="D543" s="29"/>
      <c r="E543" s="29"/>
      <c r="F543" s="29"/>
      <c r="G543" s="29"/>
    </row>
    <row r="544">
      <c r="D544" s="29"/>
      <c r="E544" s="29"/>
      <c r="F544" s="29"/>
      <c r="G544" s="29"/>
    </row>
    <row r="545">
      <c r="D545" s="29"/>
      <c r="E545" s="29"/>
      <c r="F545" s="29"/>
      <c r="G545" s="29"/>
    </row>
    <row r="546">
      <c r="D546" s="29"/>
      <c r="E546" s="29"/>
      <c r="F546" s="29"/>
      <c r="G546" s="29"/>
    </row>
    <row r="547">
      <c r="D547" s="29"/>
      <c r="E547" s="29"/>
      <c r="F547" s="29"/>
      <c r="G547" s="29"/>
    </row>
    <row r="548">
      <c r="D548" s="29"/>
      <c r="E548" s="29"/>
      <c r="F548" s="29"/>
      <c r="G548" s="29"/>
    </row>
    <row r="549">
      <c r="D549" s="29"/>
      <c r="E549" s="29"/>
      <c r="F549" s="29"/>
      <c r="G549" s="29"/>
    </row>
    <row r="550">
      <c r="D550" s="29"/>
      <c r="E550" s="29"/>
      <c r="F550" s="29"/>
      <c r="G550" s="29"/>
    </row>
    <row r="551">
      <c r="D551" s="29"/>
      <c r="E551" s="29"/>
      <c r="F551" s="29"/>
      <c r="G551" s="29"/>
    </row>
    <row r="552">
      <c r="D552" s="29"/>
      <c r="E552" s="29"/>
      <c r="F552" s="29"/>
      <c r="G552" s="29"/>
    </row>
    <row r="553">
      <c r="D553" s="29"/>
      <c r="E553" s="29"/>
      <c r="F553" s="29"/>
      <c r="G553" s="29"/>
    </row>
    <row r="554">
      <c r="D554" s="29"/>
      <c r="E554" s="29"/>
      <c r="F554" s="29"/>
      <c r="G554" s="29"/>
    </row>
    <row r="555">
      <c r="D555" s="29"/>
      <c r="E555" s="29"/>
      <c r="F555" s="29"/>
      <c r="G555" s="29"/>
    </row>
    <row r="556">
      <c r="D556" s="29"/>
      <c r="E556" s="29"/>
      <c r="F556" s="29"/>
      <c r="G556" s="29"/>
    </row>
    <row r="557">
      <c r="D557" s="29"/>
      <c r="E557" s="29"/>
      <c r="F557" s="29"/>
      <c r="G557" s="29"/>
    </row>
    <row r="558">
      <c r="D558" s="29"/>
      <c r="E558" s="29"/>
      <c r="F558" s="29"/>
      <c r="G558" s="29"/>
    </row>
    <row r="559">
      <c r="D559" s="29"/>
      <c r="E559" s="29"/>
      <c r="F559" s="29"/>
      <c r="G559" s="29"/>
    </row>
    <row r="560">
      <c r="D560" s="29"/>
      <c r="E560" s="29"/>
      <c r="F560" s="29"/>
      <c r="G560" s="29"/>
    </row>
    <row r="561">
      <c r="D561" s="29"/>
      <c r="E561" s="29"/>
      <c r="F561" s="29"/>
      <c r="G561" s="29"/>
    </row>
    <row r="562">
      <c r="D562" s="29"/>
      <c r="E562" s="29"/>
      <c r="F562" s="29"/>
      <c r="G562" s="29"/>
    </row>
    <row r="563">
      <c r="D563" s="29"/>
      <c r="E563" s="29"/>
      <c r="F563" s="29"/>
      <c r="G563" s="29"/>
    </row>
    <row r="564">
      <c r="D564" s="29"/>
      <c r="E564" s="29"/>
      <c r="F564" s="29"/>
      <c r="G564" s="29"/>
    </row>
    <row r="565">
      <c r="D565" s="29"/>
      <c r="E565" s="29"/>
      <c r="F565" s="29"/>
      <c r="G565" s="29"/>
    </row>
    <row r="566">
      <c r="D566" s="29"/>
      <c r="E566" s="29"/>
      <c r="F566" s="29"/>
      <c r="G566" s="29"/>
    </row>
    <row r="567">
      <c r="D567" s="29"/>
      <c r="E567" s="29"/>
      <c r="F567" s="29"/>
      <c r="G567" s="29"/>
    </row>
    <row r="568">
      <c r="D568" s="29"/>
      <c r="E568" s="29"/>
      <c r="F568" s="29"/>
      <c r="G568" s="29"/>
    </row>
    <row r="569">
      <c r="D569" s="29"/>
      <c r="E569" s="29"/>
      <c r="F569" s="29"/>
      <c r="G569" s="29"/>
    </row>
    <row r="570">
      <c r="D570" s="29"/>
      <c r="E570" s="29"/>
      <c r="F570" s="29"/>
      <c r="G570" s="29"/>
    </row>
    <row r="571">
      <c r="D571" s="29"/>
      <c r="E571" s="29"/>
      <c r="F571" s="29"/>
      <c r="G571" s="29"/>
    </row>
    <row r="572">
      <c r="D572" s="29"/>
      <c r="E572" s="29"/>
      <c r="F572" s="29"/>
      <c r="G572" s="29"/>
    </row>
    <row r="573">
      <c r="D573" s="29"/>
      <c r="E573" s="29"/>
      <c r="F573" s="29"/>
      <c r="G573" s="29"/>
    </row>
    <row r="574">
      <c r="D574" s="29"/>
      <c r="E574" s="29"/>
      <c r="F574" s="29"/>
      <c r="G574" s="29"/>
    </row>
    <row r="575">
      <c r="D575" s="29"/>
      <c r="E575" s="29"/>
      <c r="F575" s="29"/>
      <c r="G575" s="29"/>
    </row>
    <row r="576">
      <c r="D576" s="29"/>
      <c r="E576" s="29"/>
      <c r="F576" s="29"/>
      <c r="G576" s="29"/>
    </row>
    <row r="577">
      <c r="D577" s="29"/>
      <c r="E577" s="29"/>
      <c r="F577" s="29"/>
      <c r="G577" s="29"/>
    </row>
    <row r="578">
      <c r="D578" s="29"/>
      <c r="E578" s="29"/>
      <c r="F578" s="29"/>
      <c r="G578" s="29"/>
    </row>
    <row r="579">
      <c r="D579" s="29"/>
      <c r="E579" s="29"/>
      <c r="F579" s="29"/>
      <c r="G579" s="29"/>
    </row>
    <row r="580">
      <c r="D580" s="29"/>
      <c r="E580" s="29"/>
      <c r="F580" s="29"/>
      <c r="G580" s="29"/>
    </row>
    <row r="581">
      <c r="D581" s="29"/>
      <c r="E581" s="29"/>
      <c r="F581" s="29"/>
      <c r="G581" s="29"/>
    </row>
    <row r="582">
      <c r="D582" s="29"/>
      <c r="E582" s="29"/>
      <c r="F582" s="29"/>
      <c r="G582" s="29"/>
    </row>
    <row r="583">
      <c r="D583" s="29"/>
      <c r="E583" s="29"/>
      <c r="F583" s="29"/>
      <c r="G583" s="29"/>
    </row>
    <row r="584">
      <c r="D584" s="29"/>
      <c r="E584" s="29"/>
      <c r="F584" s="29"/>
      <c r="G584" s="29"/>
    </row>
    <row r="585">
      <c r="D585" s="29"/>
      <c r="E585" s="29"/>
      <c r="F585" s="29"/>
      <c r="G585" s="29"/>
    </row>
    <row r="586">
      <c r="D586" s="29"/>
      <c r="E586" s="29"/>
      <c r="F586" s="29"/>
      <c r="G586" s="29"/>
    </row>
    <row r="587">
      <c r="D587" s="29"/>
      <c r="E587" s="29"/>
      <c r="F587" s="29"/>
      <c r="G587" s="29"/>
    </row>
    <row r="588">
      <c r="D588" s="29"/>
      <c r="E588" s="29"/>
      <c r="F588" s="29"/>
      <c r="G588" s="29"/>
    </row>
    <row r="589">
      <c r="D589" s="29"/>
      <c r="E589" s="29"/>
      <c r="F589" s="29"/>
      <c r="G589" s="29"/>
    </row>
    <row r="590">
      <c r="D590" s="29"/>
      <c r="E590" s="29"/>
      <c r="F590" s="29"/>
      <c r="G590" s="29"/>
    </row>
    <row r="591">
      <c r="D591" s="29"/>
      <c r="E591" s="29"/>
      <c r="F591" s="29"/>
      <c r="G591" s="29"/>
    </row>
    <row r="592">
      <c r="D592" s="29"/>
      <c r="E592" s="29"/>
      <c r="F592" s="29"/>
      <c r="G592" s="29"/>
    </row>
    <row r="593">
      <c r="D593" s="29"/>
      <c r="E593" s="29"/>
      <c r="F593" s="29"/>
      <c r="G593" s="29"/>
    </row>
    <row r="594">
      <c r="D594" s="29"/>
      <c r="E594" s="29"/>
      <c r="F594" s="29"/>
      <c r="G594" s="29"/>
    </row>
    <row r="595">
      <c r="D595" s="29"/>
      <c r="E595" s="29"/>
      <c r="F595" s="29"/>
      <c r="G595" s="29"/>
    </row>
    <row r="596">
      <c r="D596" s="29"/>
      <c r="E596" s="29"/>
      <c r="F596" s="29"/>
      <c r="G596" s="29"/>
    </row>
    <row r="597">
      <c r="D597" s="29"/>
      <c r="E597" s="29"/>
      <c r="F597" s="29"/>
      <c r="G597" s="29"/>
    </row>
    <row r="598">
      <c r="D598" s="29"/>
      <c r="E598" s="29"/>
      <c r="F598" s="29"/>
      <c r="G598" s="29"/>
    </row>
    <row r="599">
      <c r="D599" s="29"/>
      <c r="E599" s="29"/>
      <c r="F599" s="29"/>
      <c r="G599" s="29"/>
    </row>
    <row r="600">
      <c r="D600" s="29"/>
      <c r="E600" s="29"/>
      <c r="F600" s="29"/>
      <c r="G600" s="29"/>
    </row>
    <row r="601">
      <c r="D601" s="29"/>
      <c r="E601" s="29"/>
      <c r="F601" s="29"/>
      <c r="G601" s="29"/>
    </row>
    <row r="602">
      <c r="D602" s="29"/>
      <c r="E602" s="29"/>
      <c r="F602" s="29"/>
      <c r="G602" s="29"/>
    </row>
    <row r="603">
      <c r="D603" s="29"/>
      <c r="E603" s="29"/>
      <c r="F603" s="29"/>
      <c r="G603" s="29"/>
    </row>
    <row r="604">
      <c r="D604" s="29"/>
      <c r="E604" s="29"/>
      <c r="F604" s="29"/>
      <c r="G604" s="29"/>
    </row>
    <row r="605">
      <c r="D605" s="29"/>
      <c r="E605" s="29"/>
      <c r="F605" s="29"/>
      <c r="G605" s="29"/>
    </row>
    <row r="606">
      <c r="D606" s="29"/>
      <c r="E606" s="29"/>
      <c r="F606" s="29"/>
      <c r="G606" s="29"/>
    </row>
    <row r="607">
      <c r="D607" s="29"/>
      <c r="E607" s="29"/>
      <c r="F607" s="29"/>
      <c r="G607" s="29"/>
    </row>
    <row r="608">
      <c r="D608" s="29"/>
      <c r="E608" s="29"/>
      <c r="F608" s="29"/>
      <c r="G608" s="29"/>
    </row>
    <row r="609">
      <c r="D609" s="29"/>
      <c r="E609" s="29"/>
      <c r="F609" s="29"/>
      <c r="G609" s="29"/>
    </row>
    <row r="610">
      <c r="D610" s="29"/>
      <c r="E610" s="29"/>
      <c r="F610" s="29"/>
      <c r="G610" s="29"/>
    </row>
    <row r="611">
      <c r="D611" s="29"/>
      <c r="E611" s="29"/>
      <c r="F611" s="29"/>
      <c r="G611" s="29"/>
    </row>
    <row r="612">
      <c r="D612" s="29"/>
      <c r="E612" s="29"/>
      <c r="F612" s="29"/>
      <c r="G612" s="29"/>
    </row>
    <row r="613">
      <c r="D613" s="29"/>
      <c r="E613" s="29"/>
      <c r="F613" s="29"/>
      <c r="G613" s="29"/>
    </row>
    <row r="614">
      <c r="D614" s="29"/>
      <c r="E614" s="29"/>
      <c r="F614" s="29"/>
      <c r="G614" s="29"/>
    </row>
    <row r="615">
      <c r="D615" s="29"/>
      <c r="E615" s="29"/>
      <c r="F615" s="29"/>
      <c r="G615" s="29"/>
    </row>
    <row r="616">
      <c r="D616" s="29"/>
      <c r="E616" s="29"/>
      <c r="F616" s="29"/>
      <c r="G616" s="29"/>
    </row>
    <row r="617">
      <c r="D617" s="29"/>
      <c r="E617" s="29"/>
      <c r="F617" s="29"/>
      <c r="G617" s="29"/>
    </row>
    <row r="618">
      <c r="D618" s="29"/>
      <c r="E618" s="29"/>
      <c r="F618" s="29"/>
      <c r="G618" s="29"/>
    </row>
    <row r="619">
      <c r="D619" s="29"/>
      <c r="E619" s="29"/>
      <c r="F619" s="29"/>
      <c r="G619" s="29"/>
    </row>
    <row r="620">
      <c r="D620" s="29"/>
      <c r="E620" s="29"/>
      <c r="F620" s="29"/>
      <c r="G620" s="29"/>
    </row>
    <row r="621">
      <c r="D621" s="29"/>
      <c r="E621" s="29"/>
      <c r="F621" s="29"/>
      <c r="G621" s="29"/>
    </row>
    <row r="622">
      <c r="D622" s="29"/>
      <c r="E622" s="29"/>
      <c r="F622" s="29"/>
      <c r="G622" s="29"/>
    </row>
    <row r="623">
      <c r="D623" s="29"/>
      <c r="E623" s="29"/>
      <c r="F623" s="29"/>
      <c r="G623" s="29"/>
    </row>
    <row r="624">
      <c r="D624" s="29"/>
      <c r="E624" s="29"/>
      <c r="F624" s="29"/>
      <c r="G624" s="29"/>
    </row>
    <row r="625">
      <c r="D625" s="29"/>
      <c r="E625" s="29"/>
      <c r="F625" s="29"/>
      <c r="G625" s="29"/>
    </row>
    <row r="626">
      <c r="D626" s="29"/>
      <c r="E626" s="29"/>
      <c r="F626" s="29"/>
      <c r="G626" s="29"/>
    </row>
    <row r="627">
      <c r="D627" s="29"/>
      <c r="E627" s="29"/>
      <c r="F627" s="29"/>
      <c r="G627" s="29"/>
    </row>
    <row r="628">
      <c r="D628" s="29"/>
      <c r="E628" s="29"/>
      <c r="F628" s="29"/>
      <c r="G628" s="29"/>
    </row>
    <row r="629">
      <c r="D629" s="29"/>
      <c r="E629" s="29"/>
      <c r="F629" s="29"/>
      <c r="G629" s="29"/>
    </row>
    <row r="630">
      <c r="D630" s="29"/>
      <c r="E630" s="29"/>
      <c r="F630" s="29"/>
      <c r="G630" s="29"/>
    </row>
    <row r="631">
      <c r="D631" s="29"/>
      <c r="E631" s="29"/>
      <c r="F631" s="29"/>
      <c r="G631" s="29"/>
    </row>
    <row r="632">
      <c r="D632" s="29"/>
      <c r="E632" s="29"/>
      <c r="F632" s="29"/>
      <c r="G632" s="29"/>
    </row>
    <row r="633">
      <c r="D633" s="29"/>
      <c r="E633" s="29"/>
      <c r="F633" s="29"/>
      <c r="G633" s="29"/>
    </row>
    <row r="634">
      <c r="D634" s="29"/>
      <c r="E634" s="29"/>
      <c r="F634" s="29"/>
      <c r="G634" s="29"/>
    </row>
    <row r="635">
      <c r="D635" s="29"/>
      <c r="E635" s="29"/>
      <c r="F635" s="29"/>
      <c r="G635" s="29"/>
    </row>
    <row r="636">
      <c r="D636" s="29"/>
      <c r="E636" s="29"/>
      <c r="F636" s="29"/>
      <c r="G636" s="29"/>
    </row>
    <row r="637">
      <c r="D637" s="29"/>
      <c r="E637" s="29"/>
      <c r="F637" s="29"/>
      <c r="G637" s="29"/>
    </row>
    <row r="638">
      <c r="D638" s="29"/>
      <c r="E638" s="29"/>
      <c r="F638" s="29"/>
      <c r="G638" s="29"/>
    </row>
    <row r="639">
      <c r="D639" s="29"/>
      <c r="E639" s="29"/>
      <c r="F639" s="29"/>
      <c r="G639" s="29"/>
    </row>
    <row r="640">
      <c r="D640" s="29"/>
      <c r="E640" s="29"/>
      <c r="F640" s="29"/>
      <c r="G640" s="29"/>
    </row>
    <row r="641">
      <c r="D641" s="29"/>
      <c r="E641" s="29"/>
      <c r="F641" s="29"/>
      <c r="G641" s="29"/>
    </row>
    <row r="642">
      <c r="D642" s="29"/>
      <c r="E642" s="29"/>
      <c r="F642" s="29"/>
      <c r="G642" s="29"/>
    </row>
    <row r="643">
      <c r="D643" s="29"/>
      <c r="E643" s="29"/>
      <c r="F643" s="29"/>
      <c r="G643" s="29"/>
    </row>
    <row r="644">
      <c r="D644" s="29"/>
      <c r="E644" s="29"/>
      <c r="F644" s="29"/>
      <c r="G644" s="29"/>
    </row>
    <row r="645">
      <c r="D645" s="29"/>
      <c r="E645" s="29"/>
      <c r="F645" s="29"/>
      <c r="G645" s="29"/>
    </row>
    <row r="646">
      <c r="D646" s="29"/>
      <c r="E646" s="29"/>
      <c r="F646" s="29"/>
      <c r="G646" s="29"/>
    </row>
    <row r="647">
      <c r="D647" s="29"/>
      <c r="E647" s="29"/>
      <c r="F647" s="29"/>
      <c r="G647" s="29"/>
    </row>
    <row r="648">
      <c r="D648" s="29"/>
      <c r="E648" s="29"/>
      <c r="F648" s="29"/>
      <c r="G648" s="29"/>
    </row>
    <row r="649">
      <c r="D649" s="29"/>
      <c r="E649" s="29"/>
      <c r="F649" s="29"/>
      <c r="G649" s="29"/>
    </row>
    <row r="650">
      <c r="D650" s="29"/>
      <c r="E650" s="29"/>
      <c r="F650" s="29"/>
      <c r="G650" s="29"/>
    </row>
    <row r="651">
      <c r="D651" s="29"/>
      <c r="E651" s="29"/>
      <c r="F651" s="29"/>
      <c r="G651" s="29"/>
    </row>
    <row r="652">
      <c r="D652" s="29"/>
      <c r="E652" s="29"/>
      <c r="F652" s="29"/>
      <c r="G652" s="29"/>
    </row>
    <row r="653">
      <c r="D653" s="29"/>
      <c r="E653" s="29"/>
      <c r="F653" s="29"/>
      <c r="G653" s="29"/>
    </row>
    <row r="654">
      <c r="D654" s="29"/>
      <c r="E654" s="29"/>
      <c r="F654" s="29"/>
      <c r="G654" s="29"/>
    </row>
    <row r="655">
      <c r="D655" s="29"/>
      <c r="E655" s="29"/>
      <c r="F655" s="29"/>
      <c r="G655" s="29"/>
    </row>
    <row r="656">
      <c r="D656" s="29"/>
      <c r="E656" s="29"/>
      <c r="F656" s="29"/>
      <c r="G656" s="29"/>
    </row>
    <row r="657">
      <c r="D657" s="29"/>
      <c r="E657" s="29"/>
      <c r="F657" s="29"/>
      <c r="G657" s="29"/>
    </row>
    <row r="658">
      <c r="D658" s="29"/>
      <c r="E658" s="29"/>
      <c r="F658" s="29"/>
      <c r="G658" s="29"/>
    </row>
    <row r="659">
      <c r="D659" s="29"/>
      <c r="E659" s="29"/>
      <c r="F659" s="29"/>
      <c r="G659" s="29"/>
    </row>
    <row r="660">
      <c r="D660" s="29"/>
      <c r="E660" s="29"/>
      <c r="F660" s="29"/>
      <c r="G660" s="29"/>
    </row>
    <row r="661">
      <c r="D661" s="29"/>
      <c r="E661" s="29"/>
      <c r="F661" s="29"/>
      <c r="G661" s="29"/>
    </row>
    <row r="662">
      <c r="D662" s="29"/>
      <c r="E662" s="29"/>
      <c r="F662" s="29"/>
      <c r="G662" s="29"/>
    </row>
    <row r="663">
      <c r="D663" s="29"/>
      <c r="E663" s="29"/>
      <c r="F663" s="29"/>
      <c r="G663" s="29"/>
    </row>
    <row r="664">
      <c r="D664" s="29"/>
      <c r="E664" s="29"/>
      <c r="F664" s="29"/>
      <c r="G664" s="29"/>
    </row>
    <row r="665">
      <c r="D665" s="29"/>
      <c r="E665" s="29"/>
      <c r="F665" s="29"/>
      <c r="G665" s="29"/>
    </row>
    <row r="666">
      <c r="D666" s="29"/>
      <c r="E666" s="29"/>
      <c r="F666" s="29"/>
      <c r="G666" s="29"/>
    </row>
    <row r="667">
      <c r="D667" s="29"/>
      <c r="E667" s="29"/>
      <c r="F667" s="29"/>
      <c r="G667" s="29"/>
    </row>
    <row r="668">
      <c r="D668" s="29"/>
      <c r="E668" s="29"/>
      <c r="F668" s="29"/>
      <c r="G668" s="29"/>
    </row>
    <row r="669">
      <c r="D669" s="29"/>
      <c r="E669" s="29"/>
      <c r="F669" s="29"/>
      <c r="G669" s="29"/>
    </row>
    <row r="670">
      <c r="D670" s="29"/>
      <c r="E670" s="29"/>
      <c r="F670" s="29"/>
      <c r="G670" s="29"/>
    </row>
    <row r="671">
      <c r="D671" s="29"/>
      <c r="E671" s="29"/>
      <c r="F671" s="29"/>
      <c r="G671" s="29"/>
    </row>
    <row r="672">
      <c r="D672" s="29"/>
      <c r="E672" s="29"/>
      <c r="F672" s="29"/>
      <c r="G672" s="29"/>
    </row>
    <row r="673">
      <c r="D673" s="29"/>
      <c r="E673" s="29"/>
      <c r="F673" s="29"/>
      <c r="G673" s="29"/>
    </row>
    <row r="674">
      <c r="D674" s="29"/>
      <c r="E674" s="29"/>
      <c r="F674" s="29"/>
      <c r="G674" s="29"/>
    </row>
    <row r="675">
      <c r="D675" s="29"/>
      <c r="E675" s="29"/>
      <c r="F675" s="29"/>
      <c r="G675" s="29"/>
    </row>
    <row r="676">
      <c r="D676" s="29"/>
      <c r="E676" s="29"/>
      <c r="F676" s="29"/>
      <c r="G676" s="29"/>
    </row>
    <row r="677">
      <c r="D677" s="29"/>
      <c r="E677" s="29"/>
      <c r="F677" s="29"/>
      <c r="G677" s="29"/>
    </row>
    <row r="678">
      <c r="D678" s="29"/>
      <c r="E678" s="29"/>
      <c r="F678" s="29"/>
      <c r="G678" s="29"/>
    </row>
    <row r="679">
      <c r="D679" s="29"/>
      <c r="E679" s="29"/>
      <c r="F679" s="29"/>
      <c r="G679" s="29"/>
    </row>
    <row r="680">
      <c r="D680" s="29"/>
      <c r="E680" s="29"/>
      <c r="F680" s="29"/>
      <c r="G680" s="29"/>
    </row>
    <row r="681">
      <c r="D681" s="29"/>
      <c r="E681" s="29"/>
      <c r="F681" s="29"/>
      <c r="G681" s="29"/>
    </row>
    <row r="682">
      <c r="D682" s="29"/>
      <c r="E682" s="29"/>
      <c r="F682" s="29"/>
      <c r="G682" s="29"/>
    </row>
    <row r="683">
      <c r="D683" s="29"/>
      <c r="E683" s="29"/>
      <c r="F683" s="29"/>
      <c r="G683" s="29"/>
    </row>
    <row r="684">
      <c r="D684" s="29"/>
      <c r="E684" s="29"/>
      <c r="F684" s="29"/>
      <c r="G684" s="29"/>
    </row>
    <row r="685">
      <c r="D685" s="29"/>
      <c r="E685" s="29"/>
      <c r="F685" s="29"/>
      <c r="G685" s="29"/>
    </row>
    <row r="686">
      <c r="D686" s="29"/>
      <c r="E686" s="29"/>
      <c r="F686" s="29"/>
      <c r="G686" s="29"/>
    </row>
    <row r="687">
      <c r="D687" s="29"/>
      <c r="E687" s="29"/>
      <c r="F687" s="29"/>
      <c r="G687" s="29"/>
    </row>
    <row r="688">
      <c r="D688" s="29"/>
      <c r="E688" s="29"/>
      <c r="F688" s="29"/>
      <c r="G688" s="29"/>
    </row>
    <row r="689">
      <c r="D689" s="29"/>
      <c r="E689" s="29"/>
      <c r="F689" s="29"/>
      <c r="G689" s="29"/>
    </row>
    <row r="690">
      <c r="D690" s="29"/>
      <c r="E690" s="29"/>
      <c r="F690" s="29"/>
      <c r="G690" s="29"/>
    </row>
    <row r="691">
      <c r="D691" s="29"/>
      <c r="E691" s="29"/>
      <c r="F691" s="29"/>
      <c r="G691" s="29"/>
    </row>
    <row r="692">
      <c r="D692" s="29"/>
      <c r="E692" s="29"/>
      <c r="F692" s="29"/>
      <c r="G692" s="29"/>
    </row>
    <row r="693">
      <c r="D693" s="29"/>
      <c r="E693" s="29"/>
      <c r="F693" s="29"/>
      <c r="G693" s="29"/>
    </row>
    <row r="694">
      <c r="D694" s="29"/>
      <c r="E694" s="29"/>
      <c r="F694" s="29"/>
      <c r="G694" s="29"/>
    </row>
    <row r="695">
      <c r="D695" s="29"/>
      <c r="E695" s="29"/>
      <c r="F695" s="29"/>
      <c r="G695" s="29"/>
    </row>
    <row r="696">
      <c r="D696" s="29"/>
      <c r="E696" s="29"/>
      <c r="F696" s="29"/>
      <c r="G696" s="29"/>
    </row>
    <row r="697">
      <c r="D697" s="29"/>
      <c r="E697" s="29"/>
      <c r="F697" s="29"/>
      <c r="G697" s="29"/>
    </row>
    <row r="698">
      <c r="D698" s="29"/>
      <c r="E698" s="29"/>
      <c r="F698" s="29"/>
      <c r="G698" s="29"/>
    </row>
    <row r="699">
      <c r="D699" s="29"/>
      <c r="E699" s="29"/>
      <c r="F699" s="29"/>
      <c r="G699" s="29"/>
    </row>
    <row r="700">
      <c r="D700" s="29"/>
      <c r="E700" s="29"/>
      <c r="F700" s="29"/>
      <c r="G700" s="29"/>
    </row>
    <row r="701">
      <c r="D701" s="29"/>
      <c r="E701" s="29"/>
      <c r="F701" s="29"/>
      <c r="G701" s="29"/>
    </row>
    <row r="702">
      <c r="D702" s="29"/>
      <c r="E702" s="29"/>
      <c r="F702" s="29"/>
      <c r="G702" s="29"/>
    </row>
    <row r="703">
      <c r="D703" s="29"/>
      <c r="E703" s="29"/>
      <c r="F703" s="29"/>
      <c r="G703" s="29"/>
    </row>
    <row r="704">
      <c r="D704" s="29"/>
      <c r="E704" s="29"/>
      <c r="F704" s="29"/>
      <c r="G704" s="29"/>
    </row>
    <row r="705">
      <c r="D705" s="29"/>
      <c r="E705" s="29"/>
      <c r="F705" s="29"/>
      <c r="G705" s="29"/>
    </row>
    <row r="706">
      <c r="D706" s="29"/>
      <c r="E706" s="29"/>
      <c r="F706" s="29"/>
      <c r="G706" s="29"/>
    </row>
    <row r="707">
      <c r="D707" s="29"/>
      <c r="E707" s="29"/>
      <c r="F707" s="29"/>
      <c r="G707" s="29"/>
    </row>
    <row r="708">
      <c r="D708" s="29"/>
      <c r="E708" s="29"/>
      <c r="F708" s="29"/>
      <c r="G708" s="29"/>
    </row>
    <row r="709">
      <c r="D709" s="29"/>
      <c r="E709" s="29"/>
      <c r="F709" s="29"/>
      <c r="G709" s="29"/>
    </row>
    <row r="710">
      <c r="D710" s="29"/>
      <c r="E710" s="29"/>
      <c r="F710" s="29"/>
      <c r="G710" s="29"/>
    </row>
    <row r="711">
      <c r="D711" s="29"/>
      <c r="E711" s="29"/>
      <c r="F711" s="29"/>
      <c r="G711" s="29"/>
    </row>
    <row r="712">
      <c r="D712" s="29"/>
      <c r="E712" s="29"/>
      <c r="F712" s="29"/>
      <c r="G712" s="29"/>
    </row>
    <row r="713">
      <c r="D713" s="29"/>
      <c r="E713" s="29"/>
      <c r="F713" s="29"/>
      <c r="G713" s="29"/>
    </row>
    <row r="714">
      <c r="D714" s="29"/>
      <c r="E714" s="29"/>
      <c r="F714" s="29"/>
      <c r="G714" s="29"/>
    </row>
    <row r="715">
      <c r="D715" s="29"/>
      <c r="E715" s="29"/>
      <c r="F715" s="29"/>
      <c r="G715" s="29"/>
    </row>
    <row r="716">
      <c r="D716" s="29"/>
      <c r="E716" s="29"/>
      <c r="F716" s="29"/>
      <c r="G716" s="29"/>
    </row>
    <row r="717">
      <c r="D717" s="29"/>
      <c r="E717" s="29"/>
      <c r="F717" s="29"/>
      <c r="G717" s="29"/>
    </row>
    <row r="718">
      <c r="D718" s="29"/>
      <c r="E718" s="29"/>
      <c r="F718" s="29"/>
      <c r="G718" s="29"/>
    </row>
    <row r="719">
      <c r="D719" s="29"/>
      <c r="E719" s="29"/>
      <c r="F719" s="29"/>
      <c r="G719" s="29"/>
    </row>
    <row r="720">
      <c r="D720" s="29"/>
      <c r="E720" s="29"/>
      <c r="F720" s="29"/>
      <c r="G720" s="29"/>
    </row>
    <row r="721">
      <c r="D721" s="29"/>
      <c r="E721" s="29"/>
      <c r="F721" s="29"/>
      <c r="G721" s="29"/>
    </row>
    <row r="722">
      <c r="D722" s="29"/>
      <c r="E722" s="29"/>
      <c r="F722" s="29"/>
      <c r="G722" s="29"/>
    </row>
    <row r="723">
      <c r="D723" s="29"/>
      <c r="E723" s="29"/>
      <c r="F723" s="29"/>
      <c r="G723" s="29"/>
    </row>
    <row r="724">
      <c r="D724" s="29"/>
      <c r="E724" s="29"/>
      <c r="F724" s="29"/>
      <c r="G724" s="29"/>
    </row>
    <row r="725">
      <c r="D725" s="29"/>
      <c r="E725" s="29"/>
      <c r="F725" s="29"/>
      <c r="G725" s="29"/>
    </row>
    <row r="726">
      <c r="D726" s="29"/>
      <c r="E726" s="29"/>
      <c r="F726" s="29"/>
      <c r="G726" s="29"/>
    </row>
    <row r="727">
      <c r="D727" s="29"/>
      <c r="E727" s="29"/>
      <c r="F727" s="29"/>
      <c r="G727" s="29"/>
    </row>
    <row r="728">
      <c r="D728" s="29"/>
      <c r="E728" s="29"/>
      <c r="F728" s="29"/>
      <c r="G728" s="29"/>
    </row>
    <row r="729">
      <c r="D729" s="29"/>
      <c r="E729" s="29"/>
      <c r="F729" s="29"/>
      <c r="G729" s="29"/>
    </row>
    <row r="730">
      <c r="D730" s="29"/>
      <c r="E730" s="29"/>
      <c r="F730" s="29"/>
      <c r="G730" s="29"/>
    </row>
    <row r="731">
      <c r="D731" s="29"/>
      <c r="E731" s="29"/>
      <c r="F731" s="29"/>
      <c r="G731" s="29"/>
    </row>
    <row r="732">
      <c r="D732" s="29"/>
      <c r="E732" s="29"/>
      <c r="F732" s="29"/>
      <c r="G732" s="29"/>
    </row>
    <row r="733">
      <c r="D733" s="29"/>
      <c r="E733" s="29"/>
      <c r="F733" s="29"/>
      <c r="G733" s="29"/>
    </row>
    <row r="734">
      <c r="D734" s="29"/>
      <c r="E734" s="29"/>
      <c r="F734" s="29"/>
      <c r="G734" s="29"/>
    </row>
    <row r="735">
      <c r="D735" s="29"/>
      <c r="E735" s="29"/>
      <c r="F735" s="29"/>
      <c r="G735" s="29"/>
    </row>
    <row r="736">
      <c r="D736" s="29"/>
      <c r="E736" s="29"/>
      <c r="F736" s="29"/>
      <c r="G736" s="29"/>
    </row>
    <row r="737">
      <c r="D737" s="29"/>
      <c r="E737" s="29"/>
      <c r="F737" s="29"/>
      <c r="G737" s="29"/>
    </row>
    <row r="738">
      <c r="D738" s="29"/>
      <c r="E738" s="29"/>
      <c r="F738" s="29"/>
      <c r="G738" s="29"/>
    </row>
    <row r="739">
      <c r="D739" s="29"/>
      <c r="E739" s="29"/>
      <c r="F739" s="29"/>
      <c r="G739" s="29"/>
    </row>
    <row r="740">
      <c r="D740" s="29"/>
      <c r="E740" s="29"/>
      <c r="F740" s="29"/>
      <c r="G740" s="29"/>
    </row>
    <row r="741">
      <c r="D741" s="29"/>
      <c r="E741" s="29"/>
      <c r="F741" s="29"/>
      <c r="G741" s="29"/>
    </row>
    <row r="742">
      <c r="D742" s="29"/>
      <c r="E742" s="29"/>
      <c r="F742" s="29"/>
      <c r="G742" s="29"/>
    </row>
    <row r="743">
      <c r="D743" s="29"/>
      <c r="E743" s="29"/>
      <c r="F743" s="29"/>
      <c r="G743" s="29"/>
    </row>
    <row r="744">
      <c r="D744" s="29"/>
      <c r="E744" s="29"/>
      <c r="F744" s="29"/>
      <c r="G744" s="29"/>
    </row>
    <row r="745">
      <c r="D745" s="29"/>
      <c r="E745" s="29"/>
      <c r="F745" s="29"/>
      <c r="G745" s="29"/>
    </row>
    <row r="746">
      <c r="D746" s="29"/>
      <c r="E746" s="29"/>
      <c r="F746" s="29"/>
      <c r="G746" s="29"/>
    </row>
    <row r="747">
      <c r="D747" s="29"/>
      <c r="E747" s="29"/>
      <c r="F747" s="29"/>
      <c r="G747" s="29"/>
    </row>
    <row r="748">
      <c r="D748" s="29"/>
      <c r="E748" s="29"/>
      <c r="F748" s="29"/>
      <c r="G748" s="29"/>
    </row>
    <row r="749">
      <c r="D749" s="29"/>
      <c r="E749" s="29"/>
      <c r="F749" s="29"/>
      <c r="G749" s="29"/>
    </row>
    <row r="750">
      <c r="D750" s="29"/>
      <c r="E750" s="29"/>
      <c r="F750" s="29"/>
      <c r="G750" s="29"/>
    </row>
    <row r="751">
      <c r="D751" s="29"/>
      <c r="E751" s="29"/>
      <c r="F751" s="29"/>
      <c r="G751" s="29"/>
    </row>
    <row r="752">
      <c r="D752" s="29"/>
      <c r="E752" s="29"/>
      <c r="F752" s="29"/>
      <c r="G752" s="29"/>
    </row>
    <row r="753">
      <c r="D753" s="29"/>
      <c r="E753" s="29"/>
      <c r="F753" s="29"/>
      <c r="G753" s="29"/>
    </row>
    <row r="754">
      <c r="D754" s="29"/>
      <c r="E754" s="29"/>
      <c r="F754" s="29"/>
      <c r="G754" s="29"/>
    </row>
    <row r="755">
      <c r="D755" s="29"/>
      <c r="E755" s="29"/>
      <c r="F755" s="29"/>
      <c r="G755" s="29"/>
    </row>
    <row r="756">
      <c r="D756" s="29"/>
      <c r="E756" s="29"/>
      <c r="F756" s="29"/>
      <c r="G756" s="29"/>
    </row>
    <row r="757">
      <c r="D757" s="29"/>
      <c r="E757" s="29"/>
      <c r="F757" s="29"/>
      <c r="G757" s="29"/>
    </row>
    <row r="758">
      <c r="D758" s="29"/>
      <c r="E758" s="29"/>
      <c r="F758" s="29"/>
      <c r="G758" s="29"/>
    </row>
    <row r="759">
      <c r="D759" s="29"/>
      <c r="E759" s="29"/>
      <c r="F759" s="29"/>
      <c r="G759" s="29"/>
    </row>
    <row r="760">
      <c r="D760" s="29"/>
      <c r="E760" s="29"/>
      <c r="F760" s="29"/>
      <c r="G760" s="29"/>
    </row>
    <row r="761">
      <c r="D761" s="29"/>
      <c r="E761" s="29"/>
      <c r="F761" s="29"/>
      <c r="G761" s="29"/>
    </row>
    <row r="762">
      <c r="D762" s="29"/>
      <c r="E762" s="29"/>
      <c r="F762" s="29"/>
      <c r="G762" s="29"/>
    </row>
    <row r="763">
      <c r="D763" s="29"/>
      <c r="E763" s="29"/>
      <c r="F763" s="29"/>
      <c r="G763" s="29"/>
    </row>
    <row r="764">
      <c r="D764" s="29"/>
      <c r="E764" s="29"/>
      <c r="F764" s="29"/>
      <c r="G764" s="29"/>
    </row>
    <row r="765">
      <c r="D765" s="29"/>
      <c r="E765" s="29"/>
      <c r="F765" s="29"/>
      <c r="G765" s="29"/>
    </row>
    <row r="766">
      <c r="D766" s="29"/>
      <c r="E766" s="29"/>
      <c r="F766" s="29"/>
      <c r="G766" s="29"/>
    </row>
    <row r="767">
      <c r="D767" s="29"/>
      <c r="E767" s="29"/>
      <c r="F767" s="29"/>
      <c r="G767" s="29"/>
    </row>
    <row r="768">
      <c r="D768" s="29"/>
      <c r="E768" s="29"/>
      <c r="F768" s="29"/>
      <c r="G768" s="29"/>
    </row>
    <row r="769">
      <c r="D769" s="29"/>
      <c r="E769" s="29"/>
      <c r="F769" s="29"/>
      <c r="G769" s="29"/>
    </row>
    <row r="770">
      <c r="D770" s="29"/>
      <c r="E770" s="29"/>
      <c r="F770" s="29"/>
      <c r="G770" s="29"/>
    </row>
    <row r="771">
      <c r="D771" s="29"/>
      <c r="E771" s="29"/>
      <c r="F771" s="29"/>
      <c r="G771" s="29"/>
    </row>
    <row r="772">
      <c r="D772" s="29"/>
      <c r="E772" s="29"/>
      <c r="F772" s="29"/>
      <c r="G772" s="29"/>
    </row>
    <row r="773">
      <c r="D773" s="29"/>
      <c r="E773" s="29"/>
      <c r="F773" s="29"/>
      <c r="G773" s="29"/>
    </row>
    <row r="774">
      <c r="D774" s="29"/>
      <c r="E774" s="29"/>
      <c r="F774" s="29"/>
      <c r="G774" s="29"/>
    </row>
    <row r="775">
      <c r="D775" s="29"/>
      <c r="E775" s="29"/>
      <c r="F775" s="29"/>
      <c r="G775" s="29"/>
    </row>
    <row r="776">
      <c r="D776" s="29"/>
      <c r="E776" s="29"/>
      <c r="F776" s="29"/>
      <c r="G776" s="29"/>
    </row>
    <row r="777">
      <c r="D777" s="29"/>
      <c r="E777" s="29"/>
      <c r="F777" s="29"/>
      <c r="G777" s="29"/>
    </row>
    <row r="778">
      <c r="D778" s="29"/>
      <c r="E778" s="29"/>
      <c r="F778" s="29"/>
      <c r="G778" s="29"/>
    </row>
    <row r="779">
      <c r="D779" s="29"/>
      <c r="E779" s="29"/>
      <c r="F779" s="29"/>
      <c r="G779" s="29"/>
    </row>
    <row r="780">
      <c r="D780" s="29"/>
      <c r="E780" s="29"/>
      <c r="F780" s="29"/>
      <c r="G780" s="29"/>
    </row>
    <row r="781">
      <c r="D781" s="29"/>
      <c r="E781" s="29"/>
      <c r="F781" s="29"/>
      <c r="G781" s="29"/>
    </row>
    <row r="782">
      <c r="D782" s="29"/>
      <c r="E782" s="29"/>
      <c r="F782" s="29"/>
      <c r="G782" s="29"/>
    </row>
    <row r="783">
      <c r="D783" s="29"/>
      <c r="E783" s="29"/>
      <c r="F783" s="29"/>
      <c r="G783" s="29"/>
    </row>
    <row r="784">
      <c r="D784" s="29"/>
      <c r="E784" s="29"/>
      <c r="F784" s="29"/>
      <c r="G784" s="29"/>
    </row>
    <row r="785">
      <c r="D785" s="29"/>
      <c r="E785" s="29"/>
      <c r="F785" s="29"/>
      <c r="G785" s="29"/>
    </row>
    <row r="786">
      <c r="D786" s="29"/>
      <c r="E786" s="29"/>
      <c r="F786" s="29"/>
      <c r="G786" s="29"/>
    </row>
    <row r="787">
      <c r="D787" s="29"/>
      <c r="E787" s="29"/>
      <c r="F787" s="29"/>
      <c r="G787" s="29"/>
    </row>
    <row r="788">
      <c r="D788" s="29"/>
      <c r="E788" s="29"/>
      <c r="F788" s="29"/>
      <c r="G788" s="29"/>
    </row>
    <row r="789">
      <c r="D789" s="29"/>
      <c r="E789" s="29"/>
      <c r="F789" s="29"/>
      <c r="G789" s="29"/>
    </row>
    <row r="790">
      <c r="D790" s="29"/>
      <c r="E790" s="29"/>
      <c r="F790" s="29"/>
      <c r="G790" s="29"/>
    </row>
    <row r="791">
      <c r="D791" s="29"/>
      <c r="E791" s="29"/>
      <c r="F791" s="29"/>
      <c r="G791" s="29"/>
    </row>
    <row r="792">
      <c r="D792" s="29"/>
      <c r="E792" s="29"/>
      <c r="F792" s="29"/>
      <c r="G792" s="29"/>
    </row>
    <row r="793">
      <c r="D793" s="29"/>
      <c r="E793" s="29"/>
      <c r="F793" s="29"/>
      <c r="G793" s="29"/>
    </row>
    <row r="794">
      <c r="D794" s="29"/>
      <c r="E794" s="29"/>
      <c r="F794" s="29"/>
      <c r="G794" s="29"/>
    </row>
    <row r="795">
      <c r="D795" s="29"/>
      <c r="E795" s="29"/>
      <c r="F795" s="29"/>
      <c r="G795" s="29"/>
    </row>
    <row r="796">
      <c r="D796" s="29"/>
      <c r="E796" s="29"/>
      <c r="F796" s="29"/>
      <c r="G796" s="29"/>
    </row>
    <row r="797">
      <c r="D797" s="29"/>
      <c r="E797" s="29"/>
      <c r="F797" s="29"/>
      <c r="G797" s="29"/>
    </row>
    <row r="798">
      <c r="D798" s="29"/>
      <c r="E798" s="29"/>
      <c r="F798" s="29"/>
      <c r="G798" s="29"/>
    </row>
    <row r="799">
      <c r="D799" s="29"/>
      <c r="E799" s="29"/>
      <c r="F799" s="29"/>
      <c r="G799" s="29"/>
    </row>
    <row r="800">
      <c r="D800" s="29"/>
      <c r="E800" s="29"/>
      <c r="F800" s="29"/>
      <c r="G800" s="29"/>
    </row>
    <row r="801">
      <c r="D801" s="29"/>
      <c r="E801" s="29"/>
      <c r="F801" s="29"/>
      <c r="G801" s="29"/>
    </row>
    <row r="802">
      <c r="D802" s="29"/>
      <c r="E802" s="29"/>
      <c r="F802" s="29"/>
      <c r="G802" s="29"/>
    </row>
    <row r="803">
      <c r="D803" s="29"/>
      <c r="E803" s="29"/>
      <c r="F803" s="29"/>
      <c r="G803" s="29"/>
    </row>
    <row r="804">
      <c r="D804" s="29"/>
      <c r="E804" s="29"/>
      <c r="F804" s="29"/>
      <c r="G804" s="29"/>
    </row>
    <row r="805">
      <c r="D805" s="29"/>
      <c r="E805" s="29"/>
      <c r="F805" s="29"/>
      <c r="G805" s="29"/>
    </row>
    <row r="806">
      <c r="D806" s="29"/>
      <c r="E806" s="29"/>
      <c r="F806" s="29"/>
      <c r="G806" s="29"/>
    </row>
    <row r="807">
      <c r="D807" s="29"/>
      <c r="E807" s="29"/>
      <c r="F807" s="29"/>
      <c r="G807" s="29"/>
    </row>
    <row r="808">
      <c r="D808" s="29"/>
      <c r="E808" s="29"/>
      <c r="F808" s="29"/>
      <c r="G808" s="29"/>
    </row>
    <row r="809">
      <c r="D809" s="29"/>
      <c r="E809" s="29"/>
      <c r="F809" s="29"/>
      <c r="G809" s="29"/>
    </row>
    <row r="810">
      <c r="D810" s="29"/>
      <c r="E810" s="29"/>
      <c r="F810" s="29"/>
      <c r="G810" s="29"/>
    </row>
    <row r="811">
      <c r="D811" s="29"/>
      <c r="E811" s="29"/>
      <c r="F811" s="29"/>
      <c r="G811" s="29"/>
    </row>
    <row r="812">
      <c r="D812" s="29"/>
      <c r="E812" s="29"/>
      <c r="F812" s="29"/>
      <c r="G812" s="29"/>
    </row>
    <row r="813">
      <c r="D813" s="29"/>
      <c r="E813" s="29"/>
      <c r="F813" s="29"/>
      <c r="G813" s="29"/>
    </row>
    <row r="814">
      <c r="D814" s="29"/>
      <c r="E814" s="29"/>
      <c r="F814" s="29"/>
      <c r="G814" s="29"/>
    </row>
    <row r="815">
      <c r="D815" s="29"/>
      <c r="E815" s="29"/>
      <c r="F815" s="29"/>
      <c r="G815" s="29"/>
    </row>
    <row r="816">
      <c r="D816" s="29"/>
      <c r="E816" s="29"/>
      <c r="F816" s="29"/>
      <c r="G816" s="29"/>
    </row>
    <row r="817">
      <c r="D817" s="29"/>
      <c r="E817" s="29"/>
      <c r="F817" s="29"/>
      <c r="G817" s="29"/>
    </row>
    <row r="818">
      <c r="D818" s="29"/>
      <c r="E818" s="29"/>
      <c r="F818" s="29"/>
      <c r="G818" s="29"/>
    </row>
    <row r="819">
      <c r="D819" s="29"/>
      <c r="E819" s="29"/>
      <c r="F819" s="29"/>
      <c r="G819" s="29"/>
    </row>
    <row r="820">
      <c r="D820" s="29"/>
      <c r="E820" s="29"/>
      <c r="F820" s="29"/>
      <c r="G820" s="29"/>
    </row>
    <row r="821">
      <c r="D821" s="29"/>
      <c r="E821" s="29"/>
      <c r="F821" s="29"/>
      <c r="G821" s="29"/>
    </row>
    <row r="822">
      <c r="D822" s="29"/>
      <c r="E822" s="29"/>
      <c r="F822" s="29"/>
      <c r="G822" s="29"/>
    </row>
    <row r="823">
      <c r="D823" s="29"/>
      <c r="E823" s="29"/>
      <c r="F823" s="29"/>
      <c r="G823" s="29"/>
    </row>
    <row r="824">
      <c r="D824" s="29"/>
      <c r="E824" s="29"/>
      <c r="F824" s="29"/>
      <c r="G824" s="29"/>
    </row>
    <row r="825">
      <c r="D825" s="29"/>
      <c r="E825" s="29"/>
      <c r="F825" s="29"/>
      <c r="G825" s="29"/>
    </row>
    <row r="826">
      <c r="D826" s="29"/>
      <c r="E826" s="29"/>
      <c r="F826" s="29"/>
      <c r="G826" s="29"/>
    </row>
    <row r="827">
      <c r="D827" s="29"/>
      <c r="E827" s="29"/>
      <c r="F827" s="29"/>
      <c r="G827" s="29"/>
    </row>
    <row r="828">
      <c r="D828" s="29"/>
      <c r="E828" s="29"/>
      <c r="F828" s="29"/>
      <c r="G828" s="29"/>
    </row>
    <row r="829">
      <c r="D829" s="29"/>
      <c r="E829" s="29"/>
      <c r="F829" s="29"/>
      <c r="G829" s="29"/>
    </row>
    <row r="830">
      <c r="D830" s="29"/>
      <c r="E830" s="29"/>
      <c r="F830" s="29"/>
      <c r="G830" s="29"/>
    </row>
    <row r="831">
      <c r="D831" s="29"/>
      <c r="E831" s="29"/>
      <c r="F831" s="29"/>
      <c r="G831" s="29"/>
    </row>
    <row r="832">
      <c r="D832" s="29"/>
      <c r="E832" s="29"/>
      <c r="F832" s="29"/>
      <c r="G832" s="29"/>
    </row>
    <row r="833">
      <c r="D833" s="29"/>
      <c r="E833" s="29"/>
      <c r="F833" s="29"/>
      <c r="G833" s="29"/>
    </row>
    <row r="834">
      <c r="D834" s="29"/>
      <c r="E834" s="29"/>
      <c r="F834" s="29"/>
      <c r="G834" s="29"/>
    </row>
    <row r="835">
      <c r="D835" s="29"/>
      <c r="E835" s="29"/>
      <c r="F835" s="29"/>
      <c r="G835" s="29"/>
    </row>
    <row r="836">
      <c r="D836" s="29"/>
      <c r="E836" s="29"/>
      <c r="F836" s="29"/>
      <c r="G836" s="29"/>
    </row>
    <row r="837">
      <c r="D837" s="29"/>
      <c r="E837" s="29"/>
      <c r="F837" s="29"/>
      <c r="G837" s="29"/>
    </row>
    <row r="838">
      <c r="D838" s="29"/>
      <c r="E838" s="29"/>
      <c r="F838" s="29"/>
      <c r="G838" s="29"/>
    </row>
    <row r="839">
      <c r="D839" s="29"/>
      <c r="E839" s="29"/>
      <c r="F839" s="29"/>
      <c r="G839" s="29"/>
    </row>
    <row r="840">
      <c r="D840" s="29"/>
      <c r="E840" s="29"/>
      <c r="F840" s="29"/>
      <c r="G840" s="29"/>
    </row>
    <row r="841">
      <c r="D841" s="29"/>
      <c r="E841" s="29"/>
      <c r="F841" s="29"/>
      <c r="G841" s="29"/>
    </row>
    <row r="842">
      <c r="D842" s="29"/>
      <c r="E842" s="29"/>
      <c r="F842" s="29"/>
      <c r="G842" s="29"/>
    </row>
    <row r="843">
      <c r="D843" s="29"/>
      <c r="E843" s="29"/>
      <c r="F843" s="29"/>
      <c r="G843" s="29"/>
    </row>
    <row r="844">
      <c r="D844" s="29"/>
      <c r="E844" s="29"/>
      <c r="F844" s="29"/>
      <c r="G844" s="29"/>
    </row>
    <row r="845">
      <c r="D845" s="29"/>
      <c r="E845" s="29"/>
      <c r="F845" s="29"/>
      <c r="G845" s="29"/>
    </row>
    <row r="846">
      <c r="D846" s="29"/>
      <c r="E846" s="29"/>
      <c r="F846" s="29"/>
      <c r="G846" s="29"/>
    </row>
    <row r="847">
      <c r="D847" s="29"/>
      <c r="E847" s="29"/>
      <c r="F847" s="29"/>
      <c r="G847" s="29"/>
    </row>
    <row r="848">
      <c r="D848" s="29"/>
      <c r="E848" s="29"/>
      <c r="F848" s="29"/>
      <c r="G848" s="29"/>
    </row>
    <row r="849">
      <c r="D849" s="29"/>
      <c r="E849" s="29"/>
      <c r="F849" s="29"/>
      <c r="G849" s="29"/>
    </row>
    <row r="850">
      <c r="D850" s="29"/>
      <c r="E850" s="29"/>
      <c r="F850" s="29"/>
      <c r="G850" s="29"/>
    </row>
    <row r="851">
      <c r="D851" s="29"/>
      <c r="E851" s="29"/>
      <c r="F851" s="29"/>
      <c r="G851" s="29"/>
    </row>
    <row r="852">
      <c r="D852" s="29"/>
      <c r="E852" s="29"/>
      <c r="F852" s="29"/>
      <c r="G852" s="29"/>
    </row>
    <row r="853">
      <c r="D853" s="29"/>
      <c r="E853" s="29"/>
      <c r="F853" s="29"/>
      <c r="G853" s="29"/>
    </row>
    <row r="854">
      <c r="D854" s="29"/>
      <c r="E854" s="29"/>
      <c r="F854" s="29"/>
      <c r="G854" s="29"/>
    </row>
    <row r="855">
      <c r="D855" s="29"/>
      <c r="E855" s="29"/>
      <c r="F855" s="29"/>
      <c r="G855" s="29"/>
    </row>
    <row r="856">
      <c r="D856" s="29"/>
      <c r="E856" s="29"/>
      <c r="F856" s="29"/>
      <c r="G856" s="29"/>
    </row>
    <row r="857">
      <c r="D857" s="29"/>
      <c r="E857" s="29"/>
      <c r="F857" s="29"/>
      <c r="G857" s="29"/>
    </row>
    <row r="858">
      <c r="D858" s="29"/>
      <c r="E858" s="29"/>
      <c r="F858" s="29"/>
      <c r="G858" s="29"/>
    </row>
    <row r="859">
      <c r="D859" s="29"/>
      <c r="E859" s="29"/>
      <c r="F859" s="29"/>
      <c r="G859" s="29"/>
    </row>
    <row r="860">
      <c r="D860" s="29"/>
      <c r="E860" s="29"/>
      <c r="F860" s="29"/>
      <c r="G860" s="29"/>
    </row>
    <row r="861">
      <c r="D861" s="29"/>
      <c r="E861" s="29"/>
      <c r="F861" s="29"/>
      <c r="G861" s="29"/>
    </row>
    <row r="862">
      <c r="D862" s="29"/>
      <c r="E862" s="29"/>
      <c r="F862" s="29"/>
      <c r="G862" s="29"/>
    </row>
    <row r="863">
      <c r="D863" s="29"/>
      <c r="E863" s="29"/>
      <c r="F863" s="29"/>
      <c r="G863" s="29"/>
    </row>
    <row r="864">
      <c r="D864" s="29"/>
      <c r="E864" s="29"/>
      <c r="F864" s="29"/>
      <c r="G864" s="29"/>
    </row>
    <row r="865">
      <c r="D865" s="29"/>
      <c r="E865" s="29"/>
      <c r="F865" s="29"/>
      <c r="G865" s="29"/>
    </row>
    <row r="866">
      <c r="D866" s="29"/>
      <c r="E866" s="29"/>
      <c r="F866" s="29"/>
      <c r="G866" s="29"/>
    </row>
    <row r="867">
      <c r="D867" s="29"/>
      <c r="E867" s="29"/>
      <c r="F867" s="29"/>
      <c r="G867" s="29"/>
    </row>
    <row r="868">
      <c r="D868" s="29"/>
      <c r="E868" s="29"/>
      <c r="F868" s="29"/>
      <c r="G868" s="29"/>
    </row>
    <row r="869">
      <c r="D869" s="29"/>
      <c r="E869" s="29"/>
      <c r="F869" s="29"/>
      <c r="G869" s="29"/>
    </row>
    <row r="870">
      <c r="D870" s="29"/>
      <c r="E870" s="29"/>
      <c r="F870" s="29"/>
      <c r="G870" s="29"/>
    </row>
    <row r="871">
      <c r="D871" s="29"/>
      <c r="E871" s="29"/>
      <c r="F871" s="29"/>
      <c r="G871" s="29"/>
    </row>
    <row r="872">
      <c r="D872" s="29"/>
      <c r="E872" s="29"/>
      <c r="F872" s="29"/>
      <c r="G872" s="29"/>
    </row>
    <row r="873">
      <c r="D873" s="29"/>
      <c r="E873" s="29"/>
      <c r="F873" s="29"/>
      <c r="G873" s="29"/>
    </row>
    <row r="874">
      <c r="D874" s="29"/>
      <c r="E874" s="29"/>
      <c r="F874" s="29"/>
      <c r="G874" s="29"/>
    </row>
    <row r="875">
      <c r="D875" s="29"/>
      <c r="E875" s="29"/>
      <c r="F875" s="29"/>
      <c r="G875" s="29"/>
    </row>
    <row r="876">
      <c r="D876" s="29"/>
      <c r="E876" s="29"/>
      <c r="F876" s="29"/>
      <c r="G876" s="29"/>
    </row>
    <row r="877">
      <c r="D877" s="29"/>
      <c r="E877" s="29"/>
      <c r="F877" s="29"/>
      <c r="G877" s="29"/>
    </row>
    <row r="878">
      <c r="D878" s="29"/>
      <c r="E878" s="29"/>
      <c r="F878" s="29"/>
      <c r="G878" s="29"/>
    </row>
    <row r="879">
      <c r="D879" s="29"/>
      <c r="E879" s="29"/>
      <c r="F879" s="29"/>
      <c r="G879" s="29"/>
    </row>
    <row r="880">
      <c r="D880" s="29"/>
      <c r="E880" s="29"/>
      <c r="F880" s="29"/>
      <c r="G880" s="29"/>
    </row>
    <row r="881">
      <c r="D881" s="29"/>
      <c r="E881" s="29"/>
      <c r="F881" s="29"/>
      <c r="G881" s="29"/>
    </row>
    <row r="882">
      <c r="D882" s="29"/>
      <c r="E882" s="29"/>
      <c r="F882" s="29"/>
      <c r="G882" s="29"/>
    </row>
    <row r="883">
      <c r="D883" s="29"/>
      <c r="E883" s="29"/>
      <c r="F883" s="29"/>
      <c r="G883" s="29"/>
    </row>
    <row r="884">
      <c r="D884" s="29"/>
      <c r="E884" s="29"/>
      <c r="F884" s="29"/>
      <c r="G884" s="29"/>
    </row>
    <row r="885">
      <c r="D885" s="29"/>
      <c r="E885" s="29"/>
      <c r="F885" s="29"/>
      <c r="G885" s="29"/>
    </row>
    <row r="886">
      <c r="D886" s="29"/>
      <c r="E886" s="29"/>
      <c r="F886" s="29"/>
      <c r="G886" s="29"/>
    </row>
    <row r="887">
      <c r="D887" s="29"/>
      <c r="E887" s="29"/>
      <c r="F887" s="29"/>
      <c r="G887" s="29"/>
    </row>
    <row r="888">
      <c r="D888" s="29"/>
      <c r="E888" s="29"/>
      <c r="F888" s="29"/>
      <c r="G888" s="29"/>
    </row>
    <row r="889">
      <c r="D889" s="29"/>
      <c r="E889" s="29"/>
      <c r="F889" s="29"/>
      <c r="G889" s="29"/>
    </row>
    <row r="890">
      <c r="D890" s="29"/>
      <c r="E890" s="29"/>
      <c r="F890" s="29"/>
      <c r="G890" s="29"/>
    </row>
    <row r="891">
      <c r="D891" s="29"/>
      <c r="E891" s="29"/>
      <c r="F891" s="29"/>
      <c r="G891" s="29"/>
    </row>
    <row r="892">
      <c r="D892" s="29"/>
      <c r="E892" s="29"/>
      <c r="F892" s="29"/>
      <c r="G892" s="29"/>
    </row>
    <row r="893">
      <c r="D893" s="29"/>
      <c r="E893" s="29"/>
      <c r="F893" s="29"/>
      <c r="G893" s="29"/>
    </row>
    <row r="894">
      <c r="D894" s="29"/>
      <c r="E894" s="29"/>
      <c r="F894" s="29"/>
      <c r="G894" s="29"/>
    </row>
    <row r="895">
      <c r="D895" s="29"/>
      <c r="E895" s="29"/>
      <c r="F895" s="29"/>
      <c r="G895" s="29"/>
    </row>
    <row r="896">
      <c r="D896" s="29"/>
      <c r="E896" s="29"/>
      <c r="F896" s="29"/>
      <c r="G896" s="29"/>
    </row>
    <row r="897">
      <c r="D897" s="29"/>
      <c r="E897" s="29"/>
      <c r="F897" s="29"/>
      <c r="G897" s="29"/>
    </row>
    <row r="898">
      <c r="D898" s="29"/>
      <c r="E898" s="29"/>
      <c r="F898" s="29"/>
      <c r="G898" s="29"/>
    </row>
    <row r="899">
      <c r="D899" s="29"/>
      <c r="E899" s="29"/>
      <c r="F899" s="29"/>
      <c r="G899" s="29"/>
    </row>
    <row r="900">
      <c r="D900" s="29"/>
      <c r="E900" s="29"/>
      <c r="F900" s="29"/>
      <c r="G900" s="29"/>
    </row>
    <row r="901">
      <c r="D901" s="29"/>
      <c r="E901" s="29"/>
      <c r="F901" s="29"/>
      <c r="G901" s="29"/>
    </row>
    <row r="902">
      <c r="D902" s="29"/>
      <c r="E902" s="29"/>
      <c r="F902" s="29"/>
      <c r="G902" s="29"/>
    </row>
    <row r="903">
      <c r="D903" s="29"/>
      <c r="E903" s="29"/>
      <c r="F903" s="29"/>
      <c r="G903" s="29"/>
    </row>
    <row r="904">
      <c r="D904" s="29"/>
      <c r="E904" s="29"/>
      <c r="F904" s="29"/>
      <c r="G904" s="29"/>
    </row>
    <row r="905">
      <c r="D905" s="29"/>
      <c r="E905" s="29"/>
      <c r="F905" s="29"/>
      <c r="G905" s="29"/>
    </row>
    <row r="906">
      <c r="D906" s="29"/>
      <c r="E906" s="29"/>
      <c r="F906" s="29"/>
      <c r="G906" s="29"/>
    </row>
    <row r="907">
      <c r="D907" s="29"/>
      <c r="E907" s="29"/>
      <c r="F907" s="29"/>
      <c r="G907" s="29"/>
    </row>
    <row r="908">
      <c r="D908" s="29"/>
      <c r="E908" s="29"/>
      <c r="F908" s="29"/>
      <c r="G908" s="29"/>
    </row>
    <row r="909">
      <c r="D909" s="29"/>
      <c r="E909" s="29"/>
      <c r="F909" s="29"/>
      <c r="G909" s="29"/>
    </row>
    <row r="910">
      <c r="D910" s="29"/>
      <c r="E910" s="29"/>
      <c r="F910" s="29"/>
      <c r="G910" s="29"/>
    </row>
    <row r="911">
      <c r="D911" s="29"/>
      <c r="E911" s="29"/>
      <c r="F911" s="29"/>
      <c r="G911" s="29"/>
    </row>
    <row r="912">
      <c r="D912" s="29"/>
      <c r="E912" s="29"/>
      <c r="F912" s="29"/>
      <c r="G912" s="29"/>
    </row>
    <row r="913">
      <c r="D913" s="29"/>
      <c r="E913" s="29"/>
      <c r="F913" s="29"/>
      <c r="G913" s="29"/>
    </row>
    <row r="914">
      <c r="D914" s="29"/>
      <c r="E914" s="29"/>
      <c r="F914" s="29"/>
      <c r="G914" s="29"/>
    </row>
    <row r="915">
      <c r="D915" s="29"/>
      <c r="E915" s="29"/>
      <c r="F915" s="29"/>
      <c r="G915" s="29"/>
    </row>
    <row r="916">
      <c r="D916" s="29"/>
      <c r="E916" s="29"/>
      <c r="F916" s="29"/>
      <c r="G916" s="29"/>
    </row>
    <row r="917">
      <c r="D917" s="29"/>
      <c r="E917" s="29"/>
      <c r="F917" s="29"/>
      <c r="G917" s="29"/>
    </row>
    <row r="918">
      <c r="D918" s="29"/>
      <c r="E918" s="29"/>
      <c r="F918" s="29"/>
      <c r="G918" s="29"/>
    </row>
    <row r="919">
      <c r="D919" s="29"/>
      <c r="E919" s="29"/>
      <c r="F919" s="29"/>
      <c r="G919" s="29"/>
    </row>
    <row r="920">
      <c r="D920" s="29"/>
      <c r="E920" s="29"/>
      <c r="F920" s="29"/>
      <c r="G920" s="29"/>
    </row>
    <row r="921">
      <c r="D921" s="29"/>
      <c r="E921" s="29"/>
      <c r="F921" s="29"/>
      <c r="G921" s="29"/>
    </row>
    <row r="922">
      <c r="D922" s="29"/>
      <c r="E922" s="29"/>
      <c r="F922" s="29"/>
      <c r="G922" s="29"/>
    </row>
    <row r="923">
      <c r="D923" s="29"/>
      <c r="E923" s="29"/>
      <c r="F923" s="29"/>
      <c r="G923" s="29"/>
    </row>
    <row r="924">
      <c r="D924" s="29"/>
      <c r="E924" s="29"/>
      <c r="F924" s="29"/>
      <c r="G924" s="29"/>
    </row>
    <row r="925">
      <c r="D925" s="29"/>
      <c r="E925" s="29"/>
      <c r="F925" s="29"/>
      <c r="G925" s="29"/>
    </row>
    <row r="926">
      <c r="D926" s="29"/>
      <c r="E926" s="29"/>
      <c r="F926" s="29"/>
      <c r="G926" s="29"/>
    </row>
    <row r="927">
      <c r="D927" s="29"/>
      <c r="E927" s="29"/>
      <c r="F927" s="29"/>
      <c r="G927" s="29"/>
    </row>
    <row r="928">
      <c r="D928" s="29"/>
      <c r="E928" s="29"/>
      <c r="F928" s="29"/>
      <c r="G928" s="29"/>
    </row>
    <row r="929">
      <c r="D929" s="29"/>
      <c r="E929" s="29"/>
      <c r="F929" s="29"/>
      <c r="G929" s="29"/>
    </row>
    <row r="930">
      <c r="D930" s="29"/>
      <c r="E930" s="29"/>
      <c r="F930" s="29"/>
      <c r="G930" s="29"/>
    </row>
    <row r="931">
      <c r="D931" s="29"/>
      <c r="E931" s="29"/>
      <c r="F931" s="29"/>
      <c r="G931" s="29"/>
    </row>
    <row r="932">
      <c r="D932" s="29"/>
      <c r="E932" s="29"/>
      <c r="F932" s="29"/>
      <c r="G932" s="29"/>
    </row>
    <row r="933">
      <c r="D933" s="29"/>
      <c r="E933" s="29"/>
      <c r="F933" s="29"/>
      <c r="G933" s="29"/>
    </row>
    <row r="934">
      <c r="D934" s="29"/>
      <c r="E934" s="29"/>
      <c r="F934" s="29"/>
      <c r="G934" s="29"/>
    </row>
    <row r="935">
      <c r="D935" s="29"/>
      <c r="E935" s="29"/>
      <c r="F935" s="29"/>
      <c r="G935" s="29"/>
    </row>
    <row r="936">
      <c r="D936" s="29"/>
      <c r="E936" s="29"/>
      <c r="F936" s="29"/>
      <c r="G936" s="29"/>
    </row>
    <row r="937">
      <c r="D937" s="29"/>
      <c r="E937" s="29"/>
      <c r="F937" s="29"/>
      <c r="G937" s="29"/>
    </row>
    <row r="938">
      <c r="D938" s="29"/>
      <c r="E938" s="29"/>
      <c r="F938" s="29"/>
      <c r="G938" s="29"/>
    </row>
    <row r="939">
      <c r="D939" s="29"/>
      <c r="E939" s="29"/>
      <c r="F939" s="29"/>
      <c r="G939" s="29"/>
    </row>
    <row r="940">
      <c r="D940" s="29"/>
      <c r="E940" s="29"/>
      <c r="F940" s="29"/>
      <c r="G940" s="29"/>
    </row>
    <row r="941">
      <c r="D941" s="29"/>
      <c r="E941" s="29"/>
      <c r="F941" s="29"/>
      <c r="G941" s="29"/>
    </row>
    <row r="942">
      <c r="D942" s="29"/>
      <c r="E942" s="29"/>
      <c r="F942" s="29"/>
      <c r="G942" s="29"/>
    </row>
    <row r="943">
      <c r="D943" s="29"/>
      <c r="E943" s="29"/>
      <c r="F943" s="29"/>
      <c r="G943" s="29"/>
    </row>
    <row r="944">
      <c r="D944" s="29"/>
      <c r="E944" s="29"/>
      <c r="F944" s="29"/>
      <c r="G944" s="29"/>
    </row>
    <row r="945">
      <c r="D945" s="29"/>
      <c r="E945" s="29"/>
      <c r="F945" s="29"/>
      <c r="G945" s="29"/>
    </row>
    <row r="946">
      <c r="D946" s="29"/>
      <c r="E946" s="29"/>
      <c r="F946" s="29"/>
      <c r="G946" s="29"/>
    </row>
    <row r="947">
      <c r="D947" s="29"/>
      <c r="E947" s="29"/>
      <c r="F947" s="29"/>
      <c r="G947" s="29"/>
    </row>
    <row r="948">
      <c r="D948" s="29"/>
      <c r="E948" s="29"/>
      <c r="F948" s="29"/>
      <c r="G948" s="29"/>
    </row>
    <row r="949">
      <c r="D949" s="29"/>
      <c r="E949" s="29"/>
      <c r="F949" s="29"/>
      <c r="G949" s="29"/>
    </row>
    <row r="950">
      <c r="D950" s="29"/>
      <c r="E950" s="29"/>
      <c r="F950" s="29"/>
      <c r="G950" s="29"/>
    </row>
    <row r="951">
      <c r="D951" s="29"/>
      <c r="E951" s="29"/>
      <c r="F951" s="29"/>
      <c r="G951" s="29"/>
    </row>
    <row r="952">
      <c r="D952" s="29"/>
      <c r="E952" s="29"/>
      <c r="F952" s="29"/>
      <c r="G952" s="29"/>
    </row>
    <row r="953">
      <c r="D953" s="29"/>
      <c r="E953" s="29"/>
      <c r="F953" s="29"/>
      <c r="G953" s="29"/>
    </row>
    <row r="954">
      <c r="D954" s="29"/>
      <c r="E954" s="29"/>
      <c r="F954" s="29"/>
      <c r="G954" s="29"/>
    </row>
    <row r="955">
      <c r="D955" s="29"/>
      <c r="E955" s="29"/>
      <c r="F955" s="29"/>
      <c r="G955" s="29"/>
    </row>
    <row r="956">
      <c r="D956" s="29"/>
      <c r="E956" s="29"/>
      <c r="F956" s="29"/>
      <c r="G956" s="29"/>
    </row>
    <row r="957">
      <c r="D957" s="29"/>
      <c r="E957" s="29"/>
      <c r="F957" s="29"/>
      <c r="G957" s="29"/>
    </row>
    <row r="958">
      <c r="D958" s="29"/>
      <c r="E958" s="29"/>
      <c r="F958" s="29"/>
      <c r="G958" s="29"/>
    </row>
    <row r="959">
      <c r="D959" s="29"/>
      <c r="E959" s="29"/>
      <c r="F959" s="29"/>
      <c r="G959" s="29"/>
    </row>
    <row r="960">
      <c r="D960" s="29"/>
      <c r="E960" s="29"/>
      <c r="F960" s="29"/>
      <c r="G960" s="29"/>
    </row>
    <row r="961">
      <c r="D961" s="29"/>
      <c r="E961" s="29"/>
      <c r="F961" s="29"/>
      <c r="G961" s="29"/>
    </row>
    <row r="962">
      <c r="D962" s="29"/>
      <c r="E962" s="29"/>
      <c r="F962" s="29"/>
      <c r="G962" s="29"/>
    </row>
    <row r="963">
      <c r="D963" s="29"/>
      <c r="E963" s="29"/>
      <c r="F963" s="29"/>
      <c r="G963" s="29"/>
    </row>
    <row r="964">
      <c r="D964" s="29"/>
      <c r="E964" s="29"/>
      <c r="F964" s="29"/>
      <c r="G964" s="29"/>
    </row>
    <row r="965">
      <c r="D965" s="29"/>
      <c r="E965" s="29"/>
      <c r="F965" s="29"/>
      <c r="G965" s="29"/>
    </row>
    <row r="966">
      <c r="D966" s="29"/>
      <c r="E966" s="29"/>
      <c r="F966" s="29"/>
      <c r="G966" s="29"/>
    </row>
    <row r="967">
      <c r="D967" s="29"/>
      <c r="E967" s="29"/>
      <c r="F967" s="29"/>
      <c r="G967" s="29"/>
    </row>
    <row r="968">
      <c r="D968" s="29"/>
      <c r="E968" s="29"/>
      <c r="F968" s="29"/>
      <c r="G968" s="29"/>
    </row>
    <row r="969">
      <c r="D969" s="29"/>
      <c r="E969" s="29"/>
      <c r="F969" s="29"/>
      <c r="G969" s="29"/>
    </row>
    <row r="970">
      <c r="D970" s="29"/>
      <c r="E970" s="29"/>
      <c r="F970" s="29"/>
      <c r="G970" s="29"/>
    </row>
    <row r="971">
      <c r="D971" s="29"/>
      <c r="E971" s="29"/>
      <c r="F971" s="29"/>
      <c r="G971" s="29"/>
    </row>
    <row r="972">
      <c r="D972" s="29"/>
      <c r="E972" s="29"/>
      <c r="F972" s="29"/>
      <c r="G972" s="29"/>
    </row>
    <row r="973">
      <c r="D973" s="29"/>
      <c r="E973" s="29"/>
      <c r="F973" s="29"/>
      <c r="G973" s="29"/>
    </row>
    <row r="974">
      <c r="D974" s="29"/>
      <c r="E974" s="29"/>
      <c r="F974" s="29"/>
      <c r="G974" s="29"/>
    </row>
    <row r="975">
      <c r="D975" s="29"/>
      <c r="E975" s="29"/>
      <c r="F975" s="29"/>
      <c r="G975" s="29"/>
    </row>
    <row r="976">
      <c r="D976" s="29"/>
      <c r="E976" s="29"/>
      <c r="F976" s="29"/>
      <c r="G976" s="29"/>
    </row>
    <row r="977">
      <c r="D977" s="29"/>
      <c r="E977" s="29"/>
      <c r="F977" s="29"/>
      <c r="G977" s="29"/>
    </row>
    <row r="978">
      <c r="D978" s="29"/>
      <c r="E978" s="29"/>
      <c r="F978" s="29"/>
      <c r="G978" s="29"/>
    </row>
    <row r="979">
      <c r="D979" s="29"/>
      <c r="E979" s="29"/>
      <c r="F979" s="29"/>
      <c r="G979" s="29"/>
    </row>
    <row r="980">
      <c r="D980" s="29"/>
      <c r="E980" s="29"/>
      <c r="F980" s="29"/>
      <c r="G980" s="29"/>
    </row>
    <row r="981">
      <c r="D981" s="29"/>
      <c r="E981" s="29"/>
      <c r="F981" s="29"/>
      <c r="G981" s="29"/>
    </row>
    <row r="982">
      <c r="D982" s="29"/>
      <c r="E982" s="29"/>
      <c r="F982" s="29"/>
      <c r="G982" s="29"/>
    </row>
    <row r="983">
      <c r="D983" s="29"/>
      <c r="E983" s="29"/>
      <c r="F983" s="29"/>
      <c r="G983" s="29"/>
    </row>
    <row r="984">
      <c r="D984" s="29"/>
      <c r="E984" s="29"/>
      <c r="F984" s="29"/>
      <c r="G984" s="29"/>
    </row>
    <row r="985">
      <c r="D985" s="29"/>
      <c r="E985" s="29"/>
      <c r="F985" s="29"/>
      <c r="G985" s="29"/>
    </row>
    <row r="986">
      <c r="D986" s="29"/>
      <c r="E986" s="29"/>
      <c r="F986" s="29"/>
      <c r="G986" s="29"/>
    </row>
    <row r="987">
      <c r="D987" s="29"/>
      <c r="E987" s="29"/>
      <c r="F987" s="29"/>
      <c r="G987" s="29"/>
    </row>
    <row r="988">
      <c r="D988" s="29"/>
      <c r="E988" s="29"/>
      <c r="F988" s="29"/>
      <c r="G988" s="29"/>
    </row>
    <row r="989">
      <c r="D989" s="29"/>
      <c r="E989" s="29"/>
      <c r="F989" s="29"/>
      <c r="G989" s="29"/>
    </row>
    <row r="990">
      <c r="D990" s="29"/>
      <c r="E990" s="29"/>
      <c r="F990" s="29"/>
      <c r="G990" s="29"/>
    </row>
    <row r="991">
      <c r="D991" s="29"/>
      <c r="E991" s="29"/>
      <c r="F991" s="29"/>
      <c r="G991" s="29"/>
    </row>
    <row r="992">
      <c r="D992" s="29"/>
      <c r="E992" s="29"/>
      <c r="F992" s="29"/>
      <c r="G992" s="29"/>
    </row>
    <row r="993">
      <c r="D993" s="29"/>
      <c r="E993" s="29"/>
      <c r="F993" s="29"/>
      <c r="G993" s="29"/>
    </row>
    <row r="994">
      <c r="D994" s="29"/>
      <c r="E994" s="29"/>
      <c r="F994" s="29"/>
      <c r="G994" s="29"/>
    </row>
    <row r="995">
      <c r="D995" s="29"/>
      <c r="E995" s="29"/>
      <c r="F995" s="29"/>
      <c r="G995" s="29"/>
    </row>
    <row r="996">
      <c r="D996" s="29"/>
      <c r="E996" s="29"/>
      <c r="F996" s="29"/>
      <c r="G996" s="29"/>
    </row>
    <row r="997">
      <c r="D997" s="29"/>
      <c r="E997" s="29"/>
      <c r="F997" s="29"/>
      <c r="G997" s="29"/>
    </row>
    <row r="998">
      <c r="D998" s="29"/>
      <c r="E998" s="29"/>
      <c r="F998" s="29"/>
      <c r="G998" s="29"/>
    </row>
    <row r="999">
      <c r="D999" s="29"/>
      <c r="E999" s="29"/>
      <c r="F999" s="29"/>
      <c r="G999" s="29"/>
    </row>
    <row r="1000">
      <c r="D1000" s="29"/>
      <c r="E1000" s="29"/>
      <c r="F1000" s="29"/>
      <c r="G1000" s="29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4.13"/>
    <col customWidth="1" min="2" max="2" width="94.13"/>
    <col customWidth="1" min="3" max="3" width="37.63"/>
    <col customWidth="1" min="4" max="5" width="24.13"/>
    <col customWidth="1" min="6" max="6" width="13.0"/>
    <col customWidth="1" min="7" max="7" width="15.38"/>
    <col customWidth="1" min="8" max="8" width="13.5"/>
  </cols>
  <sheetData>
    <row r="1">
      <c r="A1" s="33" t="s">
        <v>177</v>
      </c>
      <c r="B1" s="31" t="s">
        <v>178</v>
      </c>
      <c r="C1" s="31" t="s">
        <v>179</v>
      </c>
      <c r="D1" s="31" t="s">
        <v>180</v>
      </c>
      <c r="E1" s="31" t="s">
        <v>181</v>
      </c>
      <c r="F1" s="33" t="s">
        <v>182</v>
      </c>
      <c r="G1" s="33" t="s">
        <v>183</v>
      </c>
      <c r="H1" s="33" t="s">
        <v>184</v>
      </c>
      <c r="I1" s="33" t="s">
        <v>185</v>
      </c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</row>
    <row r="2">
      <c r="A2" s="33" t="s">
        <v>186</v>
      </c>
      <c r="B2" s="33" t="s">
        <v>187</v>
      </c>
      <c r="C2" s="31">
        <v>7.5</v>
      </c>
      <c r="D2" s="31">
        <v>7.5</v>
      </c>
      <c r="E2" s="31">
        <v>5.0</v>
      </c>
      <c r="F2" s="33">
        <v>1.0</v>
      </c>
      <c r="G2" s="34">
        <f t="shared" ref="G2:G12" si="1">IF(F2=1,D2,0)</f>
        <v>7.5</v>
      </c>
      <c r="H2" s="34">
        <f t="shared" ref="H2:H12" si="2">SUM($G$2:$G$12)</f>
        <v>15.775</v>
      </c>
      <c r="I2" s="35">
        <f t="shared" ref="I2:I12" si="3">G2/H2</f>
        <v>0.4754358162</v>
      </c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</row>
    <row r="3">
      <c r="A3" s="33" t="s">
        <v>188</v>
      </c>
      <c r="B3" s="33" t="s">
        <v>189</v>
      </c>
      <c r="C3" s="31">
        <v>1.2</v>
      </c>
      <c r="D3" s="31">
        <v>1.2</v>
      </c>
      <c r="E3" s="31" t="s">
        <v>19</v>
      </c>
      <c r="F3" s="33">
        <v>1.0</v>
      </c>
      <c r="G3" s="34">
        <f t="shared" si="1"/>
        <v>1.2</v>
      </c>
      <c r="H3" s="34">
        <f t="shared" si="2"/>
        <v>15.775</v>
      </c>
      <c r="I3" s="35">
        <f t="shared" si="3"/>
        <v>0.07606973059</v>
      </c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</row>
    <row r="4">
      <c r="A4" s="33" t="s">
        <v>190</v>
      </c>
      <c r="B4" s="33" t="s">
        <v>191</v>
      </c>
      <c r="C4" s="31">
        <v>1.0</v>
      </c>
      <c r="D4" s="31">
        <v>1.0</v>
      </c>
      <c r="E4" s="31">
        <v>1.0</v>
      </c>
      <c r="F4" s="33">
        <v>1.0</v>
      </c>
      <c r="G4" s="34">
        <f t="shared" si="1"/>
        <v>1</v>
      </c>
      <c r="H4" s="34">
        <f t="shared" si="2"/>
        <v>15.775</v>
      </c>
      <c r="I4" s="35">
        <f t="shared" si="3"/>
        <v>0.06339144216</v>
      </c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</row>
    <row r="5">
      <c r="A5" s="33" t="s">
        <v>192</v>
      </c>
      <c r="B5" s="33" t="s">
        <v>193</v>
      </c>
      <c r="C5" s="31">
        <v>1.0</v>
      </c>
      <c r="D5" s="31">
        <v>1.0</v>
      </c>
      <c r="E5" s="31">
        <v>0.5</v>
      </c>
      <c r="F5" s="33">
        <v>1.0</v>
      </c>
      <c r="G5" s="34">
        <f t="shared" si="1"/>
        <v>1</v>
      </c>
      <c r="H5" s="34">
        <f t="shared" si="2"/>
        <v>15.775</v>
      </c>
      <c r="I5" s="35">
        <f t="shared" si="3"/>
        <v>0.06339144216</v>
      </c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</row>
    <row r="6">
      <c r="A6" s="33" t="s">
        <v>194</v>
      </c>
      <c r="B6" s="33" t="s">
        <v>195</v>
      </c>
      <c r="C6" s="31">
        <v>1.6</v>
      </c>
      <c r="D6" s="31">
        <v>1.6</v>
      </c>
      <c r="E6" s="31">
        <v>1.2</v>
      </c>
      <c r="F6" s="33">
        <v>1.0</v>
      </c>
      <c r="G6" s="34">
        <f t="shared" si="1"/>
        <v>1.6</v>
      </c>
      <c r="H6" s="34">
        <f t="shared" si="2"/>
        <v>15.775</v>
      </c>
      <c r="I6" s="35">
        <f t="shared" si="3"/>
        <v>0.1014263074</v>
      </c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</row>
    <row r="7">
      <c r="A7" s="33" t="s">
        <v>196</v>
      </c>
      <c r="B7" s="33" t="s">
        <v>197</v>
      </c>
      <c r="C7" s="31" t="s">
        <v>19</v>
      </c>
      <c r="D7" s="31">
        <v>0.0</v>
      </c>
      <c r="E7" s="31" t="s">
        <v>19</v>
      </c>
      <c r="F7" s="33">
        <v>0.0</v>
      </c>
      <c r="G7" s="34">
        <f t="shared" si="1"/>
        <v>0</v>
      </c>
      <c r="H7" s="34">
        <f t="shared" si="2"/>
        <v>15.775</v>
      </c>
      <c r="I7" s="35">
        <f t="shared" si="3"/>
        <v>0</v>
      </c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</row>
    <row r="8">
      <c r="A8" s="33" t="s">
        <v>198</v>
      </c>
      <c r="B8" s="33" t="s">
        <v>199</v>
      </c>
      <c r="C8" s="31" t="s">
        <v>19</v>
      </c>
      <c r="D8" s="31">
        <v>0.0</v>
      </c>
      <c r="E8" s="31" t="s">
        <v>19</v>
      </c>
      <c r="F8" s="33">
        <v>0.0</v>
      </c>
      <c r="G8" s="34">
        <f t="shared" si="1"/>
        <v>0</v>
      </c>
      <c r="H8" s="34">
        <f t="shared" si="2"/>
        <v>15.775</v>
      </c>
      <c r="I8" s="35">
        <f t="shared" si="3"/>
        <v>0</v>
      </c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</row>
    <row r="9">
      <c r="A9" s="33" t="s">
        <v>200</v>
      </c>
      <c r="B9" s="33" t="s">
        <v>201</v>
      </c>
      <c r="C9" s="31" t="s">
        <v>202</v>
      </c>
      <c r="D9" s="36">
        <f>(0.7+0.25)/2</f>
        <v>0.475</v>
      </c>
      <c r="E9" s="31">
        <v>0.1</v>
      </c>
      <c r="F9" s="33">
        <v>1.0</v>
      </c>
      <c r="G9" s="37">
        <f t="shared" si="1"/>
        <v>0.475</v>
      </c>
      <c r="H9" s="34">
        <f t="shared" si="2"/>
        <v>15.775</v>
      </c>
      <c r="I9" s="35">
        <f t="shared" si="3"/>
        <v>0.03011093502</v>
      </c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</row>
    <row r="10">
      <c r="A10" s="33" t="s">
        <v>203</v>
      </c>
      <c r="B10" s="33" t="s">
        <v>204</v>
      </c>
      <c r="C10" s="31" t="s">
        <v>19</v>
      </c>
      <c r="D10" s="31">
        <v>0.0</v>
      </c>
      <c r="E10" s="31" t="s">
        <v>19</v>
      </c>
      <c r="F10" s="33">
        <v>0.0</v>
      </c>
      <c r="G10" s="34">
        <f t="shared" si="1"/>
        <v>0</v>
      </c>
      <c r="H10" s="34">
        <f t="shared" si="2"/>
        <v>15.775</v>
      </c>
      <c r="I10" s="35">
        <f t="shared" si="3"/>
        <v>0</v>
      </c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</row>
    <row r="11">
      <c r="A11" s="33" t="s">
        <v>205</v>
      </c>
      <c r="B11" s="33" t="s">
        <v>206</v>
      </c>
      <c r="C11" s="31" t="s">
        <v>19</v>
      </c>
      <c r="D11" s="31">
        <v>0.0</v>
      </c>
      <c r="E11" s="31" t="s">
        <v>19</v>
      </c>
      <c r="F11" s="33">
        <v>0.0</v>
      </c>
      <c r="G11" s="34">
        <f t="shared" si="1"/>
        <v>0</v>
      </c>
      <c r="H11" s="34">
        <f t="shared" si="2"/>
        <v>15.775</v>
      </c>
      <c r="I11" s="35">
        <f t="shared" si="3"/>
        <v>0</v>
      </c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</row>
    <row r="12">
      <c r="A12" s="33" t="s">
        <v>207</v>
      </c>
      <c r="B12" s="33" t="s">
        <v>208</v>
      </c>
      <c r="C12" s="31">
        <v>3.0</v>
      </c>
      <c r="D12" s="31">
        <v>3.0</v>
      </c>
      <c r="E12" s="31">
        <v>2.5</v>
      </c>
      <c r="F12" s="33">
        <v>1.0</v>
      </c>
      <c r="G12" s="34">
        <f t="shared" si="1"/>
        <v>3</v>
      </c>
      <c r="H12" s="34">
        <f t="shared" si="2"/>
        <v>15.775</v>
      </c>
      <c r="I12" s="35">
        <f t="shared" si="3"/>
        <v>0.1901743265</v>
      </c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</row>
    <row r="13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</row>
    <row r="14">
      <c r="A14" s="33" t="s">
        <v>209</v>
      </c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</row>
    <row r="15">
      <c r="A15" s="33" t="s">
        <v>210</v>
      </c>
      <c r="B15" s="33" t="s">
        <v>211</v>
      </c>
      <c r="C15" s="31">
        <v>0.09</v>
      </c>
      <c r="D15" s="31"/>
      <c r="E15" s="31" t="s">
        <v>19</v>
      </c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</row>
    <row r="16">
      <c r="A16" s="33" t="s">
        <v>212</v>
      </c>
      <c r="B16" s="33" t="s">
        <v>213</v>
      </c>
      <c r="C16" s="31">
        <v>0.46</v>
      </c>
      <c r="D16" s="31"/>
      <c r="E16" s="31" t="s">
        <v>19</v>
      </c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</row>
    <row r="17">
      <c r="A17" s="33" t="s">
        <v>214</v>
      </c>
      <c r="B17" s="33" t="s">
        <v>215</v>
      </c>
      <c r="C17" s="31">
        <v>0.05</v>
      </c>
      <c r="D17" s="31"/>
      <c r="E17" s="31">
        <v>0.6</v>
      </c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</row>
    <row r="18">
      <c r="A18" s="33" t="s">
        <v>216</v>
      </c>
      <c r="B18" s="33" t="s">
        <v>217</v>
      </c>
      <c r="C18" s="31">
        <v>1.3</v>
      </c>
      <c r="D18" s="31"/>
      <c r="E18" s="31" t="s">
        <v>19</v>
      </c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</row>
    <row r="19">
      <c r="A19" s="33" t="s">
        <v>218</v>
      </c>
      <c r="B19" s="33" t="s">
        <v>219</v>
      </c>
      <c r="C19" s="31" t="s">
        <v>220</v>
      </c>
      <c r="D19" s="31"/>
      <c r="E19" s="31" t="s">
        <v>19</v>
      </c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</row>
    <row r="20">
      <c r="A20" s="33" t="s">
        <v>221</v>
      </c>
      <c r="B20" s="33" t="s">
        <v>222</v>
      </c>
      <c r="C20" s="31" t="s">
        <v>223</v>
      </c>
      <c r="D20" s="31"/>
      <c r="E20" s="31">
        <v>4.8</v>
      </c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</row>
    <row r="21">
      <c r="A21" s="33" t="s">
        <v>224</v>
      </c>
      <c r="B21" s="33" t="s">
        <v>225</v>
      </c>
      <c r="C21" s="31">
        <v>1.9</v>
      </c>
      <c r="D21" s="31"/>
      <c r="E21" s="31" t="s">
        <v>19</v>
      </c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</row>
    <row r="22">
      <c r="A22" s="33" t="s">
        <v>226</v>
      </c>
      <c r="B22" s="33" t="s">
        <v>227</v>
      </c>
      <c r="C22" s="31" t="s">
        <v>19</v>
      </c>
      <c r="D22" s="31"/>
      <c r="E22" s="31" t="s">
        <v>19</v>
      </c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</row>
    <row r="23">
      <c r="A23" s="33" t="s">
        <v>228</v>
      </c>
      <c r="B23" s="33" t="s">
        <v>227</v>
      </c>
      <c r="C23" s="31" t="s">
        <v>19</v>
      </c>
      <c r="D23" s="31"/>
      <c r="E23" s="31" t="s">
        <v>19</v>
      </c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</row>
    <row r="24">
      <c r="A24" s="33" t="s">
        <v>229</v>
      </c>
      <c r="B24" s="33" t="s">
        <v>227</v>
      </c>
      <c r="C24" s="31" t="s">
        <v>19</v>
      </c>
      <c r="D24" s="31"/>
      <c r="E24" s="31" t="s">
        <v>19</v>
      </c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</row>
    <row r="25">
      <c r="A25" s="33" t="s">
        <v>230</v>
      </c>
      <c r="B25" s="33" t="s">
        <v>227</v>
      </c>
      <c r="C25" s="31" t="s">
        <v>19</v>
      </c>
      <c r="D25" s="31"/>
      <c r="E25" s="31" t="s">
        <v>19</v>
      </c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</row>
    <row r="26">
      <c r="A26" s="33" t="s">
        <v>231</v>
      </c>
      <c r="B26" s="33" t="s">
        <v>227</v>
      </c>
      <c r="C26" s="31" t="s">
        <v>19</v>
      </c>
      <c r="D26" s="31"/>
      <c r="E26" s="31" t="s">
        <v>19</v>
      </c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</row>
    <row r="27">
      <c r="A27" s="33" t="s">
        <v>232</v>
      </c>
      <c r="B27" s="33" t="s">
        <v>227</v>
      </c>
      <c r="C27" s="31" t="s">
        <v>19</v>
      </c>
      <c r="D27" s="31"/>
      <c r="E27" s="31" t="s">
        <v>19</v>
      </c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</row>
    <row r="28">
      <c r="A28" s="33" t="s">
        <v>233</v>
      </c>
      <c r="B28" s="33" t="s">
        <v>227</v>
      </c>
      <c r="C28" s="31" t="s">
        <v>19</v>
      </c>
      <c r="D28" s="31"/>
      <c r="E28" s="31" t="s">
        <v>19</v>
      </c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</row>
    <row r="29">
      <c r="A29" s="33" t="s">
        <v>234</v>
      </c>
      <c r="B29" s="33" t="s">
        <v>227</v>
      </c>
      <c r="C29" s="31" t="s">
        <v>19</v>
      </c>
      <c r="D29" s="31"/>
      <c r="E29" s="31" t="s">
        <v>19</v>
      </c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</row>
    <row r="30">
      <c r="A30" s="33" t="s">
        <v>235</v>
      </c>
      <c r="B30" s="33" t="s">
        <v>227</v>
      </c>
      <c r="C30" s="31" t="s">
        <v>19</v>
      </c>
      <c r="D30" s="31"/>
      <c r="E30" s="31" t="s">
        <v>19</v>
      </c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</row>
    <row r="31">
      <c r="A31" s="33" t="s">
        <v>236</v>
      </c>
      <c r="B31" s="33" t="s">
        <v>227</v>
      </c>
      <c r="C31" s="31" t="s">
        <v>19</v>
      </c>
      <c r="D31" s="31"/>
      <c r="E31" s="31" t="s">
        <v>19</v>
      </c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</row>
    <row r="32">
      <c r="A32" s="33" t="s">
        <v>237</v>
      </c>
      <c r="B32" s="33" t="s">
        <v>227</v>
      </c>
      <c r="C32" s="31" t="s">
        <v>19</v>
      </c>
      <c r="D32" s="31"/>
      <c r="E32" s="31" t="s">
        <v>19</v>
      </c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</row>
    <row r="33">
      <c r="A33" s="33" t="s">
        <v>238</v>
      </c>
      <c r="B33" s="33" t="s">
        <v>227</v>
      </c>
      <c r="C33" s="31" t="s">
        <v>19</v>
      </c>
      <c r="D33" s="31"/>
      <c r="E33" s="31" t="s">
        <v>19</v>
      </c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</row>
    <row r="34">
      <c r="A34" s="33" t="s">
        <v>239</v>
      </c>
      <c r="B34" s="33" t="s">
        <v>227</v>
      </c>
      <c r="C34" s="31" t="s">
        <v>19</v>
      </c>
      <c r="D34" s="31"/>
      <c r="E34" s="31" t="s">
        <v>19</v>
      </c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</row>
    <row r="35">
      <c r="A35" s="33" t="s">
        <v>240</v>
      </c>
      <c r="B35" s="33" t="s">
        <v>227</v>
      </c>
      <c r="C35" s="31" t="s">
        <v>19</v>
      </c>
      <c r="D35" s="31"/>
      <c r="E35" s="31" t="s">
        <v>19</v>
      </c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</row>
    <row r="36">
      <c r="A36" s="33" t="s">
        <v>241</v>
      </c>
      <c r="B36" s="33" t="s">
        <v>227</v>
      </c>
      <c r="C36" s="31" t="s">
        <v>19</v>
      </c>
      <c r="D36" s="31"/>
      <c r="E36" s="31" t="s">
        <v>19</v>
      </c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</row>
    <row r="37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</row>
    <row r="38">
      <c r="A38" s="33" t="s">
        <v>242</v>
      </c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</row>
    <row r="39">
      <c r="A39" s="33" t="s">
        <v>243</v>
      </c>
      <c r="B39" s="33" t="s">
        <v>244</v>
      </c>
      <c r="C39" s="31">
        <v>5.0</v>
      </c>
      <c r="D39" s="31"/>
      <c r="E39" s="31">
        <v>8.0</v>
      </c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</row>
    <row r="40">
      <c r="A40" s="34"/>
      <c r="B40" s="34"/>
      <c r="C40" s="38"/>
      <c r="D40" s="38"/>
      <c r="E40" s="38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</row>
    <row r="41">
      <c r="A41" s="33" t="s">
        <v>245</v>
      </c>
      <c r="B41" s="34"/>
      <c r="C41" s="38"/>
      <c r="D41" s="38"/>
      <c r="E41" s="38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</row>
    <row r="42">
      <c r="A42" s="33" t="s">
        <v>246</v>
      </c>
      <c r="B42" s="33" t="s">
        <v>247</v>
      </c>
      <c r="C42" s="31">
        <v>33.0</v>
      </c>
      <c r="D42" s="31"/>
      <c r="E42" s="31">
        <v>2.0</v>
      </c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</row>
    <row r="43">
      <c r="A43" s="33" t="s">
        <v>248</v>
      </c>
      <c r="B43" s="33" t="s">
        <v>249</v>
      </c>
      <c r="C43" s="31">
        <v>1.3</v>
      </c>
      <c r="D43" s="31"/>
      <c r="E43" s="31" t="s">
        <v>19</v>
      </c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</row>
    <row r="44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</row>
    <row r="45">
      <c r="A45" s="33" t="s">
        <v>250</v>
      </c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</row>
    <row r="46">
      <c r="A46" s="33" t="s">
        <v>251</v>
      </c>
      <c r="B46" s="33" t="s">
        <v>252</v>
      </c>
      <c r="C46" s="31" t="s">
        <v>19</v>
      </c>
      <c r="D46" s="31"/>
      <c r="E46" s="31">
        <v>5.0</v>
      </c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</row>
    <row r="47">
      <c r="A47" s="33" t="s">
        <v>253</v>
      </c>
      <c r="B47" s="33" t="s">
        <v>19</v>
      </c>
      <c r="C47" s="31" t="s">
        <v>19</v>
      </c>
      <c r="D47" s="31"/>
      <c r="E47" s="31" t="s">
        <v>19</v>
      </c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</row>
    <row r="48">
      <c r="A48" s="33" t="s">
        <v>254</v>
      </c>
      <c r="B48" s="33" t="s">
        <v>255</v>
      </c>
      <c r="C48" s="31" t="s">
        <v>19</v>
      </c>
      <c r="D48" s="38"/>
      <c r="E48" s="38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</row>
    <row r="49">
      <c r="A49" s="33" t="s">
        <v>256</v>
      </c>
      <c r="B49" s="33" t="s">
        <v>257</v>
      </c>
      <c r="C49" s="31">
        <v>7.5</v>
      </c>
      <c r="D49" s="31"/>
      <c r="E49" s="31">
        <v>0.3</v>
      </c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</row>
    <row r="50">
      <c r="A50" s="33" t="s">
        <v>258</v>
      </c>
      <c r="B50" s="33" t="s">
        <v>259</v>
      </c>
      <c r="C50" s="31">
        <v>1.35</v>
      </c>
      <c r="D50" s="31"/>
      <c r="E50" s="31">
        <v>0.05</v>
      </c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</row>
    <row r="51">
      <c r="A51" s="33" t="s">
        <v>260</v>
      </c>
      <c r="B51" s="33" t="s">
        <v>261</v>
      </c>
      <c r="C51" s="31">
        <v>1.5</v>
      </c>
      <c r="D51" s="38"/>
      <c r="E51" s="38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</row>
    <row r="52">
      <c r="A52" s="33" t="s">
        <v>262</v>
      </c>
      <c r="B52" s="1" t="s">
        <v>19</v>
      </c>
      <c r="C52" s="31" t="s">
        <v>19</v>
      </c>
      <c r="D52" s="31"/>
      <c r="E52" s="31" t="s">
        <v>19</v>
      </c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</row>
    <row r="53">
      <c r="A53" s="33" t="s">
        <v>263</v>
      </c>
      <c r="B53" s="33" t="s">
        <v>264</v>
      </c>
      <c r="C53" s="31" t="s">
        <v>19</v>
      </c>
      <c r="D53" s="31"/>
      <c r="E53" s="31" t="s">
        <v>19</v>
      </c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</row>
    <row r="54">
      <c r="A54" s="33" t="s">
        <v>265</v>
      </c>
      <c r="B54" s="33" t="s">
        <v>264</v>
      </c>
      <c r="C54" s="38"/>
      <c r="D54" s="38"/>
      <c r="E54" s="38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</row>
    <row r="55">
      <c r="A55" s="33" t="s">
        <v>266</v>
      </c>
      <c r="B55" s="33" t="s">
        <v>267</v>
      </c>
      <c r="C55" s="31" t="s">
        <v>268</v>
      </c>
      <c r="D55" s="31"/>
      <c r="E55" s="31">
        <v>37.0</v>
      </c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</row>
    <row r="56">
      <c r="A56" s="33" t="s">
        <v>269</v>
      </c>
      <c r="B56" s="33" t="s">
        <v>270</v>
      </c>
      <c r="C56" s="31" t="s">
        <v>271</v>
      </c>
      <c r="D56" s="31"/>
      <c r="E56" s="31">
        <v>6.0</v>
      </c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</row>
    <row r="57">
      <c r="A57" s="33" t="s">
        <v>272</v>
      </c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</row>
    <row r="58">
      <c r="A58" s="33" t="s">
        <v>273</v>
      </c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</row>
    <row r="59">
      <c r="A59" s="33" t="s">
        <v>274</v>
      </c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</row>
    <row r="60">
      <c r="A60" s="33" t="s">
        <v>275</v>
      </c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</row>
    <row r="61">
      <c r="A61" s="33" t="s">
        <v>276</v>
      </c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</row>
    <row r="62">
      <c r="A62" s="33" t="s">
        <v>277</v>
      </c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</row>
    <row r="63">
      <c r="A63" s="33" t="s">
        <v>278</v>
      </c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</row>
    <row r="64">
      <c r="A64" s="33" t="s">
        <v>279</v>
      </c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</row>
    <row r="65">
      <c r="A65" s="33" t="s">
        <v>280</v>
      </c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</row>
    <row r="66">
      <c r="A66" s="33" t="s">
        <v>281</v>
      </c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</row>
    <row r="67">
      <c r="A67" s="33" t="s">
        <v>282</v>
      </c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</row>
    <row r="68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</row>
    <row r="69">
      <c r="A69" s="33" t="s">
        <v>283</v>
      </c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</row>
    <row r="70">
      <c r="A70" s="33" t="s">
        <v>284</v>
      </c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</row>
    <row r="71">
      <c r="A71" s="33" t="s">
        <v>285</v>
      </c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</row>
    <row r="72">
      <c r="A72" s="33" t="s">
        <v>286</v>
      </c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</row>
    <row r="73">
      <c r="A73" s="33" t="s">
        <v>287</v>
      </c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</row>
    <row r="74">
      <c r="A74" s="33" t="s">
        <v>288</v>
      </c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</row>
    <row r="75">
      <c r="A75" s="33" t="s">
        <v>289</v>
      </c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</row>
    <row r="76">
      <c r="A76" s="33" t="s">
        <v>290</v>
      </c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</row>
    <row r="77">
      <c r="A77" s="33" t="s">
        <v>291</v>
      </c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</row>
    <row r="78">
      <c r="A78" s="33" t="s">
        <v>292</v>
      </c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</row>
    <row r="79">
      <c r="A79" s="33" t="s">
        <v>293</v>
      </c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</row>
    <row r="80">
      <c r="A80" s="33" t="s">
        <v>294</v>
      </c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</row>
    <row r="81">
      <c r="A81" s="33" t="s">
        <v>295</v>
      </c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</row>
    <row r="82">
      <c r="A82" s="33" t="s">
        <v>296</v>
      </c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</row>
    <row r="83">
      <c r="A83" s="33" t="s">
        <v>297</v>
      </c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</row>
    <row r="84">
      <c r="A84" s="33" t="s">
        <v>298</v>
      </c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</row>
    <row r="85">
      <c r="A85" s="33" t="s">
        <v>299</v>
      </c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</row>
    <row r="86">
      <c r="A86" s="33" t="s">
        <v>300</v>
      </c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</row>
    <row r="87">
      <c r="A87" s="33" t="s">
        <v>301</v>
      </c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</row>
    <row r="88">
      <c r="A88" s="33" t="s">
        <v>302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</row>
    <row r="89">
      <c r="A89" s="33" t="s">
        <v>303</v>
      </c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</row>
    <row r="90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</row>
    <row r="91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</row>
    <row r="92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</row>
    <row r="93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</row>
    <row r="94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</row>
    <row r="9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</row>
    <row r="96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</row>
    <row r="97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</row>
    <row r="98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</row>
    <row r="99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</row>
    <row r="100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</row>
    <row r="101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</row>
    <row r="102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</row>
    <row r="103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</row>
    <row r="104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</row>
    <row r="10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</row>
    <row r="106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</row>
    <row r="107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</row>
    <row r="108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</row>
    <row r="109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</row>
    <row r="110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</row>
    <row r="111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</row>
    <row r="112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</row>
    <row r="113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</row>
    <row r="114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</row>
    <row r="11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</row>
    <row r="116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</row>
    <row r="117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</row>
    <row r="118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</row>
    <row r="119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</row>
    <row r="120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</row>
    <row r="121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</row>
    <row r="122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</row>
    <row r="123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</row>
    <row r="124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</row>
    <row r="12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</row>
    <row r="126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</row>
    <row r="127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</row>
    <row r="128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</row>
    <row r="129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</row>
    <row r="130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</row>
    <row r="13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</row>
    <row r="132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</row>
    <row r="133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</row>
    <row r="134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</row>
    <row r="13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</row>
    <row r="136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</row>
    <row r="137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</row>
    <row r="138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</row>
    <row r="139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</row>
    <row r="140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</row>
    <row r="14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</row>
    <row r="142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</row>
    <row r="143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</row>
    <row r="144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</row>
    <row r="14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</row>
    <row r="146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</row>
    <row r="147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</row>
    <row r="148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</row>
    <row r="149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</row>
    <row r="150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</row>
    <row r="151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</row>
    <row r="152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</row>
    <row r="153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</row>
    <row r="154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</row>
    <row r="15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</row>
    <row r="156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</row>
    <row r="157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</row>
    <row r="158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</row>
    <row r="159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</row>
    <row r="160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</row>
    <row r="16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</row>
    <row r="162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</row>
    <row r="163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</row>
    <row r="164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</row>
    <row r="16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</row>
    <row r="166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</row>
    <row r="167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</row>
    <row r="168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</row>
    <row r="169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</row>
    <row r="170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</row>
    <row r="17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</row>
    <row r="172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</row>
    <row r="173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</row>
    <row r="174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</row>
    <row r="17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</row>
    <row r="176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</row>
    <row r="177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</row>
    <row r="178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</row>
    <row r="179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</row>
    <row r="180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</row>
    <row r="18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</row>
    <row r="182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</row>
    <row r="183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</row>
    <row r="184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</row>
    <row r="18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</row>
    <row r="186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</row>
    <row r="187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</row>
    <row r="188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</row>
    <row r="189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</row>
    <row r="190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</row>
    <row r="19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</row>
    <row r="192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</row>
    <row r="193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</row>
    <row r="194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</row>
    <row r="19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</row>
    <row r="196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</row>
    <row r="197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</row>
    <row r="198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</row>
    <row r="199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</row>
    <row r="200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</row>
    <row r="20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</row>
    <row r="202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</row>
    <row r="203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</row>
    <row r="204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</row>
    <row r="20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</row>
    <row r="206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</row>
    <row r="207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</row>
    <row r="208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</row>
    <row r="209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</row>
    <row r="210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</row>
    <row r="21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</row>
    <row r="212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</row>
    <row r="213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</row>
    <row r="214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</row>
    <row r="21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</row>
    <row r="216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</row>
    <row r="217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</row>
    <row r="218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</row>
    <row r="219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</row>
    <row r="220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</row>
    <row r="22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</row>
    <row r="22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</row>
    <row r="223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</row>
    <row r="224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</row>
    <row r="22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</row>
    <row r="226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</row>
    <row r="227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</row>
    <row r="228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</row>
    <row r="229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</row>
    <row r="230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</row>
    <row r="23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</row>
    <row r="232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</row>
    <row r="233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</row>
    <row r="234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</row>
    <row r="23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</row>
    <row r="236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</row>
    <row r="237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</row>
    <row r="238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</row>
    <row r="239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</row>
    <row r="240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</row>
    <row r="24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</row>
    <row r="242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</row>
    <row r="243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</row>
    <row r="244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</row>
    <row r="24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</row>
    <row r="246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</row>
    <row r="247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</row>
    <row r="248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</row>
    <row r="249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</row>
    <row r="250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</row>
    <row r="25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</row>
    <row r="252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</row>
    <row r="253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</row>
    <row r="254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</row>
    <row r="25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</row>
    <row r="256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</row>
    <row r="257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</row>
    <row r="258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</row>
    <row r="259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</row>
    <row r="260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</row>
    <row r="26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</row>
    <row r="262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</row>
    <row r="263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</row>
    <row r="264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</row>
    <row r="26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</row>
    <row r="266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</row>
    <row r="267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</row>
    <row r="268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</row>
    <row r="269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</row>
    <row r="270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</row>
    <row r="27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</row>
    <row r="272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</row>
    <row r="273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</row>
    <row r="274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</row>
    <row r="27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</row>
    <row r="276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</row>
    <row r="277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</row>
    <row r="278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</row>
    <row r="279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</row>
    <row r="280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</row>
    <row r="28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</row>
    <row r="282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</row>
    <row r="283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</row>
    <row r="284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</row>
    <row r="28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</row>
    <row r="286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</row>
    <row r="287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</row>
    <row r="288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</row>
    <row r="289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</row>
    <row r="290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</row>
    <row r="29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</row>
    <row r="292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</row>
    <row r="293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</row>
    <row r="294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</row>
    <row r="29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</row>
    <row r="296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</row>
    <row r="297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</row>
    <row r="298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</row>
    <row r="299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</row>
    <row r="300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</row>
    <row r="30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</row>
    <row r="302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</row>
    <row r="303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</row>
    <row r="304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</row>
    <row r="30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</row>
    <row r="306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</row>
    <row r="307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</row>
    <row r="308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</row>
    <row r="309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</row>
    <row r="310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</row>
    <row r="311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</row>
    <row r="312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</row>
    <row r="313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</row>
    <row r="314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</row>
    <row r="31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</row>
    <row r="316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</row>
    <row r="317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</row>
    <row r="318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</row>
    <row r="319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</row>
    <row r="320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</row>
    <row r="321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</row>
    <row r="322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</row>
    <row r="323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</row>
    <row r="324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</row>
    <row r="32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</row>
    <row r="326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</row>
    <row r="327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</row>
    <row r="328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</row>
    <row r="329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</row>
    <row r="330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</row>
    <row r="331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</row>
    <row r="332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</row>
    <row r="333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</row>
    <row r="334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</row>
    <row r="33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</row>
    <row r="336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</row>
    <row r="337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</row>
    <row r="338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</row>
    <row r="339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</row>
    <row r="340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</row>
    <row r="341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</row>
    <row r="342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</row>
    <row r="343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</row>
    <row r="344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</row>
    <row r="34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</row>
    <row r="346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</row>
    <row r="347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</row>
    <row r="348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</row>
    <row r="349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</row>
    <row r="350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</row>
    <row r="351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</row>
    <row r="352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</row>
    <row r="353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</row>
    <row r="354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</row>
    <row r="35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</row>
    <row r="356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</row>
    <row r="357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</row>
    <row r="358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</row>
    <row r="359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</row>
    <row r="360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</row>
    <row r="361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</row>
    <row r="362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</row>
    <row r="363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</row>
    <row r="364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</row>
    <row r="36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</row>
    <row r="366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</row>
    <row r="367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</row>
    <row r="368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</row>
    <row r="369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</row>
    <row r="370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</row>
    <row r="371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</row>
    <row r="372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</row>
    <row r="373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</row>
    <row r="374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</row>
    <row r="37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</row>
    <row r="376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</row>
    <row r="377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</row>
    <row r="378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</row>
    <row r="379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</row>
    <row r="380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</row>
    <row r="381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</row>
    <row r="382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</row>
    <row r="383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</row>
    <row r="384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</row>
    <row r="38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</row>
    <row r="386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</row>
    <row r="387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</row>
    <row r="388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</row>
    <row r="389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</row>
    <row r="390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</row>
    <row r="391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</row>
    <row r="392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</row>
    <row r="393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</row>
    <row r="394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</row>
    <row r="39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</row>
    <row r="396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</row>
    <row r="397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</row>
    <row r="398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</row>
    <row r="399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</row>
    <row r="400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</row>
    <row r="401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</row>
    <row r="402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</row>
    <row r="403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</row>
    <row r="404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</row>
    <row r="40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</row>
    <row r="406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</row>
    <row r="407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</row>
    <row r="408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</row>
    <row r="409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</row>
    <row r="410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</row>
    <row r="411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</row>
    <row r="412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</row>
    <row r="413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</row>
    <row r="414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</row>
    <row r="41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</row>
    <row r="416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</row>
    <row r="417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</row>
    <row r="418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</row>
    <row r="419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</row>
    <row r="420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</row>
    <row r="421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</row>
    <row r="422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</row>
    <row r="423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</row>
    <row r="424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</row>
    <row r="42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</row>
    <row r="426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</row>
    <row r="427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</row>
    <row r="428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</row>
    <row r="429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</row>
    <row r="430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</row>
    <row r="431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</row>
    <row r="432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</row>
    <row r="433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</row>
    <row r="434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</row>
    <row r="43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</row>
    <row r="436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</row>
    <row r="437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</row>
    <row r="438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</row>
    <row r="439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</row>
    <row r="440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</row>
    <row r="441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</row>
    <row r="442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</row>
    <row r="443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</row>
    <row r="444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</row>
    <row r="44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</row>
    <row r="446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</row>
    <row r="447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</row>
    <row r="448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</row>
    <row r="449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</row>
    <row r="450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</row>
    <row r="451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</row>
    <row r="452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</row>
    <row r="453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</row>
    <row r="454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</row>
    <row r="45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</row>
    <row r="456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</row>
    <row r="457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</row>
    <row r="458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</row>
    <row r="459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</row>
    <row r="460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</row>
    <row r="461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</row>
    <row r="462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</row>
    <row r="463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</row>
    <row r="464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</row>
    <row r="46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</row>
    <row r="466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</row>
    <row r="467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</row>
    <row r="468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</row>
    <row r="469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</row>
    <row r="470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</row>
    <row r="471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</row>
    <row r="472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</row>
    <row r="473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</row>
    <row r="474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</row>
    <row r="47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</row>
    <row r="476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</row>
    <row r="477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</row>
    <row r="478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</row>
    <row r="479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</row>
    <row r="480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</row>
    <row r="481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</row>
    <row r="482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</row>
    <row r="483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</row>
    <row r="484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</row>
    <row r="48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</row>
    <row r="486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</row>
    <row r="487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</row>
    <row r="488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</row>
    <row r="489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</row>
    <row r="490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</row>
    <row r="491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</row>
    <row r="492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</row>
    <row r="493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</row>
    <row r="494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</row>
    <row r="49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</row>
    <row r="496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</row>
    <row r="497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</row>
    <row r="498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</row>
    <row r="499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</row>
    <row r="500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</row>
    <row r="501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</row>
    <row r="502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</row>
    <row r="503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</row>
    <row r="504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</row>
    <row r="50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</row>
    <row r="506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</row>
    <row r="507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</row>
    <row r="508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</row>
    <row r="509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</row>
    <row r="510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</row>
    <row r="511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</row>
    <row r="512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</row>
    <row r="513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</row>
    <row r="514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</row>
    <row r="51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</row>
    <row r="516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</row>
    <row r="517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</row>
    <row r="518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</row>
    <row r="519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</row>
    <row r="520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</row>
    <row r="521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</row>
    <row r="522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</row>
    <row r="523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</row>
    <row r="524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</row>
    <row r="52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</row>
    <row r="526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</row>
    <row r="527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</row>
    <row r="528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</row>
    <row r="529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</row>
    <row r="530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</row>
    <row r="531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</row>
    <row r="532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</row>
    <row r="533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</row>
    <row r="534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</row>
    <row r="53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</row>
    <row r="536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</row>
    <row r="537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</row>
    <row r="538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</row>
    <row r="539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</row>
    <row r="540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</row>
    <row r="541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</row>
    <row r="542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</row>
    <row r="543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</row>
    <row r="544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</row>
    <row r="54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</row>
    <row r="546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</row>
    <row r="547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</row>
    <row r="548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</row>
    <row r="549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</row>
    <row r="550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</row>
    <row r="551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</row>
    <row r="552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</row>
    <row r="553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</row>
    <row r="554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</row>
    <row r="55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</row>
    <row r="556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</row>
    <row r="557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</row>
    <row r="558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</row>
    <row r="559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</row>
    <row r="560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</row>
    <row r="561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</row>
    <row r="562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</row>
    <row r="563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</row>
    <row r="564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</row>
    <row r="56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</row>
    <row r="566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</row>
    <row r="567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</row>
    <row r="568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</row>
    <row r="569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</row>
    <row r="570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</row>
    <row r="571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</row>
    <row r="572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</row>
    <row r="573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</row>
    <row r="574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</row>
    <row r="57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</row>
    <row r="576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</row>
    <row r="577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</row>
    <row r="578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</row>
    <row r="579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</row>
    <row r="580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</row>
    <row r="581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</row>
    <row r="582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</row>
    <row r="583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</row>
    <row r="584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</row>
    <row r="58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</row>
    <row r="586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</row>
    <row r="587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</row>
    <row r="588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</row>
    <row r="589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</row>
    <row r="590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</row>
    <row r="591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</row>
    <row r="592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</row>
    <row r="593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</row>
    <row r="594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</row>
    <row r="59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</row>
    <row r="596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</row>
    <row r="597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</row>
    <row r="598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</row>
    <row r="599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</row>
    <row r="600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</row>
    <row r="601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</row>
    <row r="602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</row>
    <row r="603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</row>
    <row r="604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</row>
    <row r="60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</row>
    <row r="606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</row>
    <row r="607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</row>
    <row r="608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</row>
    <row r="609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</row>
    <row r="610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</row>
    <row r="611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</row>
    <row r="612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</row>
    <row r="613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</row>
    <row r="614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</row>
    <row r="61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</row>
    <row r="616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</row>
    <row r="617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</row>
    <row r="618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</row>
    <row r="619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</row>
    <row r="620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</row>
    <row r="621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</row>
    <row r="622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</row>
    <row r="623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</row>
    <row r="624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</row>
    <row r="62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</row>
    <row r="626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</row>
    <row r="627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</row>
    <row r="628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</row>
    <row r="629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</row>
    <row r="630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</row>
    <row r="631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</row>
    <row r="632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</row>
    <row r="633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</row>
    <row r="634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</row>
    <row r="63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</row>
    <row r="636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</row>
    <row r="637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</row>
    <row r="638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</row>
    <row r="639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</row>
    <row r="640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</row>
    <row r="641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</row>
    <row r="642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</row>
    <row r="643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</row>
    <row r="644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</row>
    <row r="64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</row>
    <row r="646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</row>
    <row r="647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</row>
    <row r="648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</row>
    <row r="649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</row>
    <row r="650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</row>
    <row r="651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</row>
    <row r="652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</row>
    <row r="653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</row>
    <row r="654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</row>
    <row r="65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</row>
    <row r="656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</row>
    <row r="657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</row>
    <row r="658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</row>
    <row r="659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</row>
    <row r="660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</row>
    <row r="661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</row>
    <row r="662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</row>
    <row r="663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</row>
    <row r="664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</row>
    <row r="66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</row>
    <row r="666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</row>
    <row r="667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</row>
    <row r="668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</row>
    <row r="669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</row>
    <row r="670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</row>
    <row r="671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</row>
    <row r="672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</row>
    <row r="673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</row>
    <row r="674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</row>
    <row r="67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</row>
    <row r="676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</row>
    <row r="677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</row>
    <row r="678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</row>
    <row r="679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</row>
    <row r="680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</row>
    <row r="681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</row>
    <row r="682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</row>
    <row r="683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</row>
    <row r="684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</row>
    <row r="68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</row>
    <row r="686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</row>
    <row r="687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</row>
    <row r="688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</row>
    <row r="689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</row>
    <row r="690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</row>
    <row r="691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</row>
    <row r="692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</row>
    <row r="693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</row>
    <row r="694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</row>
    <row r="69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</row>
    <row r="696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</row>
    <row r="697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</row>
    <row r="698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</row>
    <row r="699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</row>
    <row r="700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</row>
    <row r="701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</row>
    <row r="702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</row>
    <row r="703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</row>
    <row r="704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</row>
    <row r="70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</row>
    <row r="706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</row>
    <row r="707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</row>
    <row r="708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</row>
    <row r="709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</row>
    <row r="710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</row>
    <row r="711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</row>
    <row r="712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</row>
    <row r="713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</row>
    <row r="714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</row>
    <row r="71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</row>
    <row r="716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</row>
    <row r="717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</row>
    <row r="718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</row>
    <row r="719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</row>
    <row r="720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</row>
    <row r="721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</row>
    <row r="722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</row>
    <row r="723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</row>
    <row r="724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</row>
    <row r="72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</row>
    <row r="726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</row>
    <row r="727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</row>
    <row r="728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</row>
    <row r="729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</row>
    <row r="730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</row>
    <row r="731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</row>
    <row r="732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</row>
    <row r="733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</row>
    <row r="734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</row>
    <row r="73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</row>
    <row r="736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</row>
    <row r="737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</row>
    <row r="738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</row>
    <row r="739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</row>
    <row r="740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</row>
    <row r="741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</row>
    <row r="742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</row>
    <row r="743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</row>
    <row r="744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</row>
    <row r="74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</row>
    <row r="746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</row>
    <row r="747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</row>
    <row r="748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</row>
    <row r="749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</row>
    <row r="750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</row>
    <row r="751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</row>
    <row r="752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</row>
    <row r="753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</row>
    <row r="754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</row>
    <row r="75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</row>
    <row r="756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</row>
    <row r="757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</row>
    <row r="758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</row>
    <row r="759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</row>
    <row r="760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</row>
    <row r="761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</row>
    <row r="762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</row>
    <row r="763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</row>
    <row r="764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</row>
    <row r="76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</row>
    <row r="766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</row>
    <row r="767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</row>
    <row r="768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</row>
    <row r="769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</row>
    <row r="770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</row>
    <row r="771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</row>
    <row r="772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</row>
    <row r="773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</row>
    <row r="774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</row>
    <row r="77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</row>
    <row r="776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</row>
    <row r="777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</row>
    <row r="778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</row>
    <row r="779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</row>
    <row r="780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</row>
    <row r="781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</row>
    <row r="782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</row>
    <row r="783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</row>
    <row r="784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</row>
    <row r="78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</row>
    <row r="786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</row>
    <row r="787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</row>
    <row r="788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</row>
    <row r="789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</row>
    <row r="790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</row>
    <row r="791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</row>
    <row r="792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</row>
    <row r="793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</row>
    <row r="794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</row>
    <row r="79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</row>
    <row r="796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</row>
    <row r="797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</row>
    <row r="798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</row>
    <row r="799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</row>
    <row r="800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</row>
    <row r="801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</row>
    <row r="802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</row>
    <row r="803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</row>
    <row r="804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</row>
    <row r="80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</row>
    <row r="806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</row>
    <row r="807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</row>
    <row r="808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</row>
    <row r="809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</row>
    <row r="810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</row>
    <row r="811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</row>
    <row r="812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</row>
    <row r="813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</row>
    <row r="814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</row>
    <row r="815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</row>
    <row r="816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</row>
    <row r="817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</row>
    <row r="818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</row>
    <row r="819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</row>
    <row r="820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</row>
    <row r="821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</row>
    <row r="822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</row>
    <row r="823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</row>
    <row r="824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</row>
    <row r="825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</row>
    <row r="826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</row>
    <row r="827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</row>
    <row r="828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</row>
    <row r="829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</row>
    <row r="830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</row>
    <row r="831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</row>
    <row r="832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</row>
    <row r="833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</row>
    <row r="834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</row>
    <row r="835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</row>
    <row r="836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</row>
    <row r="837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</row>
    <row r="838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</row>
    <row r="839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</row>
    <row r="840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</row>
    <row r="841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</row>
    <row r="842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</row>
    <row r="843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</row>
    <row r="844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</row>
    <row r="845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</row>
    <row r="846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</row>
    <row r="847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</row>
    <row r="848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</row>
    <row r="849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</row>
    <row r="850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</row>
    <row r="851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</row>
    <row r="852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</row>
    <row r="853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</row>
    <row r="854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</row>
    <row r="855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</row>
    <row r="856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</row>
    <row r="857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</row>
    <row r="858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</row>
    <row r="859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</row>
    <row r="860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</row>
    <row r="861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</row>
    <row r="862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</row>
    <row r="863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</row>
    <row r="864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</row>
    <row r="865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</row>
    <row r="866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</row>
    <row r="867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</row>
    <row r="868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</row>
    <row r="869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</row>
    <row r="870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</row>
    <row r="871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</row>
    <row r="872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</row>
    <row r="873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</row>
    <row r="874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</row>
    <row r="875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</row>
    <row r="876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</row>
    <row r="877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</row>
    <row r="878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</row>
    <row r="879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</row>
    <row r="880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</row>
    <row r="881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</row>
    <row r="882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</row>
    <row r="883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</row>
    <row r="884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</row>
    <row r="885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</row>
    <row r="886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</row>
    <row r="887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</row>
    <row r="888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</row>
    <row r="889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</row>
    <row r="890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</row>
    <row r="891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</row>
    <row r="892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</row>
    <row r="893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</row>
    <row r="894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</row>
    <row r="895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</row>
    <row r="896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</row>
    <row r="897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</row>
    <row r="898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</row>
    <row r="899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</row>
    <row r="900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</row>
    <row r="901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</row>
    <row r="902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</row>
    <row r="903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</row>
    <row r="904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</row>
    <row r="905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</row>
    <row r="906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</row>
    <row r="907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</row>
    <row r="908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</row>
    <row r="909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</row>
    <row r="910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</row>
    <row r="911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</row>
    <row r="912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</row>
    <row r="913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</row>
    <row r="914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</row>
    <row r="915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</row>
    <row r="916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</row>
    <row r="917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</row>
    <row r="918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</row>
    <row r="919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</row>
    <row r="920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</row>
    <row r="921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</row>
    <row r="922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</row>
    <row r="923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</row>
    <row r="924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</row>
    <row r="925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</row>
    <row r="926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</row>
    <row r="927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</row>
    <row r="928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</row>
    <row r="929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</row>
    <row r="930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</row>
    <row r="931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</row>
    <row r="932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</row>
    <row r="933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</row>
    <row r="934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</row>
    <row r="935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</row>
    <row r="936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</row>
    <row r="937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</row>
    <row r="938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</row>
    <row r="939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</row>
    <row r="940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</row>
    <row r="941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</row>
    <row r="942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</row>
    <row r="943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</row>
    <row r="944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</row>
    <row r="945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</row>
    <row r="946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</row>
    <row r="947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4"/>
    </row>
    <row r="948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</row>
    <row r="949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</row>
    <row r="950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</row>
    <row r="951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</row>
    <row r="952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</row>
    <row r="953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</row>
    <row r="954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</row>
    <row r="955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</row>
    <row r="956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</row>
    <row r="957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</row>
    <row r="958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</row>
    <row r="959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</row>
    <row r="960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</row>
    <row r="961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</row>
    <row r="962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</row>
    <row r="963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</row>
    <row r="964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</row>
    <row r="965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</row>
    <row r="966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</row>
    <row r="967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</row>
    <row r="968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</row>
    <row r="969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</row>
    <row r="970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</row>
    <row r="971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</row>
    <row r="972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</row>
    <row r="973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</row>
    <row r="974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4"/>
    </row>
    <row r="975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4"/>
    </row>
    <row r="976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</row>
    <row r="977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</row>
    <row r="978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</row>
    <row r="979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34"/>
    </row>
    <row r="980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34"/>
    </row>
    <row r="981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  <c r="AA981" s="34"/>
    </row>
    <row r="982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  <c r="AA982" s="34"/>
    </row>
    <row r="983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  <c r="AA983" s="34"/>
    </row>
    <row r="984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  <c r="AA984" s="34"/>
    </row>
    <row r="985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  <c r="AA985" s="34"/>
    </row>
    <row r="986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  <c r="AA986" s="34"/>
    </row>
    <row r="987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  <c r="AA987" s="34"/>
    </row>
    <row r="988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  <c r="AA988" s="34"/>
    </row>
    <row r="989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  <c r="AA989" s="34"/>
    </row>
    <row r="990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  <c r="AA990" s="34"/>
    </row>
    <row r="991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  <c r="AA991" s="34"/>
    </row>
    <row r="992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  <c r="AA992" s="34"/>
    </row>
    <row r="993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  <c r="AA993" s="34"/>
    </row>
    <row r="994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  <c r="AA994" s="34"/>
    </row>
    <row r="995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  <c r="AA995" s="34"/>
    </row>
    <row r="996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  <c r="AA996" s="34"/>
    </row>
    <row r="997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  <c r="AA997" s="34"/>
    </row>
    <row r="998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  <c r="AA998" s="34"/>
    </row>
    <row r="999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  <c r="AA999" s="34"/>
    </row>
    <row r="1000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  <c r="AA1000" s="34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7" max="7" width="16.5"/>
    <col customWidth="1" min="14" max="14" width="6.5"/>
    <col customWidth="1" min="15" max="15" width="16.5"/>
    <col customWidth="1" min="22" max="22" width="1.88"/>
    <col customWidth="1" min="23" max="23" width="16.5"/>
  </cols>
  <sheetData>
    <row r="1">
      <c r="A1" s="1"/>
      <c r="B1" s="2"/>
      <c r="C1" s="1"/>
      <c r="H1" s="23" t="s">
        <v>304</v>
      </c>
      <c r="I1" s="7"/>
      <c r="J1" s="7"/>
      <c r="K1" s="7"/>
      <c r="L1" s="7"/>
      <c r="M1" s="8"/>
    </row>
    <row r="2">
      <c r="A2" s="1" t="s">
        <v>4</v>
      </c>
      <c r="B2" s="2">
        <v>0.1</v>
      </c>
      <c r="C2" s="1" t="s">
        <v>5</v>
      </c>
      <c r="H2" s="24">
        <v>2025.0</v>
      </c>
      <c r="I2" s="24">
        <v>2026.0</v>
      </c>
      <c r="J2" s="24">
        <v>2027.0</v>
      </c>
      <c r="K2" s="24">
        <v>2028.0</v>
      </c>
      <c r="L2" s="24">
        <v>2029.0</v>
      </c>
      <c r="M2" s="24">
        <v>2030.0</v>
      </c>
    </row>
    <row r="3">
      <c r="A3" s="1" t="s">
        <v>8</v>
      </c>
      <c r="B3" s="2">
        <v>15.0</v>
      </c>
      <c r="C3" s="1" t="s">
        <v>5</v>
      </c>
      <c r="G3" s="39" t="s">
        <v>305</v>
      </c>
      <c r="H3" s="40">
        <v>1252184.659</v>
      </c>
      <c r="I3" s="40">
        <v>1242492.403</v>
      </c>
      <c r="J3" s="40">
        <v>1239475.497</v>
      </c>
      <c r="K3" s="40">
        <v>1238880.071</v>
      </c>
      <c r="L3" s="40">
        <v>1238802.736</v>
      </c>
      <c r="M3" s="40">
        <v>1238796.014</v>
      </c>
    </row>
    <row r="4">
      <c r="A4" s="1" t="s">
        <v>11</v>
      </c>
      <c r="B4" s="2">
        <v>7.38</v>
      </c>
      <c r="C4" s="1" t="s">
        <v>5</v>
      </c>
      <c r="G4" s="39" t="s">
        <v>306</v>
      </c>
      <c r="H4" s="40">
        <v>1519019.851</v>
      </c>
      <c r="I4" s="40">
        <v>1519730.033</v>
      </c>
      <c r="J4" s="40">
        <v>1519924.657</v>
      </c>
      <c r="K4" s="40">
        <v>1519972.28</v>
      </c>
      <c r="L4" s="40">
        <v>1519982.635</v>
      </c>
      <c r="M4" s="40">
        <v>1519984.615</v>
      </c>
    </row>
    <row r="5">
      <c r="A5" s="1" t="s">
        <v>18</v>
      </c>
      <c r="B5" s="2">
        <v>4.0</v>
      </c>
      <c r="C5" s="4" t="s">
        <v>19</v>
      </c>
      <c r="G5" s="39" t="s">
        <v>307</v>
      </c>
      <c r="H5" s="40">
        <v>1.334097468E7</v>
      </c>
      <c r="I5" s="40">
        <v>1.33178944E7</v>
      </c>
      <c r="J5" s="40">
        <v>1.331761809E7</v>
      </c>
      <c r="K5" s="40">
        <v>1.331951881E7</v>
      </c>
      <c r="L5" s="40">
        <v>1.331937618E7</v>
      </c>
      <c r="M5" s="40">
        <v>1.331868339E7</v>
      </c>
    </row>
    <row r="6">
      <c r="A6" s="1" t="s">
        <v>27</v>
      </c>
      <c r="B6" s="2">
        <v>44.01</v>
      </c>
      <c r="C6" s="1" t="s">
        <v>28</v>
      </c>
      <c r="G6" s="39" t="s">
        <v>308</v>
      </c>
      <c r="H6" s="40">
        <v>2074743.226</v>
      </c>
      <c r="I6" s="40">
        <v>1921092.989</v>
      </c>
      <c r="J6" s="40">
        <v>1776351.196</v>
      </c>
      <c r="K6" s="40">
        <v>1657053.206</v>
      </c>
      <c r="L6" s="40">
        <v>1569027.716</v>
      </c>
      <c r="M6" s="40">
        <v>1510201.067</v>
      </c>
    </row>
    <row r="7">
      <c r="A7" s="1" t="s">
        <v>36</v>
      </c>
      <c r="B7" s="2">
        <v>8.314</v>
      </c>
      <c r="C7" s="1" t="s">
        <v>37</v>
      </c>
      <c r="G7" s="39" t="s">
        <v>309</v>
      </c>
      <c r="H7" s="40">
        <v>1.806026072E7</v>
      </c>
      <c r="I7" s="40">
        <v>1.775677236E7</v>
      </c>
      <c r="J7" s="40">
        <v>1.75406337E7</v>
      </c>
      <c r="K7" s="40">
        <v>1.744846867E7</v>
      </c>
      <c r="L7" s="40">
        <v>1.742302375E7</v>
      </c>
      <c r="M7" s="40">
        <v>1.741834003E7</v>
      </c>
    </row>
    <row r="8">
      <c r="A8" s="1" t="s">
        <v>44</v>
      </c>
      <c r="B8" s="2">
        <v>313.15</v>
      </c>
      <c r="C8" s="1" t="s">
        <v>45</v>
      </c>
      <c r="G8" s="39" t="s">
        <v>310</v>
      </c>
      <c r="H8" s="40">
        <v>9801580.517</v>
      </c>
      <c r="I8" s="40">
        <v>9772826.204</v>
      </c>
      <c r="J8" s="40">
        <v>9788235.121</v>
      </c>
      <c r="K8" s="40">
        <v>9823698.5</v>
      </c>
      <c r="L8" s="40">
        <v>9856964.277</v>
      </c>
      <c r="M8" s="40">
        <v>9878515.706</v>
      </c>
    </row>
    <row r="9">
      <c r="A9" s="1" t="s">
        <v>47</v>
      </c>
      <c r="B9" s="2">
        <v>0.82</v>
      </c>
      <c r="C9" s="4" t="s">
        <v>19</v>
      </c>
    </row>
    <row r="10">
      <c r="A10" s="1" t="s">
        <v>50</v>
      </c>
      <c r="B10" s="2">
        <v>25000.0</v>
      </c>
      <c r="H10" s="23" t="s">
        <v>311</v>
      </c>
      <c r="I10" s="7"/>
      <c r="J10" s="7"/>
      <c r="K10" s="7"/>
      <c r="L10" s="7"/>
      <c r="M10" s="8"/>
    </row>
    <row r="11">
      <c r="A11" s="1" t="s">
        <v>51</v>
      </c>
      <c r="B11" s="2">
        <v>630.0</v>
      </c>
      <c r="H11" s="24">
        <v>2025.0</v>
      </c>
      <c r="I11" s="24">
        <v>2026.0</v>
      </c>
      <c r="J11" s="24">
        <v>2027.0</v>
      </c>
      <c r="K11" s="24">
        <v>2028.0</v>
      </c>
      <c r="L11" s="24">
        <v>2029.0</v>
      </c>
      <c r="M11" s="24">
        <v>2030.0</v>
      </c>
    </row>
    <row r="12">
      <c r="A12" s="1" t="s">
        <v>52</v>
      </c>
      <c r="B12" s="2">
        <v>0.75</v>
      </c>
      <c r="E12" s="1">
        <v>356.0</v>
      </c>
      <c r="G12" s="39" t="s">
        <v>312</v>
      </c>
      <c r="H12" s="27">
        <v>1.320980197941484</v>
      </c>
      <c r="I12" s="27">
        <v>1.300378776602809</v>
      </c>
      <c r="J12" s="27">
        <v>1.280098645895011</v>
      </c>
      <c r="K12" s="27">
        <v>1.260134795111898</v>
      </c>
      <c r="L12" s="27">
        <v>1.240482291692028</v>
      </c>
      <c r="M12" s="27">
        <v>1.22113628</v>
      </c>
    </row>
    <row r="13">
      <c r="G13" s="39" t="s">
        <v>313</v>
      </c>
      <c r="H13" s="27">
        <v>1.554675873546904</v>
      </c>
      <c r="I13" s="27">
        <v>1.530429838090867</v>
      </c>
      <c r="J13" s="27">
        <v>1.506561933051167</v>
      </c>
      <c r="K13" s="27">
        <v>1.483066261273526</v>
      </c>
      <c r="L13" s="27">
        <v>1.459937017573066</v>
      </c>
      <c r="M13" s="27">
        <v>1.4371684873</v>
      </c>
    </row>
    <row r="14">
      <c r="A14" s="1" t="s">
        <v>54</v>
      </c>
      <c r="G14" s="39" t="s">
        <v>314</v>
      </c>
      <c r="H14" s="27">
        <v>13.30267878641728</v>
      </c>
      <c r="I14" s="27">
        <v>13.09521610753753</v>
      </c>
      <c r="J14" s="27">
        <v>12.89098892459202</v>
      </c>
      <c r="K14" s="27">
        <v>12.68994677822104</v>
      </c>
      <c r="L14" s="27">
        <v>12.49203999600667</v>
      </c>
      <c r="M14" s="27">
        <v>12.2972196802</v>
      </c>
    </row>
    <row r="15">
      <c r="A15" s="1" t="s">
        <v>58</v>
      </c>
      <c r="B15" s="10">
        <f>(B4/B2)^(1/B5)</f>
        <v>2.930988338</v>
      </c>
      <c r="G15" s="39" t="s">
        <v>315</v>
      </c>
      <c r="H15" s="27">
        <v>2.248367591513654</v>
      </c>
      <c r="I15" s="27">
        <v>2.213303047662674</v>
      </c>
      <c r="J15" s="27">
        <v>2.178785354887166</v>
      </c>
      <c r="K15" s="27">
        <v>2.144805984740276</v>
      </c>
      <c r="L15" s="27">
        <v>2.111356541781023</v>
      </c>
      <c r="M15" s="27">
        <v>2.0784287615</v>
      </c>
    </row>
    <row r="16">
      <c r="A16" s="1"/>
      <c r="G16" s="39" t="s">
        <v>316</v>
      </c>
      <c r="H16" s="27">
        <v>23.26429764301862</v>
      </c>
      <c r="I16" s="27">
        <v>22.90147797423096</v>
      </c>
      <c r="J16" s="27">
        <v>22.54431668009442</v>
      </c>
      <c r="K16" s="27">
        <v>22.19272551510731</v>
      </c>
      <c r="L16" s="27">
        <v>21.84661761000565</v>
      </c>
      <c r="M16" s="27">
        <v>21.5059074503</v>
      </c>
    </row>
    <row r="17">
      <c r="B17" s="1" t="s">
        <v>61</v>
      </c>
      <c r="C17" s="5">
        <f>(1000/(24*3600))*($B$10*C18*$B$7*$B$8/($B$6*$B$9))*(C19/(C19-1))*($B$15^(((C19-1)/C19))-1)</f>
        <v>25123.83279</v>
      </c>
      <c r="D17" s="12">
        <f>((22.26+((5.981*10^-2)*$E$12)+((-3.501*10^-5)*$E$12^2)+((7.469*10^-9)*$E$12^3))/44.01)/D18</f>
        <v>1.267002209</v>
      </c>
      <c r="G17" s="39" t="s">
        <v>317</v>
      </c>
      <c r="H17" s="27">
        <v>8.801083716781038</v>
      </c>
      <c r="I17" s="27">
        <v>8.663825918239539</v>
      </c>
      <c r="J17" s="27">
        <v>8.528708731452992</v>
      </c>
      <c r="K17" s="27">
        <v>8.395698772389787</v>
      </c>
      <c r="L17" s="27">
        <v>8.26476317766086</v>
      </c>
      <c r="M17" s="27">
        <v>8.1358695964</v>
      </c>
    </row>
    <row r="18">
      <c r="B18" s="1" t="s">
        <v>63</v>
      </c>
      <c r="C18" s="1">
        <v>0.995</v>
      </c>
      <c r="D18" s="13">
        <f>((22.26+((5.981*10^-2)*$E$12)+((-3.501*10^-5)*$E$12^2)+((7.469*10^-9)*$E$12^3))/44.01)-(8.314/44.01)</f>
        <v>0.7075282686</v>
      </c>
    </row>
    <row r="19">
      <c r="A19" s="14">
        <v>1.277</v>
      </c>
      <c r="B19" s="1" t="s">
        <v>64</v>
      </c>
      <c r="C19" s="15">
        <f>D17/C18</f>
        <v>1.273369055</v>
      </c>
      <c r="D19" s="12">
        <f>D17/C18</f>
        <v>1.273369055</v>
      </c>
      <c r="H19" s="23" t="s">
        <v>318</v>
      </c>
      <c r="I19" s="7"/>
      <c r="J19" s="7"/>
      <c r="K19" s="7"/>
      <c r="L19" s="7"/>
      <c r="M19" s="8"/>
    </row>
    <row r="20">
      <c r="H20" s="24">
        <v>2025.0</v>
      </c>
      <c r="I20" s="24">
        <v>2026.0</v>
      </c>
      <c r="J20" s="24">
        <v>2027.0</v>
      </c>
      <c r="K20" s="24">
        <v>2028.0</v>
      </c>
      <c r="L20" s="24">
        <v>2029.0</v>
      </c>
      <c r="M20" s="24">
        <v>2030.0</v>
      </c>
    </row>
    <row r="21">
      <c r="B21" s="1" t="s">
        <v>65</v>
      </c>
      <c r="C21" s="5">
        <f>(1000/(24*3600))*($B$10*C22*$B$7*$B$8/($B$6*$B$9))*(C23/(C23-1))*($B$15^(((C23-1)/C23))-1)</f>
        <v>24995.5809</v>
      </c>
      <c r="D21" s="12">
        <f>((22.26+((5.981*10^-2)*$E$12)+((-3.501*10^-5)*$E$12^2)+((7.469*10^-9)*$E$12^3))/44.01)/D22</f>
        <v>1.267002209</v>
      </c>
      <c r="G21" s="39" t="s">
        <v>312</v>
      </c>
      <c r="H21" s="26">
        <f t="shared" ref="H21:M21" si="1">H12*10^6</f>
        <v>1320980.198</v>
      </c>
      <c r="I21" s="26">
        <f t="shared" si="1"/>
        <v>1300378.777</v>
      </c>
      <c r="J21" s="26">
        <f t="shared" si="1"/>
        <v>1280098.646</v>
      </c>
      <c r="K21" s="26">
        <f t="shared" si="1"/>
        <v>1260134.795</v>
      </c>
      <c r="L21" s="26">
        <f t="shared" si="1"/>
        <v>1240482.292</v>
      </c>
      <c r="M21" s="26">
        <f t="shared" si="1"/>
        <v>1221136.28</v>
      </c>
    </row>
    <row r="22">
      <c r="B22" s="1" t="s">
        <v>63</v>
      </c>
      <c r="C22" s="1">
        <v>0.986</v>
      </c>
      <c r="D22" s="13">
        <f>((22.26+((5.981*10^-2)*$E$12)+((-3.501*10^-5)*$E$12^2)+((7.469*10^-9)*$E$12^3))/44.01)-(8.314/44.01)</f>
        <v>0.7075282686</v>
      </c>
      <c r="G22" s="39" t="s">
        <v>313</v>
      </c>
      <c r="H22" s="26">
        <f t="shared" ref="H22:M22" si="2">H13*10^6</f>
        <v>1554675.874</v>
      </c>
      <c r="I22" s="26">
        <f t="shared" si="2"/>
        <v>1530429.838</v>
      </c>
      <c r="J22" s="26">
        <f t="shared" si="2"/>
        <v>1506561.933</v>
      </c>
      <c r="K22" s="26">
        <f t="shared" si="2"/>
        <v>1483066.261</v>
      </c>
      <c r="L22" s="26">
        <f t="shared" si="2"/>
        <v>1459937.018</v>
      </c>
      <c r="M22" s="26">
        <f t="shared" si="2"/>
        <v>1437168.487</v>
      </c>
    </row>
    <row r="23">
      <c r="A23" s="14">
        <v>1.286</v>
      </c>
      <c r="B23" s="1" t="s">
        <v>64</v>
      </c>
      <c r="C23" s="15">
        <f>D21/C22</f>
        <v>1.284992099</v>
      </c>
      <c r="D23" s="12">
        <f>D21/C22</f>
        <v>1.284992099</v>
      </c>
      <c r="G23" s="39" t="s">
        <v>314</v>
      </c>
      <c r="H23" s="26">
        <f t="shared" ref="H23:M23" si="3">H14*10^6</f>
        <v>13302678.79</v>
      </c>
      <c r="I23" s="26">
        <f t="shared" si="3"/>
        <v>13095216.11</v>
      </c>
      <c r="J23" s="26">
        <f t="shared" si="3"/>
        <v>12890988.92</v>
      </c>
      <c r="K23" s="26">
        <f t="shared" si="3"/>
        <v>12689946.78</v>
      </c>
      <c r="L23" s="26">
        <f t="shared" si="3"/>
        <v>12492040</v>
      </c>
      <c r="M23" s="26">
        <f t="shared" si="3"/>
        <v>12297219.68</v>
      </c>
    </row>
    <row r="24">
      <c r="G24" s="39" t="s">
        <v>315</v>
      </c>
      <c r="H24" s="26">
        <f t="shared" ref="H24:M24" si="4">H15*10^6</f>
        <v>2248367.592</v>
      </c>
      <c r="I24" s="26">
        <f t="shared" si="4"/>
        <v>2213303.048</v>
      </c>
      <c r="J24" s="26">
        <f t="shared" si="4"/>
        <v>2178785.355</v>
      </c>
      <c r="K24" s="26">
        <f t="shared" si="4"/>
        <v>2144805.985</v>
      </c>
      <c r="L24" s="26">
        <f t="shared" si="4"/>
        <v>2111356.542</v>
      </c>
      <c r="M24" s="26">
        <f t="shared" si="4"/>
        <v>2078428.762</v>
      </c>
    </row>
    <row r="25">
      <c r="B25" s="1" t="s">
        <v>68</v>
      </c>
      <c r="C25" s="5">
        <f>(1000/(24*3600))*($B$10*C26*$B$7*$B$8/($B$6*$B$9))*(C27/(C27-1))*($B$15^(((C27-1)/C27))-1)</f>
        <v>24603.00052</v>
      </c>
      <c r="D25" s="12">
        <f>((22.26+((5.981*10^-2)*$E$12)+((-3.501*10^-5)*$E$12^2)+((7.469*10^-9)*$E$12^3))/44.01)/D26</f>
        <v>1.267002209</v>
      </c>
      <c r="G25" s="39" t="s">
        <v>316</v>
      </c>
      <c r="H25" s="26">
        <f t="shared" ref="H25:M25" si="5">H16*10^6</f>
        <v>23264297.64</v>
      </c>
      <c r="I25" s="26">
        <f t="shared" si="5"/>
        <v>22901477.97</v>
      </c>
      <c r="J25" s="26">
        <f t="shared" si="5"/>
        <v>22544316.68</v>
      </c>
      <c r="K25" s="26">
        <f t="shared" si="5"/>
        <v>22192725.52</v>
      </c>
      <c r="L25" s="26">
        <f t="shared" si="5"/>
        <v>21846617.61</v>
      </c>
      <c r="M25" s="26">
        <f t="shared" si="5"/>
        <v>21505907.45</v>
      </c>
    </row>
    <row r="26">
      <c r="B26" s="1" t="s">
        <v>63</v>
      </c>
      <c r="C26" s="1">
        <v>0.959</v>
      </c>
      <c r="D26" s="13">
        <f>((22.26+((5.981*10^-2)*$E$12)+((-3.501*10^-5)*$E$12^2)+((7.469*10^-9)*$E$12^3))/44.01)-(8.314/44.01)</f>
        <v>0.7075282686</v>
      </c>
      <c r="G26" s="39" t="s">
        <v>317</v>
      </c>
      <c r="H26" s="26">
        <f t="shared" ref="H26:M26" si="6">H17*10^6</f>
        <v>8801083.717</v>
      </c>
      <c r="I26" s="26">
        <f t="shared" si="6"/>
        <v>8663825.918</v>
      </c>
      <c r="J26" s="26">
        <f t="shared" si="6"/>
        <v>8528708.731</v>
      </c>
      <c r="K26" s="26">
        <f t="shared" si="6"/>
        <v>8395698.772</v>
      </c>
      <c r="L26" s="26">
        <f t="shared" si="6"/>
        <v>8264763.178</v>
      </c>
      <c r="M26" s="26">
        <f t="shared" si="6"/>
        <v>8135869.596</v>
      </c>
    </row>
    <row r="27">
      <c r="A27" s="14">
        <v>1.379</v>
      </c>
      <c r="B27" s="1" t="s">
        <v>64</v>
      </c>
      <c r="C27" s="15">
        <f>D25/C26</f>
        <v>1.321170187</v>
      </c>
      <c r="D27" s="12">
        <f>D25/C26</f>
        <v>1.321170187</v>
      </c>
    </row>
    <row r="28">
      <c r="H28" s="41" t="s">
        <v>319</v>
      </c>
      <c r="I28" s="7"/>
      <c r="J28" s="7"/>
      <c r="K28" s="7"/>
      <c r="L28" s="7"/>
      <c r="M28" s="8"/>
    </row>
    <row r="29">
      <c r="B29" s="1" t="s">
        <v>69</v>
      </c>
      <c r="C29" s="5">
        <f>(1000/(24*3600))*($B$10*C30*$B$7*$B$8/($B$6*$B$9))*(C31/(C31-1))*($B$15^(((C31-1)/C31))-1)</f>
        <v>23303.64974</v>
      </c>
      <c r="D29" s="12">
        <f>((22.26+((5.981*10^-2)*$E$12)+((-3.501*10^-5)*$E$12^2)+((7.469*10^-9)*$E$12^3))/44.01)/D30</f>
        <v>1.267002209</v>
      </c>
      <c r="H29" s="24">
        <v>2025.0</v>
      </c>
      <c r="I29" s="24">
        <v>2026.0</v>
      </c>
      <c r="J29" s="24">
        <v>2027.0</v>
      </c>
      <c r="K29" s="24">
        <v>2028.0</v>
      </c>
      <c r="L29" s="24">
        <v>2029.0</v>
      </c>
      <c r="M29" s="24">
        <v>2030.0</v>
      </c>
    </row>
    <row r="30">
      <c r="B30" s="1" t="s">
        <v>63</v>
      </c>
      <c r="C30" s="1">
        <v>0.875</v>
      </c>
      <c r="D30" s="13">
        <f>((22.26+((5.981*10^-2)*$E$12)+((-3.501*10^-5)*$E$12^2)+((7.469*10^-9)*$E$12^3))/44.01)-(8.314/44.01)</f>
        <v>0.7075282686</v>
      </c>
      <c r="G30" s="39" t="s">
        <v>305</v>
      </c>
      <c r="H30" s="26">
        <f t="shared" ref="H30:M30" si="7">H3*0.76</f>
        <v>951660.3408</v>
      </c>
      <c r="I30" s="26">
        <f t="shared" si="7"/>
        <v>944294.2263</v>
      </c>
      <c r="J30" s="26">
        <f t="shared" si="7"/>
        <v>942001.3777</v>
      </c>
      <c r="K30" s="26">
        <f t="shared" si="7"/>
        <v>941548.854</v>
      </c>
      <c r="L30" s="26">
        <f t="shared" si="7"/>
        <v>941490.0794</v>
      </c>
      <c r="M30" s="26">
        <f t="shared" si="7"/>
        <v>941484.9706</v>
      </c>
    </row>
    <row r="31">
      <c r="A31" s="14">
        <v>1.704</v>
      </c>
      <c r="B31" s="1" t="s">
        <v>64</v>
      </c>
      <c r="C31" s="15">
        <f>D29/C30</f>
        <v>1.448002525</v>
      </c>
      <c r="D31" s="12">
        <f>D29/C30</f>
        <v>1.448002525</v>
      </c>
      <c r="G31" s="39" t="s">
        <v>306</v>
      </c>
      <c r="H31" s="26">
        <f t="shared" ref="H31:M31" si="8">H4*0.76</f>
        <v>1154455.087</v>
      </c>
      <c r="I31" s="26">
        <f t="shared" si="8"/>
        <v>1154994.825</v>
      </c>
      <c r="J31" s="26">
        <f t="shared" si="8"/>
        <v>1155142.739</v>
      </c>
      <c r="K31" s="26">
        <f t="shared" si="8"/>
        <v>1155178.933</v>
      </c>
      <c r="L31" s="26">
        <f t="shared" si="8"/>
        <v>1155186.803</v>
      </c>
      <c r="M31" s="26">
        <f t="shared" si="8"/>
        <v>1155188.307</v>
      </c>
    </row>
    <row r="32">
      <c r="G32" s="39" t="s">
        <v>307</v>
      </c>
      <c r="H32" s="26">
        <f t="shared" ref="H32:M32" si="9">H5*0.76</f>
        <v>10139140.76</v>
      </c>
      <c r="I32" s="26">
        <f t="shared" si="9"/>
        <v>10121599.74</v>
      </c>
      <c r="J32" s="26">
        <f t="shared" si="9"/>
        <v>10121389.75</v>
      </c>
      <c r="K32" s="26">
        <f t="shared" si="9"/>
        <v>10122834.3</v>
      </c>
      <c r="L32" s="26">
        <f t="shared" si="9"/>
        <v>10122725.9</v>
      </c>
      <c r="M32" s="26">
        <f t="shared" si="9"/>
        <v>10122199.38</v>
      </c>
    </row>
    <row r="33">
      <c r="G33" s="39" t="s">
        <v>308</v>
      </c>
      <c r="H33" s="26">
        <f t="shared" ref="H33:M33" si="10">H6*0.76</f>
        <v>1576804.852</v>
      </c>
      <c r="I33" s="26">
        <f t="shared" si="10"/>
        <v>1460030.672</v>
      </c>
      <c r="J33" s="26">
        <f t="shared" si="10"/>
        <v>1350026.909</v>
      </c>
      <c r="K33" s="26">
        <f t="shared" si="10"/>
        <v>1259360.437</v>
      </c>
      <c r="L33" s="26">
        <f t="shared" si="10"/>
        <v>1192461.064</v>
      </c>
      <c r="M33" s="26">
        <f t="shared" si="10"/>
        <v>1147752.811</v>
      </c>
    </row>
    <row r="34">
      <c r="G34" s="39" t="s">
        <v>309</v>
      </c>
      <c r="H34" s="26">
        <f t="shared" ref="H34:M34" si="11">H7*0.76</f>
        <v>13725798.15</v>
      </c>
      <c r="I34" s="26">
        <f t="shared" si="11"/>
        <v>13495146.99</v>
      </c>
      <c r="J34" s="26">
        <f t="shared" si="11"/>
        <v>13330881.61</v>
      </c>
      <c r="K34" s="26">
        <f t="shared" si="11"/>
        <v>13260836.19</v>
      </c>
      <c r="L34" s="26">
        <f t="shared" si="11"/>
        <v>13241498.05</v>
      </c>
      <c r="M34" s="26">
        <f t="shared" si="11"/>
        <v>13237938.42</v>
      </c>
    </row>
    <row r="35">
      <c r="A35" s="1" t="s">
        <v>67</v>
      </c>
      <c r="B35" s="1">
        <f>ROUNDUP(H48/60000,0)</f>
        <v>1</v>
      </c>
      <c r="G35" s="39" t="s">
        <v>310</v>
      </c>
      <c r="H35" s="26">
        <f t="shared" ref="H35:M35" si="12">H8*0.76</f>
        <v>7449201.193</v>
      </c>
      <c r="I35" s="26">
        <f t="shared" si="12"/>
        <v>7427347.915</v>
      </c>
      <c r="J35" s="26">
        <f t="shared" si="12"/>
        <v>7439058.692</v>
      </c>
      <c r="K35" s="26">
        <f t="shared" si="12"/>
        <v>7466010.86</v>
      </c>
      <c r="L35" s="26">
        <f t="shared" si="12"/>
        <v>7491292.851</v>
      </c>
      <c r="M35" s="26">
        <f t="shared" si="12"/>
        <v>7507671.937</v>
      </c>
    </row>
    <row r="37">
      <c r="H37" s="41" t="s">
        <v>320</v>
      </c>
      <c r="I37" s="7"/>
      <c r="J37" s="7"/>
      <c r="K37" s="7"/>
      <c r="L37" s="7"/>
      <c r="M37" s="8"/>
    </row>
    <row r="38">
      <c r="H38" s="24">
        <v>2025.0</v>
      </c>
      <c r="I38" s="24">
        <v>2026.0</v>
      </c>
      <c r="J38" s="24">
        <v>2027.0</v>
      </c>
      <c r="K38" s="24">
        <v>2028.0</v>
      </c>
      <c r="L38" s="24">
        <v>2029.0</v>
      </c>
      <c r="M38" s="24">
        <v>2030.0</v>
      </c>
    </row>
    <row r="39">
      <c r="G39" s="39" t="s">
        <v>312</v>
      </c>
      <c r="H39" s="26">
        <f t="shared" ref="H39:M39" si="13">H21*0.76</f>
        <v>1003944.95</v>
      </c>
      <c r="I39" s="26">
        <f t="shared" si="13"/>
        <v>988287.8702</v>
      </c>
      <c r="J39" s="26">
        <f t="shared" si="13"/>
        <v>972874.9709</v>
      </c>
      <c r="K39" s="26">
        <f t="shared" si="13"/>
        <v>957702.4443</v>
      </c>
      <c r="L39" s="26">
        <f t="shared" si="13"/>
        <v>942766.5417</v>
      </c>
      <c r="M39" s="26">
        <f t="shared" si="13"/>
        <v>928063.5728</v>
      </c>
      <c r="N39" s="19"/>
      <c r="O39" s="5"/>
    </row>
    <row r="40">
      <c r="G40" s="39" t="s">
        <v>313</v>
      </c>
      <c r="H40" s="26">
        <f t="shared" ref="H40:M40" si="14">H22*0.76</f>
        <v>1181553.664</v>
      </c>
      <c r="I40" s="26">
        <f t="shared" si="14"/>
        <v>1163126.677</v>
      </c>
      <c r="J40" s="26">
        <f t="shared" si="14"/>
        <v>1144987.069</v>
      </c>
      <c r="K40" s="26">
        <f t="shared" si="14"/>
        <v>1127130.359</v>
      </c>
      <c r="L40" s="26">
        <f t="shared" si="14"/>
        <v>1109552.133</v>
      </c>
      <c r="M40" s="26">
        <f t="shared" si="14"/>
        <v>1092248.05</v>
      </c>
      <c r="N40" s="19"/>
      <c r="O40" s="5"/>
    </row>
    <row r="41">
      <c r="G41" s="39" t="s">
        <v>314</v>
      </c>
      <c r="H41" s="26">
        <f t="shared" ref="H41:M41" si="15">H23*0.76</f>
        <v>10110035.88</v>
      </c>
      <c r="I41" s="26">
        <f t="shared" si="15"/>
        <v>9952364.242</v>
      </c>
      <c r="J41" s="26">
        <f t="shared" si="15"/>
        <v>9797151.583</v>
      </c>
      <c r="K41" s="26">
        <f t="shared" si="15"/>
        <v>9644359.551</v>
      </c>
      <c r="L41" s="26">
        <f t="shared" si="15"/>
        <v>9493950.397</v>
      </c>
      <c r="M41" s="26">
        <f t="shared" si="15"/>
        <v>9345886.957</v>
      </c>
      <c r="N41" s="19"/>
      <c r="O41" s="5"/>
    </row>
    <row r="42">
      <c r="G42" s="39" t="s">
        <v>315</v>
      </c>
      <c r="H42" s="26">
        <f t="shared" ref="H42:M42" si="16">H24*0.76</f>
        <v>1708759.37</v>
      </c>
      <c r="I42" s="26">
        <f t="shared" si="16"/>
        <v>1682110.316</v>
      </c>
      <c r="J42" s="26">
        <f t="shared" si="16"/>
        <v>1655876.87</v>
      </c>
      <c r="K42" s="26">
        <f t="shared" si="16"/>
        <v>1630052.548</v>
      </c>
      <c r="L42" s="26">
        <f t="shared" si="16"/>
        <v>1604630.972</v>
      </c>
      <c r="M42" s="26">
        <f t="shared" si="16"/>
        <v>1579605.859</v>
      </c>
      <c r="N42" s="19"/>
      <c r="O42" s="5"/>
    </row>
    <row r="43">
      <c r="G43" s="39" t="s">
        <v>316</v>
      </c>
      <c r="H43" s="26">
        <f t="shared" ref="H43:M43" si="17">H25*0.76</f>
        <v>17680866.21</v>
      </c>
      <c r="I43" s="26">
        <f t="shared" si="17"/>
        <v>17405123.26</v>
      </c>
      <c r="J43" s="26">
        <f t="shared" si="17"/>
        <v>17133680.68</v>
      </c>
      <c r="K43" s="26">
        <f t="shared" si="17"/>
        <v>16866471.39</v>
      </c>
      <c r="L43" s="26">
        <f t="shared" si="17"/>
        <v>16603429.38</v>
      </c>
      <c r="M43" s="26">
        <f t="shared" si="17"/>
        <v>16344489.66</v>
      </c>
      <c r="N43" s="19"/>
      <c r="O43" s="5"/>
    </row>
    <row r="44">
      <c r="G44" s="39" t="s">
        <v>317</v>
      </c>
      <c r="H44" s="26">
        <f t="shared" ref="H44:M44" si="18">H26*0.76</f>
        <v>6688823.625</v>
      </c>
      <c r="I44" s="26">
        <f t="shared" si="18"/>
        <v>6584507.698</v>
      </c>
      <c r="J44" s="26">
        <f t="shared" si="18"/>
        <v>6481818.636</v>
      </c>
      <c r="K44" s="26">
        <f t="shared" si="18"/>
        <v>6380731.067</v>
      </c>
      <c r="L44" s="26">
        <f t="shared" si="18"/>
        <v>6281220.015</v>
      </c>
      <c r="M44" s="26">
        <f t="shared" si="18"/>
        <v>6183260.893</v>
      </c>
      <c r="N44" s="19"/>
      <c r="O44" s="5"/>
    </row>
    <row r="46">
      <c r="H46" s="42" t="s">
        <v>321</v>
      </c>
      <c r="I46" s="7"/>
      <c r="J46" s="7"/>
      <c r="K46" s="7"/>
      <c r="L46" s="7"/>
      <c r="M46" s="8"/>
    </row>
    <row r="47">
      <c r="H47" s="24">
        <v>2025.0</v>
      </c>
      <c r="I47" s="24">
        <v>2026.0</v>
      </c>
      <c r="J47" s="24">
        <v>2027.0</v>
      </c>
      <c r="K47" s="24">
        <v>2028.0</v>
      </c>
      <c r="L47" s="24">
        <v>2029.0</v>
      </c>
      <c r="M47" s="24">
        <v>2030.0</v>
      </c>
    </row>
    <row r="48">
      <c r="G48" s="39" t="s">
        <v>305</v>
      </c>
      <c r="H48" s="28">
        <f t="shared" ref="H48:M48" si="19">((1000/(24*3600))*((H30/365)*$C$18*$B$7*$B$8/($B$6*$B$9))*($C$19/($C$19-1))*($B$15^((($C$19-1)/$C$19))-1))+((1000/(24*3600))*((H30/365)*$C$22*$B$7*$B$8/($B$6*$B$9))*($C$23/($C$23-1))*($B$15^((($C$23-1)/$C$23))-1))+((1000/(24*3600))*((H30/365)*$C$26*$B$7*$B$8/($B$6*$B$9))*($C$27/($C$27-1))*($B$15^((($C$27-1)/$C$27))-1))+((1000/(24*3600))*((H30/365)*$C$30*$B$7*$B$8/($B$6*$B$9))*($C$31/($C$31-1))*($B$15^((($C$31-1)/$C$31))-1))</f>
        <v>10223.28958</v>
      </c>
      <c r="I48" s="28">
        <f t="shared" si="19"/>
        <v>10144.15849</v>
      </c>
      <c r="J48" s="28">
        <f t="shared" si="19"/>
        <v>10119.52738</v>
      </c>
      <c r="K48" s="28">
        <f t="shared" si="19"/>
        <v>10114.6661</v>
      </c>
      <c r="L48" s="28">
        <f t="shared" si="19"/>
        <v>10114.03471</v>
      </c>
      <c r="M48" s="28">
        <f t="shared" si="19"/>
        <v>10113.97983</v>
      </c>
    </row>
    <row r="49">
      <c r="G49" s="39" t="s">
        <v>306</v>
      </c>
      <c r="H49" s="28">
        <f t="shared" ref="H49:M49" si="20">((1000/(24*3600))*((H31/365)*$C$18*$B$7*$B$8/($B$6*$B$9))*($C$19/($C$19-1))*($B$15^((($C$19-1)/$C$19))-1))+((1000/(24*3600))*((H31/365)*$C$22*$B$7*$B$8/($B$6*$B$9))*($C$23/($C$23-1))*($B$15^((($C$23-1)/$C$23))-1))+((1000/(24*3600))*((H31/365)*$C$26*$B$7*$B$8/($B$6*$B$9))*($C$27/($C$27-1))*($B$15^((($C$27-1)/$C$27))-1))+((1000/(24*3600))*((H31/365)*$C$30*$B$7*$B$8/($B$6*$B$9))*($C$31/($C$31-1))*($B$15^((($C$31-1)/$C$31))-1))</f>
        <v>12401.82884</v>
      </c>
      <c r="I49" s="28">
        <f t="shared" si="20"/>
        <v>12407.62702</v>
      </c>
      <c r="J49" s="28">
        <f t="shared" si="20"/>
        <v>12409.21601</v>
      </c>
      <c r="K49" s="28">
        <f t="shared" si="20"/>
        <v>12409.60482</v>
      </c>
      <c r="L49" s="28">
        <f t="shared" si="20"/>
        <v>12409.68936</v>
      </c>
      <c r="M49" s="28">
        <f t="shared" si="20"/>
        <v>12409.70552</v>
      </c>
    </row>
    <row r="50">
      <c r="G50" s="39" t="s">
        <v>307</v>
      </c>
      <c r="H50" s="28">
        <f t="shared" ref="H50:M50" si="21">((1000/(24*3600))*((H32/365)*$C$18*$B$7*$B$8/($B$6*$B$9))*($C$19/($C$19-1))*($B$15^((($C$19-1)/$C$19))-1))+((1000/(24*3600))*((H32/365)*$C$22*$B$7*$B$8/($B$6*$B$9))*($C$23/($C$23-1))*($B$15^((($C$23-1)/$C$23))-1))+((1000/(24*3600))*((H32/365)*$C$26*$B$7*$B$8/($B$6*$B$9))*($C$27/($C$27-1))*($B$15^((($C$27-1)/$C$27))-1))+((1000/(24*3600))*((H32/365)*$C$30*$B$7*$B$8/($B$6*$B$9))*($C$31/($C$31-1))*($B$15^((($C$31-1)/$C$31))-1))</f>
        <v>108920.5546</v>
      </c>
      <c r="I50" s="28">
        <f t="shared" si="21"/>
        <v>108732.1188</v>
      </c>
      <c r="J50" s="28">
        <f t="shared" si="21"/>
        <v>108729.8629</v>
      </c>
      <c r="K50" s="28">
        <f t="shared" si="21"/>
        <v>108745.3811</v>
      </c>
      <c r="L50" s="28">
        <f t="shared" si="21"/>
        <v>108744.2166</v>
      </c>
      <c r="M50" s="28">
        <f t="shared" si="21"/>
        <v>108738.5604</v>
      </c>
    </row>
    <row r="51">
      <c r="G51" s="39" t="s">
        <v>308</v>
      </c>
      <c r="H51" s="28">
        <f t="shared" ref="H51:M51" si="22">((1000/(24*3600))*((H33/365)*$C$18*$B$7*$B$8/($B$6*$B$9))*($C$19/($C$19-1))*($B$15^((($C$19-1)/$C$19))-1))+((1000/(24*3600))*((H33/365)*$C$22*$B$7*$B$8/($B$6*$B$9))*($C$23/($C$23-1))*($B$15^((($C$23-1)/$C$23))-1))+((1000/(24*3600))*((H33/365)*$C$26*$B$7*$B$8/($B$6*$B$9))*($C$27/($C$27-1))*($B$15^((($C$27-1)/$C$27))-1))+((1000/(24*3600))*((H33/365)*$C$30*$B$7*$B$8/($B$6*$B$9))*($C$31/($C$31-1))*($B$15^((($C$31-1)/$C$31))-1))</f>
        <v>16938.95597</v>
      </c>
      <c r="I51" s="28">
        <f t="shared" si="22"/>
        <v>15684.49973</v>
      </c>
      <c r="J51" s="28">
        <f t="shared" si="22"/>
        <v>14502.77525</v>
      </c>
      <c r="K51" s="28">
        <f t="shared" si="22"/>
        <v>13528.7832</v>
      </c>
      <c r="L51" s="28">
        <f t="shared" si="22"/>
        <v>12810.11118</v>
      </c>
      <c r="M51" s="28">
        <f t="shared" si="22"/>
        <v>12329.82909</v>
      </c>
    </row>
    <row r="52">
      <c r="G52" s="39" t="s">
        <v>309</v>
      </c>
      <c r="H52" s="28">
        <f t="shared" ref="H52:M52" si="23">((1000/(24*3600))*((H34/365)*$C$18*$B$7*$B$8/($B$6*$B$9))*($C$19/($C$19-1))*($B$15^((($C$19-1)/$C$19))-1))+((1000/(24*3600))*((H34/365)*$C$22*$B$7*$B$8/($B$6*$B$9))*($C$23/($C$23-1))*($B$15^((($C$23-1)/$C$23))-1))+((1000/(24*3600))*((H34/365)*$C$26*$B$7*$B$8/($B$6*$B$9))*($C$27/($C$27-1))*($B$15^((($C$27-1)/$C$27))-1))+((1000/(24*3600))*((H34/365)*$C$30*$B$7*$B$8/($B$6*$B$9))*($C$31/($C$31-1))*($B$15^((($C$31-1)/$C$31))-1))</f>
        <v>147450.5169</v>
      </c>
      <c r="I52" s="28">
        <f t="shared" si="23"/>
        <v>144972.7279</v>
      </c>
      <c r="J52" s="28">
        <f t="shared" si="23"/>
        <v>143208.0935</v>
      </c>
      <c r="K52" s="28">
        <f t="shared" si="23"/>
        <v>142455.6248</v>
      </c>
      <c r="L52" s="28">
        <f t="shared" si="23"/>
        <v>142247.8833</v>
      </c>
      <c r="M52" s="28">
        <f t="shared" si="23"/>
        <v>142209.6437</v>
      </c>
    </row>
    <row r="53">
      <c r="G53" s="39" t="s">
        <v>310</v>
      </c>
      <c r="H53" s="28">
        <f t="shared" ref="H53:M53" si="24">((1000/(24*3600))*((H35/365)*$C$18*$B$7*$B$8/($B$6*$B$9))*($C$19/($C$19-1))*($B$15^((($C$19-1)/$C$19))-1))+((1000/(24*3600))*((H35/365)*$C$22*$B$7*$B$8/($B$6*$B$9))*($C$23/($C$23-1))*($B$15^((($C$23-1)/$C$23))-1))+((1000/(24*3600))*((H35/365)*$C$26*$B$7*$B$8/($B$6*$B$9))*($C$27/($C$27-1))*($B$15^((($C$27-1)/$C$27))-1))+((1000/(24*3600))*((H35/365)*$C$30*$B$7*$B$8/($B$6*$B$9))*($C$31/($C$31-1))*($B$15^((($C$31-1)/$C$31))-1))</f>
        <v>80023.65727</v>
      </c>
      <c r="I53" s="28">
        <f t="shared" si="24"/>
        <v>79788.89663</v>
      </c>
      <c r="J53" s="28">
        <f t="shared" si="24"/>
        <v>79914.70062</v>
      </c>
      <c r="K53" s="28">
        <f t="shared" si="24"/>
        <v>80204.2365</v>
      </c>
      <c r="L53" s="28">
        <f t="shared" si="24"/>
        <v>80475.83037</v>
      </c>
      <c r="M53" s="28">
        <f t="shared" si="24"/>
        <v>80651.78405</v>
      </c>
    </row>
    <row r="55">
      <c r="H55" s="42" t="s">
        <v>322</v>
      </c>
      <c r="I55" s="7"/>
      <c r="J55" s="7"/>
      <c r="K55" s="7"/>
      <c r="L55" s="7"/>
      <c r="M55" s="8"/>
    </row>
    <row r="56">
      <c r="H56" s="24">
        <v>2025.0</v>
      </c>
      <c r="I56" s="24">
        <v>2026.0</v>
      </c>
      <c r="J56" s="24">
        <v>2027.0</v>
      </c>
      <c r="K56" s="24">
        <v>2028.0</v>
      </c>
      <c r="L56" s="24">
        <v>2029.0</v>
      </c>
      <c r="M56" s="24">
        <v>2030.0</v>
      </c>
    </row>
    <row r="57">
      <c r="G57" s="39" t="s">
        <v>312</v>
      </c>
      <c r="H57" s="28">
        <f t="shared" ref="H57:M57" si="25">((1000/(24*3600))*((H39/365)*$C$18*$B$7*$B$8/($B$6*$B$9))*($C$19/($C$19-1))*($B$15^((($C$19-1)/$C$19))-1))+((1000/(24*3600))*((H39/365)*$C$22*$B$7*$B$8/($B$6*$B$9))*($C$23/($C$23-1))*($B$15^((($C$23-1)/$C$23))-1))+((1000/(24*3600))*((H39/365)*$C$26*$B$7*$B$8/($B$6*$B$9))*($C$27/($C$27-1))*($B$15^((($C$27-1)/$C$27))-1))+((1000/(24*3600))*((H39/365)*$C$30*$B$7*$B$8/($B$6*$B$9))*($C$31/($C$31-1))*($B$15^((($C$31-1)/$C$31))-1))</f>
        <v>10784.96131</v>
      </c>
      <c r="I57" s="28">
        <f t="shared" si="25"/>
        <v>10616.76383</v>
      </c>
      <c r="J57" s="28">
        <f t="shared" si="25"/>
        <v>10451.18949</v>
      </c>
      <c r="K57" s="28">
        <f t="shared" si="25"/>
        <v>10288.19738</v>
      </c>
      <c r="L57" s="28">
        <f t="shared" si="25"/>
        <v>10127.74721</v>
      </c>
      <c r="M57" s="28">
        <f t="shared" si="25"/>
        <v>9969.799359</v>
      </c>
    </row>
    <row r="58">
      <c r="G58" s="39" t="s">
        <v>313</v>
      </c>
      <c r="H58" s="28">
        <f t="shared" ref="H58:M58" si="26">((1000/(24*3600))*((H40/365)*$C$18*$B$7*$B$8/($B$6*$B$9))*($C$19/($C$19-1))*($B$15^((($C$19-1)/$C$19))-1))+((1000/(24*3600))*((H40/365)*$C$22*$B$7*$B$8/($B$6*$B$9))*($C$23/($C$23-1))*($B$15^((($C$23-1)/$C$23))-1))+((1000/(24*3600))*((H40/365)*$C$26*$B$7*$B$8/($B$6*$B$9))*($C$27/($C$27-1))*($B$15^((($C$27-1)/$C$27))-1))+((1000/(24*3600))*((H40/365)*$C$30*$B$7*$B$8/($B$6*$B$9))*($C$31/($C$31-1))*($B$15^((($C$31-1)/$C$31))-1))</f>
        <v>12692.93754</v>
      </c>
      <c r="I58" s="28">
        <f t="shared" si="26"/>
        <v>12494.98411</v>
      </c>
      <c r="J58" s="28">
        <f t="shared" si="26"/>
        <v>12300.11788</v>
      </c>
      <c r="K58" s="28">
        <f t="shared" si="26"/>
        <v>12108.2907</v>
      </c>
      <c r="L58" s="28">
        <f t="shared" si="26"/>
        <v>11919.45517</v>
      </c>
      <c r="M58" s="28">
        <f t="shared" si="26"/>
        <v>11733.56463</v>
      </c>
    </row>
    <row r="59">
      <c r="G59" s="39" t="s">
        <v>314</v>
      </c>
      <c r="H59" s="28">
        <f t="shared" ref="H59:M59" si="27">((1000/(24*3600))*((H41/365)*$C$18*$B$7*$B$8/($B$6*$B$9))*($C$19/($C$19-1))*($B$15^((($C$19-1)/$C$19))-1))+((1000/(24*3600))*((H41/365)*$C$22*$B$7*$B$8/($B$6*$B$9))*($C$23/($C$23-1))*($B$15^((($C$23-1)/$C$23))-1))+((1000/(24*3600))*((H41/365)*$C$26*$B$7*$B$8/($B$6*$B$9))*($C$27/($C$27-1))*($B$15^((($C$27-1)/$C$27))-1))+((1000/(24*3600))*((H41/365)*$C$30*$B$7*$B$8/($B$6*$B$9))*($C$31/($C$31-1))*($B$15^((($C$31-1)/$C$31))-1))</f>
        <v>108607.893</v>
      </c>
      <c r="I59" s="28">
        <f t="shared" si="27"/>
        <v>106914.0925</v>
      </c>
      <c r="J59" s="28">
        <f t="shared" si="27"/>
        <v>105246.7077</v>
      </c>
      <c r="K59" s="28">
        <f t="shared" si="27"/>
        <v>103605.3267</v>
      </c>
      <c r="L59" s="28">
        <f t="shared" si="27"/>
        <v>101989.544</v>
      </c>
      <c r="M59" s="28">
        <f t="shared" si="27"/>
        <v>100398.9603</v>
      </c>
    </row>
    <row r="60">
      <c r="G60" s="39" t="s">
        <v>315</v>
      </c>
      <c r="H60" s="28">
        <f t="shared" ref="H60:M60" si="28">((1000/(24*3600))*((H42/365)*$C$18*$B$7*$B$8/($B$6*$B$9))*($C$19/($C$19-1))*($B$15^((($C$19-1)/$C$19))-1))+((1000/(24*3600))*((H42/365)*$C$22*$B$7*$B$8/($B$6*$B$9))*($C$23/($C$23-1))*($B$15^((($C$23-1)/$C$23))-1))+((1000/(24*3600))*((H42/365)*$C$26*$B$7*$B$8/($B$6*$B$9))*($C$27/($C$27-1))*($B$15^((($C$27-1)/$C$27))-1))+((1000/(24*3600))*((H42/365)*$C$30*$B$7*$B$8/($B$6*$B$9))*($C$31/($C$31-1))*($B$15^((($C$31-1)/$C$31))-1))</f>
        <v>18356.48825</v>
      </c>
      <c r="I60" s="28">
        <f t="shared" si="28"/>
        <v>18070.2086</v>
      </c>
      <c r="J60" s="28">
        <f t="shared" si="28"/>
        <v>17788.39364</v>
      </c>
      <c r="K60" s="28">
        <f t="shared" si="28"/>
        <v>17510.97374</v>
      </c>
      <c r="L60" s="28">
        <f t="shared" si="28"/>
        <v>17237.88036</v>
      </c>
      <c r="M60" s="28">
        <f t="shared" si="28"/>
        <v>16969.04602</v>
      </c>
    </row>
    <row r="61">
      <c r="G61" s="39" t="s">
        <v>316</v>
      </c>
      <c r="H61" s="28">
        <f t="shared" ref="H61:M61" si="29">((1000/(24*3600))*((H43/365)*$C$18*$B$7*$B$8/($B$6*$B$9))*($C$19/($C$19-1))*($B$15^((($C$19-1)/$C$19))-1))+((1000/(24*3600))*((H43/365)*$C$22*$B$7*$B$8/($B$6*$B$9))*($C$23/($C$23-1))*($B$15^((($C$23-1)/$C$23))-1))+((1000/(24*3600))*((H43/365)*$C$26*$B$7*$B$8/($B$6*$B$9))*($C$27/($C$27-1))*($B$15^((($C$27-1)/$C$27))-1))+((1000/(24*3600))*((H43/365)*$C$30*$B$7*$B$8/($B$6*$B$9))*($C$31/($C$31-1))*($B$15^((($C$31-1)/$C$31))-1))</f>
        <v>189938.1613</v>
      </c>
      <c r="I61" s="28">
        <f t="shared" si="29"/>
        <v>186975.97</v>
      </c>
      <c r="J61" s="28">
        <f t="shared" si="29"/>
        <v>184059.9757</v>
      </c>
      <c r="K61" s="28">
        <f t="shared" si="29"/>
        <v>181189.4579</v>
      </c>
      <c r="L61" s="28">
        <f t="shared" si="29"/>
        <v>178363.7075</v>
      </c>
      <c r="M61" s="28">
        <f t="shared" si="29"/>
        <v>175582.0262</v>
      </c>
    </row>
    <row r="62">
      <c r="G62" s="39" t="s">
        <v>317</v>
      </c>
      <c r="H62" s="28">
        <f t="shared" ref="H62:M62" si="30">((1000/(24*3600))*((H44/365)*$C$18*$B$7*$B$8/($B$6*$B$9))*($C$19/($C$19-1))*($B$15^((($C$19-1)/$C$19))-1))+((1000/(24*3600))*((H44/365)*$C$22*$B$7*$B$8/($B$6*$B$9))*($C$23/($C$23-1))*($B$15^((($C$23-1)/$C$23))-1))+((1000/(24*3600))*((H44/365)*$C$26*$B$7*$B$8/($B$6*$B$9))*($C$27/($C$27-1))*($B$15^((($C$27-1)/$C$27))-1))+((1000/(24*3600))*((H44/365)*$C$30*$B$7*$B$8/($B$6*$B$9))*($C$31/($C$31-1))*($B$15^((($C$31-1)/$C$31))-1))</f>
        <v>71855.23863</v>
      </c>
      <c r="I62" s="28">
        <f t="shared" si="30"/>
        <v>70734.61619</v>
      </c>
      <c r="J62" s="28">
        <f t="shared" si="30"/>
        <v>69631.47049</v>
      </c>
      <c r="K62" s="28">
        <f t="shared" si="30"/>
        <v>68545.52895</v>
      </c>
      <c r="L62" s="28">
        <f t="shared" si="30"/>
        <v>67476.52328</v>
      </c>
      <c r="M62" s="28">
        <f t="shared" si="30"/>
        <v>66424.18935</v>
      </c>
    </row>
    <row r="100">
      <c r="A100" s="1" t="s">
        <v>77</v>
      </c>
      <c r="B100" s="1">
        <v>0.1275</v>
      </c>
      <c r="H100" s="23" t="s">
        <v>323</v>
      </c>
      <c r="I100" s="7"/>
      <c r="J100" s="7"/>
      <c r="K100" s="7"/>
      <c r="L100" s="7"/>
      <c r="M100" s="8"/>
    </row>
    <row r="101">
      <c r="A101" s="1" t="s">
        <v>92</v>
      </c>
      <c r="B101" s="1">
        <v>0.05</v>
      </c>
      <c r="H101" s="24">
        <v>2025.0</v>
      </c>
      <c r="I101" s="24">
        <v>2026.0</v>
      </c>
      <c r="J101" s="24">
        <v>2027.0</v>
      </c>
      <c r="K101" s="24">
        <v>2028.0</v>
      </c>
      <c r="L101" s="24">
        <v>2029.0</v>
      </c>
      <c r="M101" s="24">
        <v>2030.0</v>
      </c>
    </row>
    <row r="102">
      <c r="A102" s="1" t="s">
        <v>93</v>
      </c>
      <c r="B102" s="15">
        <v>0.0815</v>
      </c>
      <c r="G102" s="39" t="s">
        <v>305</v>
      </c>
      <c r="H102" s="28">
        <f t="shared" ref="H102:M102" si="31">(((1000*H30/365)/(24*3600*(ROUNDUP(H48/60000,0))))*(ROUNDUP(H48/60000,0)))*(((0.13*(10^6))/(((1000*H30/365)/(24*3600*(ROUNDUP(H48/60000,0))))^0.71))+(((1.4*(10^6))*(ln($B$4/$B$2)))/(((1000*H30/365)/(24*3600*(ROUNDUP(H48/60000,0))))^0.6)))*2.107</f>
        <v>50311367.88</v>
      </c>
      <c r="I102" s="28">
        <f t="shared" si="31"/>
        <v>50155862.27</v>
      </c>
      <c r="J102" s="28">
        <f t="shared" si="31"/>
        <v>50107309.34</v>
      </c>
      <c r="K102" s="28">
        <f t="shared" si="31"/>
        <v>50097718.38</v>
      </c>
      <c r="L102" s="28">
        <f t="shared" si="31"/>
        <v>50096472.49</v>
      </c>
      <c r="M102" s="28">
        <f t="shared" si="31"/>
        <v>50096364.19</v>
      </c>
    </row>
    <row r="103">
      <c r="A103" s="1" t="s">
        <v>71</v>
      </c>
      <c r="B103" s="1">
        <v>0.8</v>
      </c>
      <c r="G103" s="39" t="s">
        <v>306</v>
      </c>
      <c r="H103" s="28">
        <f t="shared" ref="H103:M103" si="32">(((1000*H31/365)/(24*3600*(ROUNDUP(H49/60000,0))))*(ROUNDUP(H49/60000,0)))*(((0.13*(10^6))/(((1000*H31/365)/(24*3600*(ROUNDUP(H49/60000,0))))^0.71))+(((1.4*(10^6))*(ln($B$4/$B$2)))/(((1000*H31/365)/(24*3600*(ROUNDUP(H49/60000,0))))^0.6)))*2.107</f>
        <v>54336367.99</v>
      </c>
      <c r="I103" s="28">
        <f t="shared" si="32"/>
        <v>54346488.03</v>
      </c>
      <c r="J103" s="28">
        <f t="shared" si="32"/>
        <v>54349260.91</v>
      </c>
      <c r="K103" s="28">
        <f t="shared" si="32"/>
        <v>54349939.38</v>
      </c>
      <c r="L103" s="28">
        <f t="shared" si="32"/>
        <v>54350086.9</v>
      </c>
      <c r="M103" s="28">
        <f t="shared" si="32"/>
        <v>54350115.11</v>
      </c>
    </row>
    <row r="104">
      <c r="D104" s="5"/>
      <c r="G104" s="39" t="s">
        <v>307</v>
      </c>
      <c r="H104" s="28">
        <f t="shared" ref="H104:M104" si="33">(((1000*H32/365)/(24*3600*(ROUNDUP(H50/60000,0))))*(ROUNDUP(H50/60000,0)))*(((0.13*(10^6))/(((1000*H32/365)/(24*3600*(ROUNDUP(H50/60000,0))))^0.71))+(((1.4*(10^6))*(ln($B$4/$B$2)))/(((1000*H32/365)/(24*3600*(ROUNDUP(H50/60000,0))))^0.6)))*2.107</f>
        <v>195985114.3</v>
      </c>
      <c r="I104" s="28">
        <f t="shared" si="33"/>
        <v>195849874.8</v>
      </c>
      <c r="J104" s="28">
        <f t="shared" si="33"/>
        <v>195848254.9</v>
      </c>
      <c r="K104" s="28">
        <f t="shared" si="33"/>
        <v>195859397.6</v>
      </c>
      <c r="L104" s="28">
        <f t="shared" si="33"/>
        <v>195858561.5</v>
      </c>
      <c r="M104" s="28">
        <f t="shared" si="33"/>
        <v>195854500.2</v>
      </c>
    </row>
    <row r="105">
      <c r="G105" s="39" t="s">
        <v>308</v>
      </c>
      <c r="H105" s="28">
        <f t="shared" ref="H105:M105" si="34">(((1000*H33/365)/(24*3600*(ROUNDUP(H51/60000,0))))*(ROUNDUP(H51/60000,0)))*(((0.13*(10^6))/(((1000*H33/365)/(24*3600*(ROUNDUP(H51/60000,0))))^0.71))+(((1.4*(10^6))*(ln($B$4/$B$2)))/(((1000*H33/365)/(24*3600*(ROUNDUP(H51/60000,0))))^0.6)))*2.107</f>
        <v>61523529.87</v>
      </c>
      <c r="I105" s="28">
        <f t="shared" si="34"/>
        <v>59665867.38</v>
      </c>
      <c r="J105" s="28">
        <f t="shared" si="34"/>
        <v>57832318.11</v>
      </c>
      <c r="K105" s="28">
        <f t="shared" si="34"/>
        <v>56252339</v>
      </c>
      <c r="L105" s="28">
        <f t="shared" si="34"/>
        <v>55042145.19</v>
      </c>
      <c r="M105" s="28">
        <f t="shared" si="34"/>
        <v>54210463.35</v>
      </c>
    </row>
    <row r="106">
      <c r="A106" s="1" t="s">
        <v>73</v>
      </c>
      <c r="B106" s="10">
        <f>(1000*H30/365)/(24*3600*B35)</f>
        <v>30.17695145</v>
      </c>
      <c r="C106" s="1" t="s">
        <v>74</v>
      </c>
      <c r="G106" s="39" t="s">
        <v>309</v>
      </c>
      <c r="H106" s="28">
        <f t="shared" ref="H106:M106" si="35">(((1000*H34/365)/(24*3600*(ROUNDUP(H52/60000,0))))*(ROUNDUP(H52/60000,0)))*(((0.13*(10^6))/(((1000*H34/365)/(24*3600*(ROUNDUP(H52/60000,0))))^0.71))+(((1.4*(10^6))*(ln($B$4/$B$2)))/(((1000*H34/365)/(24*3600*(ROUNDUP(H52/60000,0))))^0.6)))*2.107</f>
        <v>282197088.9</v>
      </c>
      <c r="I106" s="28">
        <f t="shared" si="35"/>
        <v>280297050.2</v>
      </c>
      <c r="J106" s="28">
        <f t="shared" si="35"/>
        <v>278931949.1</v>
      </c>
      <c r="K106" s="28">
        <f t="shared" si="35"/>
        <v>278346773.5</v>
      </c>
      <c r="L106" s="28">
        <f t="shared" si="35"/>
        <v>278184891.2</v>
      </c>
      <c r="M106" s="28">
        <f t="shared" si="35"/>
        <v>278155077.5</v>
      </c>
    </row>
    <row r="107">
      <c r="A107" s="1" t="s">
        <v>88</v>
      </c>
      <c r="B107" s="5">
        <f>(B106*B35)*(((0.13*(10^6))/(B106^0.71))+(((1.14*(10^6))*(ln($B$4/$B$2)))/(B106^0.6)))*2.107</f>
        <v>41104462.22</v>
      </c>
      <c r="D107" s="5">
        <f>(B107/H48)</f>
        <v>4020.668874</v>
      </c>
      <c r="G107" s="39" t="s">
        <v>310</v>
      </c>
      <c r="H107" s="28">
        <f t="shared" ref="H107:M107" si="36">(((1000*H35/365)/(24*3600*(ROUNDUP(H53/60000,0))))*(ROUNDUP(H53/60000,0)))*(((0.13*(10^6))/(((1000*H35/365)/(24*3600*(ROUNDUP(H53/60000,0))))^0.71))+(((1.4*(10^6))*(ln($B$4/$B$2)))/(((1000*H35/365)/(24*3600*(ROUNDUP(H53/60000,0))))^0.6)))*2.107</f>
        <v>173320194</v>
      </c>
      <c r="I107" s="28">
        <f t="shared" si="36"/>
        <v>173117336.7</v>
      </c>
      <c r="J107" s="28">
        <f t="shared" si="36"/>
        <v>173226088.8</v>
      </c>
      <c r="K107" s="28">
        <f t="shared" si="36"/>
        <v>173475989.7</v>
      </c>
      <c r="L107" s="28">
        <f t="shared" si="36"/>
        <v>173709912.4</v>
      </c>
      <c r="M107" s="28">
        <f t="shared" si="36"/>
        <v>173861207.3</v>
      </c>
    </row>
    <row r="109">
      <c r="A109" s="1" t="s">
        <v>324</v>
      </c>
      <c r="B109" s="1">
        <v>1.0323</v>
      </c>
      <c r="H109" s="23" t="s">
        <v>325</v>
      </c>
      <c r="I109" s="7"/>
      <c r="J109" s="7"/>
      <c r="K109" s="7"/>
      <c r="L109" s="7"/>
      <c r="M109" s="8"/>
    </row>
    <row r="110">
      <c r="A110" s="1" t="s">
        <v>326</v>
      </c>
      <c r="B110" s="13">
        <f>800/468.2</f>
        <v>1.708671508</v>
      </c>
      <c r="H110" s="24">
        <v>2025.0</v>
      </c>
      <c r="I110" s="24">
        <v>2026.0</v>
      </c>
      <c r="J110" s="24">
        <v>2027.0</v>
      </c>
      <c r="K110" s="24">
        <v>2028.0</v>
      </c>
      <c r="L110" s="24">
        <v>2029.0</v>
      </c>
      <c r="M110" s="24">
        <v>2030.0</v>
      </c>
    </row>
    <row r="111">
      <c r="G111" s="39" t="s">
        <v>312</v>
      </c>
      <c r="H111" s="28">
        <f t="shared" ref="H111:M111" si="37">(((1000*H39/365)/(24*3600*(ROUNDUP(H57/60000,0))))*(ROUNDUP(H57/60000,0)))*(((0.13*(10^6))/(((1000*H39/365)/(24*3600*(ROUNDUP(H57/60000,0))))^0.71))+(((1.4*(10^6))*(ln($B$4/$B$2)))/(((1000*H39/365)/(24*3600*(ROUNDUP(H57/60000,0))))^0.6)))*2.107</f>
        <v>51394901.85</v>
      </c>
      <c r="I111" s="28">
        <f t="shared" si="37"/>
        <v>51074061.35</v>
      </c>
      <c r="J111" s="28">
        <f t="shared" si="37"/>
        <v>50755225.92</v>
      </c>
      <c r="K111" s="28">
        <f t="shared" si="37"/>
        <v>50438383.02</v>
      </c>
      <c r="L111" s="28">
        <f t="shared" si="37"/>
        <v>50123520.2</v>
      </c>
      <c r="M111" s="28">
        <f t="shared" si="37"/>
        <v>49810625.06</v>
      </c>
    </row>
    <row r="112">
      <c r="A112" s="43">
        <v>2026.0</v>
      </c>
      <c r="B112" s="1">
        <v>2027.0</v>
      </c>
      <c r="C112" s="1">
        <v>2028.0</v>
      </c>
      <c r="D112" s="1">
        <v>2029.0</v>
      </c>
      <c r="E112" s="1">
        <v>2030.0</v>
      </c>
      <c r="G112" s="39" t="s">
        <v>313</v>
      </c>
      <c r="H112" s="28">
        <f t="shared" ref="H112:M112" si="38">(((1000*H40/365)/(24*3600*(ROUNDUP(H58/60000,0))))*(ROUNDUP(H58/60000,0)))*(((0.13*(10^6))/(((1000*H40/365)/(24*3600*(ROUNDUP(H58/60000,0))))^0.71))+(((1.4*(10^6))*(ln($B$4/$B$2)))/(((1000*H40/365)/(24*3600*(ROUNDUP(H58/60000,0))))^0.6)))*2.107</f>
        <v>54840993.83</v>
      </c>
      <c r="I112" s="28">
        <f t="shared" si="38"/>
        <v>54498616.58</v>
      </c>
      <c r="J112" s="28">
        <f t="shared" si="38"/>
        <v>54158379.09</v>
      </c>
      <c r="K112" s="28">
        <f t="shared" si="38"/>
        <v>53820268</v>
      </c>
      <c r="L112" s="28">
        <f t="shared" si="38"/>
        <v>53484270.01</v>
      </c>
      <c r="M112" s="28">
        <f t="shared" si="38"/>
        <v>53150371.88</v>
      </c>
    </row>
    <row r="113">
      <c r="B113" s="10"/>
      <c r="C113" s="5"/>
      <c r="G113" s="39" t="s">
        <v>314</v>
      </c>
      <c r="H113" s="28">
        <f t="shared" ref="H113:M113" si="39">(((1000*H41/365)/(24*3600*(ROUNDUP(H59/60000,0))))*(ROUNDUP(H59/60000,0)))*(((0.13*(10^6))/(((1000*H41/365)/(24*3600*(ROUNDUP(H59/60000,0))))^0.71))+(((1.4*(10^6))*(ln($B$4/$B$2)))/(((1000*H41/365)/(24*3600*(ROUNDUP(H59/60000,0))))^0.6)))*2.107</f>
        <v>195760641.4</v>
      </c>
      <c r="I113" s="28">
        <f t="shared" si="39"/>
        <v>194537788.2</v>
      </c>
      <c r="J113" s="28">
        <f t="shared" si="39"/>
        <v>193322580.8</v>
      </c>
      <c r="K113" s="28">
        <f t="shared" si="39"/>
        <v>192114971.3</v>
      </c>
      <c r="L113" s="28">
        <f t="shared" si="39"/>
        <v>190914912.1</v>
      </c>
      <c r="M113" s="28">
        <f t="shared" si="39"/>
        <v>189722356.1</v>
      </c>
    </row>
    <row r="114">
      <c r="B114" s="10"/>
      <c r="G114" s="39" t="s">
        <v>315</v>
      </c>
      <c r="H114" s="28">
        <f t="shared" ref="H114:M114" si="40">(((1000*H42/365)/(24*3600*(ROUNDUP(H60/60000,0))))*(ROUNDUP(H60/60000,0)))*(((0.13*(10^6))/(((1000*H42/365)/(24*3600*(ROUNDUP(H60/60000,0))))^0.71))+(((1.4*(10^6))*(ln($B$4/$B$2)))/(((1000*H42/365)/(24*3600*(ROUNDUP(H60/60000,0))))^0.6)))*2.107</f>
        <v>63525707.11</v>
      </c>
      <c r="I114" s="28">
        <f t="shared" si="40"/>
        <v>63129049.2</v>
      </c>
      <c r="J114" s="28">
        <f t="shared" si="40"/>
        <v>62734870.58</v>
      </c>
      <c r="K114" s="28">
        <f t="shared" si="40"/>
        <v>62343155.75</v>
      </c>
      <c r="L114" s="28">
        <f t="shared" si="40"/>
        <v>61953889.3</v>
      </c>
      <c r="M114" s="28">
        <f t="shared" si="40"/>
        <v>61567055.91</v>
      </c>
    </row>
    <row r="115">
      <c r="B115" s="10"/>
      <c r="G115" s="39" t="s">
        <v>316</v>
      </c>
      <c r="H115" s="28">
        <f t="shared" ref="H115:M115" si="41">(((1000*H43/365)/(24*3600*(ROUNDUP(H61/60000,0))))*(ROUNDUP(H61/60000,0)))*(((0.13*(10^6))/(((1000*H43/365)/(24*3600*(ROUNDUP(H61/60000,0))))^0.71))+(((1.4*(10^6))*(ln($B$4/$B$2)))/(((1000*H43/365)/(24*3600*(ROUNDUP(H61/60000,0))))^0.6)))*2.107</f>
        <v>371126950.3</v>
      </c>
      <c r="I115" s="28">
        <f t="shared" si="41"/>
        <v>368808755</v>
      </c>
      <c r="J115" s="28">
        <f t="shared" si="41"/>
        <v>366505053.5</v>
      </c>
      <c r="K115" s="28">
        <f t="shared" si="41"/>
        <v>364215755</v>
      </c>
      <c r="L115" s="28">
        <f t="shared" si="41"/>
        <v>304442742</v>
      </c>
      <c r="M115" s="28">
        <f t="shared" si="41"/>
        <v>302540924.4</v>
      </c>
    </row>
    <row r="116">
      <c r="B116" s="10"/>
      <c r="G116" s="39" t="s">
        <v>317</v>
      </c>
      <c r="H116" s="28">
        <f t="shared" ref="H116:M116" si="42">(((1000*H44/365)/(24*3600*(ROUNDUP(H62/60000,0))))*(ROUNDUP(H62/60000,0)))*(((0.13*(10^6))/(((1000*H44/365)/(24*3600*(ROUNDUP(H62/60000,0))))^0.71))+(((1.4*(10^6))*(ln($B$4/$B$2)))/(((1000*H44/365)/(24*3600*(ROUNDUP(H62/60000,0))))^0.6)))*2.107</f>
        <v>166039122.3</v>
      </c>
      <c r="I116" s="28">
        <f t="shared" si="42"/>
        <v>165002089.6</v>
      </c>
      <c r="J116" s="28">
        <f t="shared" si="42"/>
        <v>163971540.2</v>
      </c>
      <c r="K116" s="28">
        <f t="shared" si="42"/>
        <v>162947433.4</v>
      </c>
      <c r="L116" s="28">
        <f t="shared" si="42"/>
        <v>161929728.9</v>
      </c>
      <c r="M116" s="28">
        <f t="shared" si="42"/>
        <v>160918386.7</v>
      </c>
    </row>
    <row r="118">
      <c r="H118" s="44" t="s">
        <v>327</v>
      </c>
      <c r="I118" s="7"/>
      <c r="J118" s="7"/>
      <c r="K118" s="7"/>
      <c r="L118" s="7"/>
      <c r="M118" s="8"/>
    </row>
    <row r="119">
      <c r="H119" s="24">
        <v>2025.0</v>
      </c>
      <c r="I119" s="24">
        <v>2026.0</v>
      </c>
      <c r="J119" s="24">
        <v>2027.0</v>
      </c>
      <c r="K119" s="24">
        <v>2028.0</v>
      </c>
      <c r="L119" s="24">
        <v>2029.0</v>
      </c>
      <c r="M119" s="24">
        <v>2030.0</v>
      </c>
    </row>
    <row r="120">
      <c r="G120" s="39" t="s">
        <v>305</v>
      </c>
      <c r="H120" s="28">
        <f t="shared" ref="H120:M120" si="43">H102/H48</f>
        <v>4921.250394</v>
      </c>
      <c r="I120" s="28">
        <f t="shared" si="43"/>
        <v>4944.309804</v>
      </c>
      <c r="J120" s="28">
        <f t="shared" si="43"/>
        <v>4951.546399</v>
      </c>
      <c r="K120" s="28">
        <f t="shared" si="43"/>
        <v>4952.977971</v>
      </c>
      <c r="L120" s="28">
        <f t="shared" si="43"/>
        <v>4953.163987</v>
      </c>
      <c r="M120" s="28">
        <f t="shared" si="43"/>
        <v>4953.180156</v>
      </c>
    </row>
    <row r="121">
      <c r="G121" s="39" t="s">
        <v>306</v>
      </c>
      <c r="H121" s="28">
        <f t="shared" ref="H121:M121" si="44">H103/H49</f>
        <v>4381.318972</v>
      </c>
      <c r="I121" s="28">
        <f t="shared" si="44"/>
        <v>4380.087177</v>
      </c>
      <c r="J121" s="28">
        <f t="shared" si="44"/>
        <v>4379.749767</v>
      </c>
      <c r="K121" s="28">
        <f t="shared" si="44"/>
        <v>4379.667216</v>
      </c>
      <c r="L121" s="28">
        <f t="shared" si="44"/>
        <v>4379.649267</v>
      </c>
      <c r="M121" s="28">
        <f t="shared" si="44"/>
        <v>4379.645834</v>
      </c>
    </row>
    <row r="122">
      <c r="G122" s="39" t="s">
        <v>307</v>
      </c>
      <c r="H122" s="28">
        <f t="shared" ref="H122:M122" si="45">H104/H50</f>
        <v>1799.340033</v>
      </c>
      <c r="I122" s="28">
        <f t="shared" si="45"/>
        <v>1801.214553</v>
      </c>
      <c r="J122" s="28">
        <f t="shared" si="45"/>
        <v>1801.237026</v>
      </c>
      <c r="K122" s="28">
        <f t="shared" si="45"/>
        <v>1801.082453</v>
      </c>
      <c r="L122" s="28">
        <f t="shared" si="45"/>
        <v>1801.094051</v>
      </c>
      <c r="M122" s="28">
        <f t="shared" si="45"/>
        <v>1801.150388</v>
      </c>
    </row>
    <row r="123">
      <c r="G123" s="39" t="s">
        <v>308</v>
      </c>
      <c r="H123" s="28">
        <f t="shared" ref="H123:M123" si="46">H105/H51</f>
        <v>3632.073309</v>
      </c>
      <c r="I123" s="28">
        <f t="shared" si="46"/>
        <v>3804.129454</v>
      </c>
      <c r="J123" s="28">
        <f t="shared" si="46"/>
        <v>3987.672506</v>
      </c>
      <c r="K123" s="28">
        <f t="shared" si="46"/>
        <v>4157.974754</v>
      </c>
      <c r="L123" s="28">
        <f t="shared" si="46"/>
        <v>4296.773416</v>
      </c>
      <c r="M123" s="28">
        <f t="shared" si="46"/>
        <v>4396.692197</v>
      </c>
    </row>
    <row r="124">
      <c r="G124" s="39" t="s">
        <v>309</v>
      </c>
      <c r="H124" s="28">
        <f t="shared" ref="H124:M124" si="47">H106/H52</f>
        <v>1913.842656</v>
      </c>
      <c r="I124" s="28">
        <f t="shared" si="47"/>
        <v>1933.446754</v>
      </c>
      <c r="J124" s="28">
        <f t="shared" si="47"/>
        <v>1947.738722</v>
      </c>
      <c r="K124" s="28">
        <f t="shared" si="47"/>
        <v>1953.919151</v>
      </c>
      <c r="L124" s="28">
        <f t="shared" si="47"/>
        <v>1955.634662</v>
      </c>
      <c r="M124" s="28">
        <f t="shared" si="47"/>
        <v>1955.950879</v>
      </c>
    </row>
    <row r="125">
      <c r="G125" s="39" t="s">
        <v>310</v>
      </c>
      <c r="H125" s="28">
        <f t="shared" ref="H125:M125" si="48">H107/H53</f>
        <v>2165.861945</v>
      </c>
      <c r="I125" s="28">
        <f t="shared" si="48"/>
        <v>2169.692075</v>
      </c>
      <c r="J125" s="28">
        <f t="shared" si="48"/>
        <v>2167.637336</v>
      </c>
      <c r="K125" s="28">
        <f t="shared" si="48"/>
        <v>2162.928011</v>
      </c>
      <c r="L125" s="28">
        <f t="shared" si="48"/>
        <v>2158.535197</v>
      </c>
      <c r="M125" s="28">
        <f t="shared" si="48"/>
        <v>2155.70194</v>
      </c>
    </row>
    <row r="127">
      <c r="H127" s="44" t="s">
        <v>328</v>
      </c>
      <c r="I127" s="7"/>
      <c r="J127" s="7"/>
      <c r="K127" s="7"/>
      <c r="L127" s="7"/>
      <c r="M127" s="8"/>
    </row>
    <row r="128">
      <c r="H128" s="24">
        <v>2025.0</v>
      </c>
      <c r="I128" s="24">
        <v>2026.0</v>
      </c>
      <c r="J128" s="24">
        <v>2027.0</v>
      </c>
      <c r="K128" s="24">
        <v>2028.0</v>
      </c>
      <c r="L128" s="24">
        <v>2029.0</v>
      </c>
      <c r="M128" s="24">
        <v>2030.0</v>
      </c>
    </row>
    <row r="129">
      <c r="G129" s="39" t="s">
        <v>312</v>
      </c>
      <c r="H129" s="28">
        <f t="shared" ref="H129:M129" si="49">H111/H57</f>
        <v>4765.422924</v>
      </c>
      <c r="I129" s="28">
        <f t="shared" si="49"/>
        <v>4810.699583</v>
      </c>
      <c r="J129" s="28">
        <f t="shared" si="49"/>
        <v>4856.406627</v>
      </c>
      <c r="K129" s="28">
        <f t="shared" si="49"/>
        <v>4902.548151</v>
      </c>
      <c r="L129" s="28">
        <f t="shared" si="49"/>
        <v>4949.128285</v>
      </c>
      <c r="M129" s="28">
        <f t="shared" si="49"/>
        <v>4996.151203</v>
      </c>
    </row>
    <row r="130">
      <c r="G130" s="39" t="s">
        <v>313</v>
      </c>
      <c r="H130" s="28">
        <f t="shared" ref="H130:M130" si="50">H112/H58</f>
        <v>4320.591169</v>
      </c>
      <c r="I130" s="28">
        <f t="shared" si="50"/>
        <v>4361.639525</v>
      </c>
      <c r="J130" s="28">
        <f t="shared" si="50"/>
        <v>4403.078053</v>
      </c>
      <c r="K130" s="28">
        <f t="shared" si="50"/>
        <v>4444.910462</v>
      </c>
      <c r="L130" s="28">
        <f t="shared" si="50"/>
        <v>4487.140499</v>
      </c>
      <c r="M130" s="28">
        <f t="shared" si="50"/>
        <v>4529.771946</v>
      </c>
    </row>
    <row r="131">
      <c r="G131" s="39" t="s">
        <v>314</v>
      </c>
      <c r="H131" s="28">
        <f t="shared" ref="H131:M131" si="51">H113/H59</f>
        <v>1802.453174</v>
      </c>
      <c r="I131" s="28">
        <f t="shared" si="51"/>
        <v>1819.571057</v>
      </c>
      <c r="J131" s="28">
        <f t="shared" si="51"/>
        <v>1836.851575</v>
      </c>
      <c r="K131" s="28">
        <f t="shared" si="51"/>
        <v>1854.296274</v>
      </c>
      <c r="L131" s="28">
        <f t="shared" si="51"/>
        <v>1871.906714</v>
      </c>
      <c r="M131" s="28">
        <f t="shared" si="51"/>
        <v>1889.68447</v>
      </c>
    </row>
    <row r="132">
      <c r="G132" s="39" t="s">
        <v>315</v>
      </c>
      <c r="H132" s="28">
        <f t="shared" ref="H132:M132" si="52">H114/H60</f>
        <v>3460.667763</v>
      </c>
      <c r="I132" s="28">
        <f t="shared" si="52"/>
        <v>3493.542914</v>
      </c>
      <c r="J132" s="28">
        <f t="shared" si="52"/>
        <v>3526.730511</v>
      </c>
      <c r="K132" s="28">
        <f t="shared" si="52"/>
        <v>3560.233524</v>
      </c>
      <c r="L132" s="28">
        <f t="shared" si="52"/>
        <v>3594.054954</v>
      </c>
      <c r="M132" s="28">
        <f t="shared" si="52"/>
        <v>3628.197827</v>
      </c>
    </row>
    <row r="133">
      <c r="G133" s="39" t="s">
        <v>316</v>
      </c>
      <c r="H133" s="28">
        <f t="shared" ref="H133:M133" si="53">H115/H61</f>
        <v>1953.93568</v>
      </c>
      <c r="I133" s="28">
        <f t="shared" si="53"/>
        <v>1972.492803</v>
      </c>
      <c r="J133" s="28">
        <f t="shared" si="53"/>
        <v>1991.226241</v>
      </c>
      <c r="K133" s="28">
        <f t="shared" si="53"/>
        <v>2010.137671</v>
      </c>
      <c r="L133" s="28">
        <f t="shared" si="53"/>
        <v>1706.864845</v>
      </c>
      <c r="M133" s="28">
        <f t="shared" si="53"/>
        <v>1723.074571</v>
      </c>
    </row>
    <row r="134">
      <c r="G134" s="39" t="s">
        <v>317</v>
      </c>
      <c r="H134" s="28">
        <f t="shared" ref="H134:M134" si="54">H116/H62</f>
        <v>2310.744845</v>
      </c>
      <c r="I134" s="28">
        <f t="shared" si="54"/>
        <v>2332.692231</v>
      </c>
      <c r="J134" s="28">
        <f t="shared" si="54"/>
        <v>2354.84816</v>
      </c>
      <c r="K134" s="28">
        <f t="shared" si="54"/>
        <v>2377.214617</v>
      </c>
      <c r="L134" s="28">
        <f t="shared" si="54"/>
        <v>2399.793603</v>
      </c>
      <c r="M134" s="28">
        <f t="shared" si="54"/>
        <v>2422.587137</v>
      </c>
    </row>
    <row r="168">
      <c r="H168" s="23" t="s">
        <v>329</v>
      </c>
      <c r="I168" s="7"/>
      <c r="J168" s="7"/>
      <c r="K168" s="7"/>
      <c r="L168" s="7"/>
      <c r="M168" s="8"/>
      <c r="P168" s="23" t="s">
        <v>330</v>
      </c>
      <c r="Q168" s="7"/>
      <c r="R168" s="7"/>
      <c r="S168" s="7"/>
      <c r="T168" s="7"/>
      <c r="U168" s="8"/>
      <c r="X168" s="23" t="s">
        <v>331</v>
      </c>
      <c r="Y168" s="7"/>
      <c r="Z168" s="7"/>
      <c r="AA168" s="7"/>
      <c r="AB168" s="7"/>
      <c r="AC168" s="8"/>
    </row>
    <row r="169">
      <c r="H169" s="24">
        <v>2025.0</v>
      </c>
      <c r="I169" s="24">
        <v>2026.0</v>
      </c>
      <c r="J169" s="24">
        <v>2027.0</v>
      </c>
      <c r="K169" s="24">
        <v>2028.0</v>
      </c>
      <c r="L169" s="24">
        <v>2029.0</v>
      </c>
      <c r="M169" s="24">
        <v>2030.0</v>
      </c>
      <c r="P169" s="24">
        <v>2025.0</v>
      </c>
      <c r="Q169" s="24">
        <v>2026.0</v>
      </c>
      <c r="R169" s="24">
        <v>2027.0</v>
      </c>
      <c r="S169" s="24">
        <v>2028.0</v>
      </c>
      <c r="T169" s="24">
        <v>2029.0</v>
      </c>
      <c r="U169" s="24">
        <v>2030.0</v>
      </c>
      <c r="X169" s="24">
        <v>2025.0</v>
      </c>
      <c r="Y169" s="24">
        <v>2026.0</v>
      </c>
      <c r="Z169" s="24">
        <v>2027.0</v>
      </c>
      <c r="AA169" s="24">
        <v>2028.0</v>
      </c>
      <c r="AB169" s="24">
        <v>2029.0</v>
      </c>
      <c r="AC169" s="24">
        <v>2030.0</v>
      </c>
    </row>
    <row r="170">
      <c r="G170" s="39" t="s">
        <v>305</v>
      </c>
      <c r="H170" s="28">
        <f t="shared" ref="H170:M170" si="55">H102*$B$100</f>
        <v>6414699.405</v>
      </c>
      <c r="I170" s="28">
        <f t="shared" si="55"/>
        <v>6394872.44</v>
      </c>
      <c r="J170" s="28">
        <f t="shared" si="55"/>
        <v>6388681.94</v>
      </c>
      <c r="K170" s="28">
        <f t="shared" si="55"/>
        <v>6387459.094</v>
      </c>
      <c r="L170" s="28">
        <f t="shared" si="55"/>
        <v>6387300.243</v>
      </c>
      <c r="M170" s="28">
        <f t="shared" si="55"/>
        <v>6387286.435</v>
      </c>
      <c r="O170" s="39" t="s">
        <v>305</v>
      </c>
      <c r="P170" s="28">
        <f t="shared" ref="P170:U170" si="56">H102*$B$101</f>
        <v>2515568.394</v>
      </c>
      <c r="Q170" s="28">
        <f t="shared" si="56"/>
        <v>2507793.114</v>
      </c>
      <c r="R170" s="28">
        <f t="shared" si="56"/>
        <v>2505365.467</v>
      </c>
      <c r="S170" s="28">
        <f t="shared" si="56"/>
        <v>2504885.919</v>
      </c>
      <c r="T170" s="28">
        <f t="shared" si="56"/>
        <v>2504823.625</v>
      </c>
      <c r="U170" s="28">
        <f t="shared" si="56"/>
        <v>2504818.21</v>
      </c>
      <c r="W170" s="39" t="s">
        <v>305</v>
      </c>
      <c r="X170" s="28">
        <f t="shared" ref="X170:AC170" si="57">H48*$B$102*$B$103*24*365</f>
        <v>5839052.292</v>
      </c>
      <c r="Y170" s="28">
        <f t="shared" si="57"/>
        <v>5793856.41</v>
      </c>
      <c r="Z170" s="28">
        <f t="shared" si="57"/>
        <v>5779788.3</v>
      </c>
      <c r="AA170" s="28">
        <f t="shared" si="57"/>
        <v>5777011.773</v>
      </c>
      <c r="AB170" s="28">
        <f t="shared" si="57"/>
        <v>5776651.153</v>
      </c>
      <c r="AC170" s="28">
        <f t="shared" si="57"/>
        <v>5776619.808</v>
      </c>
    </row>
    <row r="171">
      <c r="G171" s="39" t="s">
        <v>306</v>
      </c>
      <c r="H171" s="28">
        <f t="shared" ref="H171:M171" si="58">H103*$B$100</f>
        <v>6927886.918</v>
      </c>
      <c r="I171" s="28">
        <f t="shared" si="58"/>
        <v>6929177.223</v>
      </c>
      <c r="J171" s="28">
        <f t="shared" si="58"/>
        <v>6929530.765</v>
      </c>
      <c r="K171" s="28">
        <f t="shared" si="58"/>
        <v>6929617.27</v>
      </c>
      <c r="L171" s="28">
        <f t="shared" si="58"/>
        <v>6929636.08</v>
      </c>
      <c r="M171" s="28">
        <f t="shared" si="58"/>
        <v>6929639.676</v>
      </c>
      <c r="O171" s="39" t="s">
        <v>306</v>
      </c>
      <c r="P171" s="28">
        <f t="shared" ref="P171:U171" si="59">H103*$B$101</f>
        <v>2716818.399</v>
      </c>
      <c r="Q171" s="28">
        <f t="shared" si="59"/>
        <v>2717324.401</v>
      </c>
      <c r="R171" s="28">
        <f t="shared" si="59"/>
        <v>2717463.045</v>
      </c>
      <c r="S171" s="28">
        <f t="shared" si="59"/>
        <v>2717496.969</v>
      </c>
      <c r="T171" s="28">
        <f t="shared" si="59"/>
        <v>2717504.345</v>
      </c>
      <c r="U171" s="28">
        <f t="shared" si="59"/>
        <v>2717505.755</v>
      </c>
      <c r="W171" s="39" t="s">
        <v>306</v>
      </c>
      <c r="X171" s="28">
        <f t="shared" ref="X171:AC171" si="60">H49*$B$102*$B$103*24*365</f>
        <v>7083329.346</v>
      </c>
      <c r="Y171" s="28">
        <f t="shared" si="60"/>
        <v>7086640.99</v>
      </c>
      <c r="Z171" s="28">
        <f t="shared" si="60"/>
        <v>7087548.54</v>
      </c>
      <c r="AA171" s="28">
        <f t="shared" si="60"/>
        <v>7087770.61</v>
      </c>
      <c r="AB171" s="28">
        <f t="shared" si="60"/>
        <v>7087818.897</v>
      </c>
      <c r="AC171" s="28">
        <f t="shared" si="60"/>
        <v>7087828.13</v>
      </c>
    </row>
    <row r="172">
      <c r="G172" s="39" t="s">
        <v>307</v>
      </c>
      <c r="H172" s="28">
        <f t="shared" ref="H172:M172" si="61">H104*$B$100</f>
        <v>24988102.07</v>
      </c>
      <c r="I172" s="28">
        <f t="shared" si="61"/>
        <v>24970859.03</v>
      </c>
      <c r="J172" s="28">
        <f t="shared" si="61"/>
        <v>24970652.49</v>
      </c>
      <c r="K172" s="28">
        <f t="shared" si="61"/>
        <v>24972073.2</v>
      </c>
      <c r="L172" s="28">
        <f t="shared" si="61"/>
        <v>24971966.59</v>
      </c>
      <c r="M172" s="28">
        <f t="shared" si="61"/>
        <v>24971448.77</v>
      </c>
      <c r="O172" s="39" t="s">
        <v>307</v>
      </c>
      <c r="P172" s="28">
        <f t="shared" ref="P172:U172" si="62">H104*$B$101</f>
        <v>9799255.713</v>
      </c>
      <c r="Q172" s="28">
        <f t="shared" si="62"/>
        <v>9792493.738</v>
      </c>
      <c r="R172" s="28">
        <f t="shared" si="62"/>
        <v>9792412.743</v>
      </c>
      <c r="S172" s="28">
        <f t="shared" si="62"/>
        <v>9792969.882</v>
      </c>
      <c r="T172" s="28">
        <f t="shared" si="62"/>
        <v>9792928.076</v>
      </c>
      <c r="U172" s="28">
        <f t="shared" si="62"/>
        <v>9792725.009</v>
      </c>
      <c r="W172" s="39" t="s">
        <v>307</v>
      </c>
      <c r="X172" s="28">
        <f t="shared" ref="X172:AC172" si="63">H50*$B$102*$B$103*24*365</f>
        <v>62210192.58</v>
      </c>
      <c r="Y172" s="28">
        <f t="shared" si="63"/>
        <v>62102567.11</v>
      </c>
      <c r="Z172" s="28">
        <f t="shared" si="63"/>
        <v>62101278.65</v>
      </c>
      <c r="AA172" s="28">
        <f t="shared" si="63"/>
        <v>62110141.88</v>
      </c>
      <c r="AB172" s="28">
        <f t="shared" si="63"/>
        <v>62109476.78</v>
      </c>
      <c r="AC172" s="28">
        <f t="shared" si="63"/>
        <v>62106246.24</v>
      </c>
    </row>
    <row r="173">
      <c r="G173" s="39" t="s">
        <v>308</v>
      </c>
      <c r="H173" s="28">
        <f t="shared" ref="H173:M173" si="64">H105*$B$100</f>
        <v>7844250.058</v>
      </c>
      <c r="I173" s="28">
        <f t="shared" si="64"/>
        <v>7607398.09</v>
      </c>
      <c r="J173" s="28">
        <f t="shared" si="64"/>
        <v>7373620.559</v>
      </c>
      <c r="K173" s="28">
        <f t="shared" si="64"/>
        <v>7172173.223</v>
      </c>
      <c r="L173" s="28">
        <f t="shared" si="64"/>
        <v>7017873.512</v>
      </c>
      <c r="M173" s="28">
        <f t="shared" si="64"/>
        <v>6911834.077</v>
      </c>
      <c r="O173" s="39" t="s">
        <v>308</v>
      </c>
      <c r="P173" s="28">
        <f t="shared" ref="P173:U173" si="65">H105*$B$101</f>
        <v>3076176.493</v>
      </c>
      <c r="Q173" s="28">
        <f t="shared" si="65"/>
        <v>2983293.369</v>
      </c>
      <c r="R173" s="28">
        <f t="shared" si="65"/>
        <v>2891615.905</v>
      </c>
      <c r="S173" s="28">
        <f t="shared" si="65"/>
        <v>2812616.95</v>
      </c>
      <c r="T173" s="28">
        <f t="shared" si="65"/>
        <v>2752107.259</v>
      </c>
      <c r="U173" s="28">
        <f t="shared" si="65"/>
        <v>2710523.168</v>
      </c>
      <c r="W173" s="39" t="s">
        <v>308</v>
      </c>
      <c r="X173" s="28">
        <f t="shared" ref="X173:AC173" si="66">H51*$B$102*$B$103*24*365</f>
        <v>9674718.582</v>
      </c>
      <c r="Y173" s="28">
        <f t="shared" si="66"/>
        <v>8958233.388</v>
      </c>
      <c r="Z173" s="28">
        <f t="shared" si="66"/>
        <v>8283289.088</v>
      </c>
      <c r="AA173" s="28">
        <f t="shared" si="66"/>
        <v>7726991.583</v>
      </c>
      <c r="AB173" s="28">
        <f t="shared" si="66"/>
        <v>7316520.622</v>
      </c>
      <c r="AC173" s="28">
        <f t="shared" si="66"/>
        <v>7042206.545</v>
      </c>
    </row>
    <row r="174">
      <c r="G174" s="39" t="s">
        <v>309</v>
      </c>
      <c r="H174" s="28">
        <f t="shared" ref="H174:M174" si="67">H106*$B$100</f>
        <v>35980128.84</v>
      </c>
      <c r="I174" s="28">
        <f t="shared" si="67"/>
        <v>35737873.91</v>
      </c>
      <c r="J174" s="28">
        <f t="shared" si="67"/>
        <v>35563823.51</v>
      </c>
      <c r="K174" s="28">
        <f t="shared" si="67"/>
        <v>35489213.62</v>
      </c>
      <c r="L174" s="28">
        <f t="shared" si="67"/>
        <v>35468573.62</v>
      </c>
      <c r="M174" s="28">
        <f t="shared" si="67"/>
        <v>35464772.39</v>
      </c>
      <c r="O174" s="39" t="s">
        <v>309</v>
      </c>
      <c r="P174" s="28">
        <f t="shared" ref="P174:U174" si="68">H106*$B$101</f>
        <v>14109854.45</v>
      </c>
      <c r="Q174" s="28">
        <f t="shared" si="68"/>
        <v>14014852.51</v>
      </c>
      <c r="R174" s="28">
        <f t="shared" si="68"/>
        <v>13946597.45</v>
      </c>
      <c r="S174" s="28">
        <f t="shared" si="68"/>
        <v>13917338.68</v>
      </c>
      <c r="T174" s="28">
        <f t="shared" si="68"/>
        <v>13909244.56</v>
      </c>
      <c r="U174" s="28">
        <f t="shared" si="68"/>
        <v>13907753.88</v>
      </c>
      <c r="W174" s="39" t="s">
        <v>309</v>
      </c>
      <c r="X174" s="28">
        <f t="shared" ref="X174:AC174" si="69">H52*$B$102*$B$103*24*365</f>
        <v>84216657.65</v>
      </c>
      <c r="Y174" s="28">
        <f t="shared" si="69"/>
        <v>82801463.5</v>
      </c>
      <c r="Z174" s="28">
        <f t="shared" si="69"/>
        <v>81793589.04</v>
      </c>
      <c r="AA174" s="28">
        <f t="shared" si="69"/>
        <v>81363815.03</v>
      </c>
      <c r="AB174" s="28">
        <f t="shared" si="69"/>
        <v>81245163.02</v>
      </c>
      <c r="AC174" s="28">
        <f t="shared" si="69"/>
        <v>81223322.4</v>
      </c>
    </row>
    <row r="175">
      <c r="G175" s="39" t="s">
        <v>310</v>
      </c>
      <c r="H175" s="28">
        <f t="shared" ref="H175:M175" si="70">H107*$B$100</f>
        <v>22098324.73</v>
      </c>
      <c r="I175" s="28">
        <f t="shared" si="70"/>
        <v>22072460.43</v>
      </c>
      <c r="J175" s="28">
        <f t="shared" si="70"/>
        <v>22086326.32</v>
      </c>
      <c r="K175" s="28">
        <f t="shared" si="70"/>
        <v>22118188.69</v>
      </c>
      <c r="L175" s="28">
        <f t="shared" si="70"/>
        <v>22148013.83</v>
      </c>
      <c r="M175" s="28">
        <f t="shared" si="70"/>
        <v>22167303.94</v>
      </c>
      <c r="O175" s="39" t="s">
        <v>310</v>
      </c>
      <c r="P175" s="28">
        <f t="shared" ref="P175:U175" si="71">H107*$B$101</f>
        <v>8666009.699</v>
      </c>
      <c r="Q175" s="28">
        <f t="shared" si="71"/>
        <v>8655866.835</v>
      </c>
      <c r="R175" s="28">
        <f t="shared" si="71"/>
        <v>8661304.44</v>
      </c>
      <c r="S175" s="28">
        <f t="shared" si="71"/>
        <v>8673799.485</v>
      </c>
      <c r="T175" s="28">
        <f t="shared" si="71"/>
        <v>8685495.618</v>
      </c>
      <c r="U175" s="28">
        <f t="shared" si="71"/>
        <v>8693060.367</v>
      </c>
      <c r="W175" s="39" t="s">
        <v>310</v>
      </c>
      <c r="X175" s="28">
        <f t="shared" ref="X175:AC175" si="72">H53*$B$102*$B$103*24*365</f>
        <v>45705671.9</v>
      </c>
      <c r="Y175" s="28">
        <f t="shared" si="72"/>
        <v>45571587.89</v>
      </c>
      <c r="Z175" s="28">
        <f t="shared" si="72"/>
        <v>45643441.09</v>
      </c>
      <c r="AA175" s="28">
        <f t="shared" si="72"/>
        <v>45808810.09</v>
      </c>
      <c r="AB175" s="28">
        <f t="shared" si="72"/>
        <v>45963931.47</v>
      </c>
      <c r="AC175" s="28">
        <f t="shared" si="72"/>
        <v>46064427.76</v>
      </c>
    </row>
    <row r="177">
      <c r="H177" s="23" t="s">
        <v>332</v>
      </c>
      <c r="I177" s="7"/>
      <c r="J177" s="7"/>
      <c r="K177" s="7"/>
      <c r="L177" s="7"/>
      <c r="M177" s="8"/>
      <c r="P177" s="23" t="s">
        <v>333</v>
      </c>
      <c r="Q177" s="7"/>
      <c r="R177" s="7"/>
      <c r="S177" s="7"/>
      <c r="T177" s="7"/>
      <c r="U177" s="8"/>
      <c r="X177" s="23" t="s">
        <v>334</v>
      </c>
      <c r="Y177" s="7"/>
      <c r="Z177" s="7"/>
      <c r="AA177" s="7"/>
      <c r="AB177" s="7"/>
      <c r="AC177" s="8"/>
    </row>
    <row r="178">
      <c r="H178" s="24">
        <v>2025.0</v>
      </c>
      <c r="I178" s="24">
        <v>2026.0</v>
      </c>
      <c r="J178" s="24">
        <v>2027.0</v>
      </c>
      <c r="K178" s="24">
        <v>2028.0</v>
      </c>
      <c r="L178" s="24">
        <v>2029.0</v>
      </c>
      <c r="M178" s="24">
        <v>2030.0</v>
      </c>
      <c r="P178" s="24">
        <v>2025.0</v>
      </c>
      <c r="Q178" s="24">
        <v>2026.0</v>
      </c>
      <c r="R178" s="24">
        <v>2027.0</v>
      </c>
      <c r="S178" s="24">
        <v>2028.0</v>
      </c>
      <c r="T178" s="24">
        <v>2029.0</v>
      </c>
      <c r="U178" s="24">
        <v>2030.0</v>
      </c>
      <c r="X178" s="24">
        <v>2025.0</v>
      </c>
      <c r="Y178" s="24">
        <v>2026.0</v>
      </c>
      <c r="Z178" s="24">
        <v>2027.0</v>
      </c>
      <c r="AA178" s="24">
        <v>2028.0</v>
      </c>
      <c r="AB178" s="24">
        <v>2029.0</v>
      </c>
      <c r="AC178" s="24">
        <v>2030.0</v>
      </c>
    </row>
    <row r="179">
      <c r="G179" s="39" t="s">
        <v>312</v>
      </c>
      <c r="H179" s="28">
        <f t="shared" ref="H179:M179" si="73">H111*$B$100</f>
        <v>6552849.986</v>
      </c>
      <c r="I179" s="28">
        <f t="shared" si="73"/>
        <v>6511942.822</v>
      </c>
      <c r="J179" s="28">
        <f t="shared" si="73"/>
        <v>6471291.305</v>
      </c>
      <c r="K179" s="28">
        <f t="shared" si="73"/>
        <v>6430893.835</v>
      </c>
      <c r="L179" s="28">
        <f t="shared" si="73"/>
        <v>6390748.825</v>
      </c>
      <c r="M179" s="28">
        <f t="shared" si="73"/>
        <v>6350854.695</v>
      </c>
      <c r="O179" s="39" t="s">
        <v>312</v>
      </c>
      <c r="P179" s="28">
        <f t="shared" ref="P179:U179" si="74">H111*$B$101</f>
        <v>2569745.092</v>
      </c>
      <c r="Q179" s="28">
        <f t="shared" si="74"/>
        <v>2553703.067</v>
      </c>
      <c r="R179" s="28">
        <f t="shared" si="74"/>
        <v>2537761.296</v>
      </c>
      <c r="S179" s="28">
        <f t="shared" si="74"/>
        <v>2521919.151</v>
      </c>
      <c r="T179" s="28">
        <f t="shared" si="74"/>
        <v>2506176.01</v>
      </c>
      <c r="U179" s="28">
        <f t="shared" si="74"/>
        <v>2490531.253</v>
      </c>
      <c r="W179" s="39" t="s">
        <v>312</v>
      </c>
      <c r="X179" s="28">
        <f t="shared" ref="X179:AC179" si="75">H57*$B$102*$B$103*24*365</f>
        <v>6159852.22</v>
      </c>
      <c r="Y179" s="28">
        <f t="shared" si="75"/>
        <v>6063785.897</v>
      </c>
      <c r="Z179" s="28">
        <f t="shared" si="75"/>
        <v>5969217.781</v>
      </c>
      <c r="AA179" s="28">
        <f t="shared" si="75"/>
        <v>5876124.508</v>
      </c>
      <c r="AB179" s="28">
        <f t="shared" si="75"/>
        <v>5784483.076</v>
      </c>
      <c r="AC179" s="28">
        <f t="shared" si="75"/>
        <v>5694270.843</v>
      </c>
    </row>
    <row r="180">
      <c r="G180" s="39" t="s">
        <v>313</v>
      </c>
      <c r="H180" s="28">
        <f t="shared" ref="H180:M180" si="76">H112*$B$100</f>
        <v>6992226.714</v>
      </c>
      <c r="I180" s="28">
        <f t="shared" si="76"/>
        <v>6948573.613</v>
      </c>
      <c r="J180" s="28">
        <f t="shared" si="76"/>
        <v>6905193.334</v>
      </c>
      <c r="K180" s="28">
        <f t="shared" si="76"/>
        <v>6862084.17</v>
      </c>
      <c r="L180" s="28">
        <f t="shared" si="76"/>
        <v>6819244.426</v>
      </c>
      <c r="M180" s="28">
        <f t="shared" si="76"/>
        <v>6776672.415</v>
      </c>
      <c r="O180" s="39" t="s">
        <v>313</v>
      </c>
      <c r="P180" s="28">
        <f t="shared" ref="P180:U180" si="77">H112*$B$101</f>
        <v>2742049.692</v>
      </c>
      <c r="Q180" s="28">
        <f t="shared" si="77"/>
        <v>2724930.829</v>
      </c>
      <c r="R180" s="28">
        <f t="shared" si="77"/>
        <v>2707918.955</v>
      </c>
      <c r="S180" s="28">
        <f t="shared" si="77"/>
        <v>2691013.4</v>
      </c>
      <c r="T180" s="28">
        <f t="shared" si="77"/>
        <v>2674213.5</v>
      </c>
      <c r="U180" s="28">
        <f t="shared" si="77"/>
        <v>2657518.594</v>
      </c>
      <c r="W180" s="39" t="s">
        <v>313</v>
      </c>
      <c r="X180" s="28">
        <f t="shared" ref="X180:AC180" si="78">H58*$B$102*$B$103*24*365</f>
        <v>7249596.66</v>
      </c>
      <c r="Y180" s="28">
        <f t="shared" si="78"/>
        <v>7136535.166</v>
      </c>
      <c r="Z180" s="28">
        <f t="shared" si="78"/>
        <v>7025236.928</v>
      </c>
      <c r="AA180" s="28">
        <f t="shared" si="78"/>
        <v>6915674.449</v>
      </c>
      <c r="AB180" s="28">
        <f t="shared" si="78"/>
        <v>6807820.657</v>
      </c>
      <c r="AC180" s="28">
        <f t="shared" si="78"/>
        <v>6701648.905</v>
      </c>
    </row>
    <row r="181">
      <c r="G181" s="39" t="s">
        <v>314</v>
      </c>
      <c r="H181" s="28">
        <f t="shared" ref="H181:M181" si="79">H113*$B$100</f>
        <v>24959481.78</v>
      </c>
      <c r="I181" s="28">
        <f t="shared" si="79"/>
        <v>24803568</v>
      </c>
      <c r="J181" s="28">
        <f t="shared" si="79"/>
        <v>24648629.05</v>
      </c>
      <c r="K181" s="28">
        <f t="shared" si="79"/>
        <v>24494658.84</v>
      </c>
      <c r="L181" s="28">
        <f t="shared" si="79"/>
        <v>24341651.29</v>
      </c>
      <c r="M181" s="28">
        <f t="shared" si="79"/>
        <v>24189600.4</v>
      </c>
      <c r="O181" s="39" t="s">
        <v>314</v>
      </c>
      <c r="P181" s="28">
        <f t="shared" ref="P181:U181" si="80">H113*$B$101</f>
        <v>9788032.071</v>
      </c>
      <c r="Q181" s="28">
        <f t="shared" si="80"/>
        <v>9726889.412</v>
      </c>
      <c r="R181" s="28">
        <f t="shared" si="80"/>
        <v>9666129.04</v>
      </c>
      <c r="S181" s="28">
        <f t="shared" si="80"/>
        <v>9605748.564</v>
      </c>
      <c r="T181" s="28">
        <f t="shared" si="80"/>
        <v>9545745.606</v>
      </c>
      <c r="U181" s="28">
        <f t="shared" si="80"/>
        <v>9486117.804</v>
      </c>
      <c r="W181" s="39" t="s">
        <v>314</v>
      </c>
      <c r="X181" s="28">
        <f t="shared" ref="X181:AC181" si="81">H59*$B$102*$B$103*24*365</f>
        <v>62031615.3</v>
      </c>
      <c r="Y181" s="28">
        <f t="shared" si="81"/>
        <v>61064197.74</v>
      </c>
      <c r="Z181" s="28">
        <f t="shared" si="81"/>
        <v>60111867.59</v>
      </c>
      <c r="AA181" s="28">
        <f t="shared" si="81"/>
        <v>59174389.56</v>
      </c>
      <c r="AB181" s="28">
        <f t="shared" si="81"/>
        <v>58251532.03</v>
      </c>
      <c r="AC181" s="28">
        <f t="shared" si="81"/>
        <v>57343066.97</v>
      </c>
    </row>
    <row r="182">
      <c r="G182" s="39" t="s">
        <v>315</v>
      </c>
      <c r="H182" s="28">
        <f t="shared" ref="H182:M182" si="82">H114*$B$100</f>
        <v>8099527.657</v>
      </c>
      <c r="I182" s="28">
        <f t="shared" si="82"/>
        <v>8048953.773</v>
      </c>
      <c r="J182" s="28">
        <f t="shared" si="82"/>
        <v>7998695.999</v>
      </c>
      <c r="K182" s="28">
        <f t="shared" si="82"/>
        <v>7948752.358</v>
      </c>
      <c r="L182" s="28">
        <f t="shared" si="82"/>
        <v>7899120.886</v>
      </c>
      <c r="M182" s="28">
        <f t="shared" si="82"/>
        <v>7849799.628</v>
      </c>
      <c r="O182" s="39" t="s">
        <v>315</v>
      </c>
      <c r="P182" s="28">
        <f t="shared" ref="P182:U182" si="83">H114*$B$101</f>
        <v>3176285.356</v>
      </c>
      <c r="Q182" s="28">
        <f t="shared" si="83"/>
        <v>3156452.46</v>
      </c>
      <c r="R182" s="28">
        <f t="shared" si="83"/>
        <v>3136743.529</v>
      </c>
      <c r="S182" s="28">
        <f t="shared" si="83"/>
        <v>3117157.788</v>
      </c>
      <c r="T182" s="28">
        <f t="shared" si="83"/>
        <v>3097694.465</v>
      </c>
      <c r="U182" s="28">
        <f t="shared" si="83"/>
        <v>3078352.795</v>
      </c>
      <c r="W182" s="39" t="s">
        <v>315</v>
      </c>
      <c r="X182" s="28">
        <f t="shared" ref="X182:AC182" si="84">H60*$B$102*$B$103*24*365</f>
        <v>10484344.98</v>
      </c>
      <c r="Y182" s="28">
        <f t="shared" si="84"/>
        <v>10320835.78</v>
      </c>
      <c r="Z182" s="28">
        <f t="shared" si="84"/>
        <v>10159876.6</v>
      </c>
      <c r="AA182" s="28">
        <f t="shared" si="84"/>
        <v>10001427.67</v>
      </c>
      <c r="AB182" s="28">
        <f t="shared" si="84"/>
        <v>9845449.842</v>
      </c>
      <c r="AC182" s="28">
        <f t="shared" si="84"/>
        <v>9691904.573</v>
      </c>
    </row>
    <row r="183">
      <c r="G183" s="39" t="s">
        <v>316</v>
      </c>
      <c r="H183" s="28">
        <f t="shared" ref="H183:M183" si="85">H115*$B$100</f>
        <v>47318686.16</v>
      </c>
      <c r="I183" s="28">
        <f t="shared" si="85"/>
        <v>47023116.27</v>
      </c>
      <c r="J183" s="28">
        <f t="shared" si="85"/>
        <v>46729394.32</v>
      </c>
      <c r="K183" s="28">
        <f t="shared" si="85"/>
        <v>46437508.76</v>
      </c>
      <c r="L183" s="28">
        <f t="shared" si="85"/>
        <v>38816449.6</v>
      </c>
      <c r="M183" s="28">
        <f t="shared" si="85"/>
        <v>38573967.86</v>
      </c>
      <c r="O183" s="39" t="s">
        <v>316</v>
      </c>
      <c r="P183" s="28">
        <f t="shared" ref="P183:U183" si="86">H115*$B$101</f>
        <v>18556347.51</v>
      </c>
      <c r="Q183" s="28">
        <f t="shared" si="86"/>
        <v>18440437.75</v>
      </c>
      <c r="R183" s="28">
        <f t="shared" si="86"/>
        <v>18325252.68</v>
      </c>
      <c r="S183" s="28">
        <f t="shared" si="86"/>
        <v>18210787.75</v>
      </c>
      <c r="T183" s="28">
        <f t="shared" si="86"/>
        <v>15222137.1</v>
      </c>
      <c r="U183" s="28">
        <f t="shared" si="86"/>
        <v>15127046.22</v>
      </c>
      <c r="W183" s="39" t="s">
        <v>316</v>
      </c>
      <c r="X183" s="28">
        <f t="shared" ref="X183:AC183" si="87">H61*$B$102*$B$103*24*365</f>
        <v>108483560.7</v>
      </c>
      <c r="Y183" s="28">
        <f t="shared" si="87"/>
        <v>106791699.2</v>
      </c>
      <c r="Z183" s="28">
        <f t="shared" si="87"/>
        <v>105126223.2</v>
      </c>
      <c r="AA183" s="28">
        <f t="shared" si="87"/>
        <v>103486721.3</v>
      </c>
      <c r="AB183" s="28">
        <f t="shared" si="87"/>
        <v>101872788.3</v>
      </c>
      <c r="AC183" s="28">
        <f t="shared" si="87"/>
        <v>100284025.4</v>
      </c>
    </row>
    <row r="184">
      <c r="G184" s="39" t="s">
        <v>317</v>
      </c>
      <c r="H184" s="28">
        <f t="shared" ref="H184:M184" si="88">H116*$B$100</f>
        <v>21169988.09</v>
      </c>
      <c r="I184" s="28">
        <f t="shared" si="88"/>
        <v>21037766.43</v>
      </c>
      <c r="J184" s="28">
        <f t="shared" si="88"/>
        <v>20906371.37</v>
      </c>
      <c r="K184" s="28">
        <f t="shared" si="88"/>
        <v>20775797.76</v>
      </c>
      <c r="L184" s="28">
        <f t="shared" si="88"/>
        <v>20646040.44</v>
      </c>
      <c r="M184" s="28">
        <f t="shared" si="88"/>
        <v>20517094.3</v>
      </c>
      <c r="O184" s="39" t="s">
        <v>317</v>
      </c>
      <c r="P184" s="28">
        <f t="shared" ref="P184:U184" si="89">H116*$B$101</f>
        <v>8301956.113</v>
      </c>
      <c r="Q184" s="28">
        <f t="shared" si="89"/>
        <v>8250104.481</v>
      </c>
      <c r="R184" s="28">
        <f t="shared" si="89"/>
        <v>8198577.009</v>
      </c>
      <c r="S184" s="28">
        <f t="shared" si="89"/>
        <v>8147371.669</v>
      </c>
      <c r="T184" s="28">
        <f t="shared" si="89"/>
        <v>8096486.445</v>
      </c>
      <c r="U184" s="28">
        <f t="shared" si="89"/>
        <v>8045919.335</v>
      </c>
      <c r="W184" s="39" t="s">
        <v>317</v>
      </c>
      <c r="X184" s="28">
        <f t="shared" ref="X184:AC184" si="90">H62*$B$102*$B$103*24*365</f>
        <v>41040263.25</v>
      </c>
      <c r="Y184" s="28">
        <f t="shared" si="90"/>
        <v>40400217.51</v>
      </c>
      <c r="Z184" s="28">
        <f t="shared" si="90"/>
        <v>39770153.63</v>
      </c>
      <c r="AA184" s="28">
        <f t="shared" si="90"/>
        <v>39149915.95</v>
      </c>
      <c r="AB184" s="28">
        <f t="shared" si="90"/>
        <v>38539351.23</v>
      </c>
      <c r="AC184" s="28">
        <f t="shared" si="90"/>
        <v>37938308.6</v>
      </c>
    </row>
    <row r="188">
      <c r="H188" s="45" t="s">
        <v>335</v>
      </c>
      <c r="I188" s="7"/>
      <c r="J188" s="7"/>
      <c r="K188" s="7"/>
      <c r="L188" s="7"/>
      <c r="M188" s="8"/>
      <c r="Q188" s="1"/>
      <c r="Y188" s="5"/>
      <c r="Z188" s="5"/>
      <c r="AA188" s="5"/>
    </row>
    <row r="189">
      <c r="H189" s="24">
        <v>2025.0</v>
      </c>
      <c r="I189" s="24">
        <v>2026.0</v>
      </c>
      <c r="J189" s="24">
        <v>2027.0</v>
      </c>
      <c r="K189" s="24">
        <v>2028.0</v>
      </c>
      <c r="L189" s="24">
        <v>2029.0</v>
      </c>
      <c r="M189" s="24">
        <v>2030.0</v>
      </c>
      <c r="Q189" s="1"/>
      <c r="R189" s="5"/>
      <c r="S189" s="5"/>
      <c r="T189" s="5"/>
      <c r="U189" s="5"/>
      <c r="Y189" s="5"/>
      <c r="Z189" s="5"/>
      <c r="AA189" s="5"/>
    </row>
    <row r="190">
      <c r="G190" s="39" t="s">
        <v>305</v>
      </c>
      <c r="H190" s="28">
        <f t="shared" ref="H190:M190" si="91">H170+P170+X170</f>
        <v>14769320.09</v>
      </c>
      <c r="I190" s="28">
        <f t="shared" si="91"/>
        <v>14696521.96</v>
      </c>
      <c r="J190" s="28">
        <f t="shared" si="91"/>
        <v>14673835.71</v>
      </c>
      <c r="K190" s="28">
        <f t="shared" si="91"/>
        <v>14669356.79</v>
      </c>
      <c r="L190" s="28">
        <f t="shared" si="91"/>
        <v>14668775.02</v>
      </c>
      <c r="M190" s="28">
        <f t="shared" si="91"/>
        <v>14668724.45</v>
      </c>
      <c r="Q190" s="1"/>
      <c r="U190" s="5"/>
      <c r="Y190" s="5"/>
      <c r="Z190" s="5"/>
      <c r="AA190" s="5"/>
    </row>
    <row r="191">
      <c r="G191" s="39" t="s">
        <v>306</v>
      </c>
      <c r="H191" s="28">
        <f t="shared" ref="H191:M191" si="92">H171+P171+X171</f>
        <v>16728034.66</v>
      </c>
      <c r="I191" s="28">
        <f t="shared" si="92"/>
        <v>16733142.61</v>
      </c>
      <c r="J191" s="28">
        <f t="shared" si="92"/>
        <v>16734542.35</v>
      </c>
      <c r="K191" s="28">
        <f t="shared" si="92"/>
        <v>16734884.85</v>
      </c>
      <c r="L191" s="28">
        <f t="shared" si="92"/>
        <v>16734959.32</v>
      </c>
      <c r="M191" s="28">
        <f t="shared" si="92"/>
        <v>16734973.56</v>
      </c>
      <c r="Q191" s="1"/>
      <c r="R191" s="5"/>
      <c r="S191" s="5"/>
      <c r="T191" s="5"/>
      <c r="U191" s="5"/>
      <c r="Y191" s="5"/>
      <c r="Z191" s="5"/>
      <c r="AA191" s="5"/>
    </row>
    <row r="192">
      <c r="G192" s="39" t="s">
        <v>307</v>
      </c>
      <c r="H192" s="28">
        <f t="shared" ref="H192:M192" si="93">H172+P172+X172</f>
        <v>96997550.36</v>
      </c>
      <c r="I192" s="28">
        <f t="shared" si="93"/>
        <v>96865919.88</v>
      </c>
      <c r="J192" s="28">
        <f t="shared" si="93"/>
        <v>96864343.89</v>
      </c>
      <c r="K192" s="28">
        <f t="shared" si="93"/>
        <v>96875184.96</v>
      </c>
      <c r="L192" s="28">
        <f t="shared" si="93"/>
        <v>96874371.45</v>
      </c>
      <c r="M192" s="28">
        <f t="shared" si="93"/>
        <v>96870420.02</v>
      </c>
      <c r="Q192" s="1"/>
      <c r="U192" s="5"/>
      <c r="Y192" s="5"/>
      <c r="Z192" s="5"/>
      <c r="AA192" s="5"/>
    </row>
    <row r="193">
      <c r="G193" s="39" t="s">
        <v>308</v>
      </c>
      <c r="H193" s="28">
        <f t="shared" ref="H193:M193" si="94">H173+P173+X173</f>
        <v>20595145.13</v>
      </c>
      <c r="I193" s="28">
        <f t="shared" si="94"/>
        <v>19548924.85</v>
      </c>
      <c r="J193" s="28">
        <f t="shared" si="94"/>
        <v>18548525.55</v>
      </c>
      <c r="K193" s="28">
        <f t="shared" si="94"/>
        <v>17711781.76</v>
      </c>
      <c r="L193" s="28">
        <f t="shared" si="94"/>
        <v>17086501.39</v>
      </c>
      <c r="M193" s="28">
        <f t="shared" si="94"/>
        <v>16664563.79</v>
      </c>
      <c r="Q193" s="1"/>
      <c r="R193" s="5"/>
      <c r="S193" s="5"/>
      <c r="T193" s="5"/>
      <c r="U193" s="5"/>
      <c r="Y193" s="5"/>
      <c r="Z193" s="5"/>
      <c r="AA193" s="5"/>
    </row>
    <row r="194">
      <c r="G194" s="39" t="s">
        <v>309</v>
      </c>
      <c r="H194" s="28">
        <f t="shared" ref="H194:M194" si="95">H174+P174+X174</f>
        <v>134306640.9</v>
      </c>
      <c r="I194" s="28">
        <f t="shared" si="95"/>
        <v>132554189.9</v>
      </c>
      <c r="J194" s="28">
        <f t="shared" si="95"/>
        <v>131304010</v>
      </c>
      <c r="K194" s="28">
        <f t="shared" si="95"/>
        <v>130770367.3</v>
      </c>
      <c r="L194" s="28">
        <f t="shared" si="95"/>
        <v>130622981.2</v>
      </c>
      <c r="M194" s="28">
        <f t="shared" si="95"/>
        <v>130595848.7</v>
      </c>
      <c r="Q194" s="1"/>
      <c r="U194" s="5"/>
      <c r="Y194" s="5"/>
      <c r="Z194" s="5"/>
      <c r="AA194" s="5"/>
    </row>
    <row r="195">
      <c r="G195" s="39" t="s">
        <v>310</v>
      </c>
      <c r="H195" s="28">
        <f t="shared" ref="H195:M195" si="96">H175+P175+X175</f>
        <v>76470006.33</v>
      </c>
      <c r="I195" s="28">
        <f t="shared" si="96"/>
        <v>76299915.15</v>
      </c>
      <c r="J195" s="28">
        <f t="shared" si="96"/>
        <v>76391071.85</v>
      </c>
      <c r="K195" s="28">
        <f t="shared" si="96"/>
        <v>76600798.26</v>
      </c>
      <c r="L195" s="28">
        <f t="shared" si="96"/>
        <v>76797440.91</v>
      </c>
      <c r="M195" s="28">
        <f t="shared" si="96"/>
        <v>76924792.07</v>
      </c>
      <c r="Q195" s="1"/>
      <c r="R195" s="5"/>
      <c r="S195" s="5"/>
      <c r="T195" s="5"/>
      <c r="U195" s="5"/>
      <c r="Y195" s="5"/>
      <c r="Z195" s="5"/>
      <c r="AA195" s="5"/>
    </row>
    <row r="196">
      <c r="Q196" s="1"/>
      <c r="Y196" s="5"/>
      <c r="Z196" s="5"/>
      <c r="AA196" s="5"/>
    </row>
    <row r="197">
      <c r="H197" s="45" t="s">
        <v>336</v>
      </c>
      <c r="I197" s="7"/>
      <c r="J197" s="7"/>
      <c r="K197" s="7"/>
      <c r="L197" s="7"/>
      <c r="M197" s="8"/>
      <c r="Q197" s="1"/>
      <c r="R197" s="5"/>
      <c r="S197" s="5"/>
      <c r="T197" s="5"/>
      <c r="Y197" s="5"/>
      <c r="Z197" s="5"/>
      <c r="AA197" s="5"/>
    </row>
    <row r="198">
      <c r="H198" s="24">
        <v>2025.0</v>
      </c>
      <c r="I198" s="24">
        <v>2026.0</v>
      </c>
      <c r="J198" s="24">
        <v>2027.0</v>
      </c>
      <c r="K198" s="24">
        <v>2028.0</v>
      </c>
      <c r="L198" s="24">
        <v>2029.0</v>
      </c>
      <c r="M198" s="24">
        <v>2030.0</v>
      </c>
      <c r="Q198" s="1"/>
      <c r="U198" s="5"/>
      <c r="Y198" s="5"/>
      <c r="Z198" s="5"/>
      <c r="AA198" s="5"/>
    </row>
    <row r="199">
      <c r="G199" s="39" t="s">
        <v>312</v>
      </c>
      <c r="H199" s="28">
        <f t="shared" ref="H199:M199" si="97">H179+P179+X179</f>
        <v>15282447.3</v>
      </c>
      <c r="I199" s="28">
        <f t="shared" si="97"/>
        <v>15129431.79</v>
      </c>
      <c r="J199" s="28">
        <f t="shared" si="97"/>
        <v>14978270.38</v>
      </c>
      <c r="K199" s="28">
        <f t="shared" si="97"/>
        <v>14828937.49</v>
      </c>
      <c r="L199" s="28">
        <f t="shared" si="97"/>
        <v>14681407.91</v>
      </c>
      <c r="M199" s="28">
        <f t="shared" si="97"/>
        <v>14535656.79</v>
      </c>
      <c r="Q199" s="1"/>
      <c r="R199" s="5"/>
      <c r="S199" s="5"/>
      <c r="T199" s="5"/>
      <c r="U199" s="5"/>
      <c r="Y199" s="5"/>
      <c r="Z199" s="5"/>
      <c r="AA199" s="5"/>
    </row>
    <row r="200">
      <c r="G200" s="39" t="s">
        <v>313</v>
      </c>
      <c r="H200" s="28">
        <f t="shared" ref="H200:M200" si="98">H180+P180+X180</f>
        <v>16983873.07</v>
      </c>
      <c r="I200" s="28">
        <f t="shared" si="98"/>
        <v>16810039.61</v>
      </c>
      <c r="J200" s="28">
        <f t="shared" si="98"/>
        <v>16638349.22</v>
      </c>
      <c r="K200" s="28">
        <f t="shared" si="98"/>
        <v>16468772.02</v>
      </c>
      <c r="L200" s="28">
        <f t="shared" si="98"/>
        <v>16301278.58</v>
      </c>
      <c r="M200" s="28">
        <f t="shared" si="98"/>
        <v>16135839.91</v>
      </c>
      <c r="Q200" s="1"/>
      <c r="U200" s="5"/>
      <c r="Y200" s="5"/>
      <c r="Z200" s="5"/>
      <c r="AA200" s="5"/>
    </row>
    <row r="201">
      <c r="G201" s="39" t="s">
        <v>314</v>
      </c>
      <c r="H201" s="28">
        <f t="shared" ref="H201:M201" si="99">H181+P181+X181</f>
        <v>96779129.15</v>
      </c>
      <c r="I201" s="28">
        <f t="shared" si="99"/>
        <v>95594655.15</v>
      </c>
      <c r="J201" s="28">
        <f t="shared" si="99"/>
        <v>94426625.68</v>
      </c>
      <c r="K201" s="28">
        <f t="shared" si="99"/>
        <v>93274796.96</v>
      </c>
      <c r="L201" s="28">
        <f t="shared" si="99"/>
        <v>92138928.93</v>
      </c>
      <c r="M201" s="28">
        <f t="shared" si="99"/>
        <v>91018785.17</v>
      </c>
      <c r="Q201" s="1"/>
      <c r="U201" s="5"/>
      <c r="Y201" s="5"/>
      <c r="Z201" s="5"/>
      <c r="AA201" s="5"/>
    </row>
    <row r="202">
      <c r="G202" s="39" t="s">
        <v>315</v>
      </c>
      <c r="H202" s="28">
        <f t="shared" ref="H202:M202" si="100">H182+P182+X182</f>
        <v>21760157.99</v>
      </c>
      <c r="I202" s="28">
        <f t="shared" si="100"/>
        <v>21526242.01</v>
      </c>
      <c r="J202" s="28">
        <f t="shared" si="100"/>
        <v>21295316.13</v>
      </c>
      <c r="K202" s="28">
        <f t="shared" si="100"/>
        <v>21067337.82</v>
      </c>
      <c r="L202" s="28">
        <f t="shared" si="100"/>
        <v>20842265.19</v>
      </c>
      <c r="M202" s="28">
        <f t="shared" si="100"/>
        <v>20620057</v>
      </c>
      <c r="Q202" s="1"/>
      <c r="U202" s="5"/>
      <c r="Y202" s="5"/>
      <c r="Z202" s="5"/>
      <c r="AA202" s="5"/>
    </row>
    <row r="203">
      <c r="G203" s="39" t="s">
        <v>316</v>
      </c>
      <c r="H203" s="28">
        <f t="shared" ref="H203:M203" si="101">H183+P183+X183</f>
        <v>174358594.4</v>
      </c>
      <c r="I203" s="28">
        <f t="shared" si="101"/>
        <v>172255253.2</v>
      </c>
      <c r="J203" s="28">
        <f t="shared" si="101"/>
        <v>170180870.2</v>
      </c>
      <c r="K203" s="28">
        <f t="shared" si="101"/>
        <v>168135017.8</v>
      </c>
      <c r="L203" s="28">
        <f t="shared" si="101"/>
        <v>155911375</v>
      </c>
      <c r="M203" s="28">
        <f t="shared" si="101"/>
        <v>153985039.5</v>
      </c>
      <c r="Q203" s="1"/>
      <c r="U203" s="5"/>
      <c r="Y203" s="5"/>
      <c r="Z203" s="5"/>
      <c r="AA203" s="5"/>
    </row>
    <row r="204">
      <c r="G204" s="39" t="s">
        <v>317</v>
      </c>
      <c r="H204" s="28">
        <f t="shared" ref="H204:M204" si="102">H184+P184+X184</f>
        <v>70512207.45</v>
      </c>
      <c r="I204" s="28">
        <f t="shared" si="102"/>
        <v>69688088.42</v>
      </c>
      <c r="J204" s="28">
        <f t="shared" si="102"/>
        <v>68875102.01</v>
      </c>
      <c r="K204" s="28">
        <f t="shared" si="102"/>
        <v>68073085.38</v>
      </c>
      <c r="L204" s="28">
        <f t="shared" si="102"/>
        <v>67281878.11</v>
      </c>
      <c r="M204" s="28">
        <f t="shared" si="102"/>
        <v>66501322.24</v>
      </c>
      <c r="Q204" s="1"/>
      <c r="U204" s="5"/>
      <c r="Y204" s="5"/>
      <c r="Z204" s="5"/>
      <c r="AA204" s="5"/>
    </row>
    <row r="205">
      <c r="Q205" s="1"/>
      <c r="Y205" s="5"/>
      <c r="Z205" s="5"/>
      <c r="AA205" s="5"/>
    </row>
    <row r="206">
      <c r="Q206" s="1"/>
      <c r="Y206" s="5"/>
      <c r="Z206" s="5"/>
      <c r="AA206" s="5"/>
    </row>
    <row r="207">
      <c r="Q207" s="1"/>
      <c r="U207" s="5"/>
      <c r="Y207" s="5"/>
      <c r="Z207" s="5"/>
      <c r="AA207" s="5"/>
    </row>
    <row r="208">
      <c r="Q208" s="1"/>
      <c r="U208" s="5"/>
      <c r="Y208" s="5"/>
      <c r="Z208" s="5"/>
      <c r="AA208" s="5"/>
    </row>
    <row r="209">
      <c r="Q209" s="1"/>
      <c r="U209" s="5"/>
      <c r="Y209" s="5"/>
      <c r="Z209" s="5"/>
      <c r="AA209" s="5"/>
    </row>
    <row r="210">
      <c r="Q210" s="1"/>
      <c r="U210" s="5"/>
      <c r="Y210" s="5"/>
      <c r="Z210" s="5"/>
      <c r="AA210" s="5"/>
    </row>
    <row r="211">
      <c r="Q211" s="1"/>
      <c r="U211" s="5"/>
      <c r="Y211" s="5"/>
      <c r="Z211" s="5"/>
      <c r="AA211" s="5"/>
    </row>
    <row r="212">
      <c r="U212" s="5"/>
    </row>
    <row r="213">
      <c r="Q213" s="1"/>
      <c r="U213" s="5"/>
    </row>
    <row r="214">
      <c r="Q214" s="1"/>
    </row>
    <row r="215">
      <c r="Q215" s="1"/>
    </row>
    <row r="216">
      <c r="Q216" s="1"/>
    </row>
    <row r="217">
      <c r="Q217" s="1"/>
    </row>
    <row r="218">
      <c r="Q218" s="1"/>
    </row>
    <row r="219">
      <c r="Q219" s="1"/>
    </row>
    <row r="220">
      <c r="Q220" s="1"/>
    </row>
    <row r="221">
      <c r="Q221" s="1"/>
    </row>
    <row r="222">
      <c r="Q222" s="1"/>
    </row>
    <row r="223">
      <c r="Q223" s="1"/>
    </row>
    <row r="224">
      <c r="Q224" s="1"/>
    </row>
  </sheetData>
  <mergeCells count="19">
    <mergeCell ref="H1:M1"/>
    <mergeCell ref="H10:M10"/>
    <mergeCell ref="H19:M19"/>
    <mergeCell ref="H28:M28"/>
    <mergeCell ref="H37:M37"/>
    <mergeCell ref="H46:M46"/>
    <mergeCell ref="H55:M55"/>
    <mergeCell ref="H177:M177"/>
    <mergeCell ref="P177:U177"/>
    <mergeCell ref="X177:AC177"/>
    <mergeCell ref="H188:M188"/>
    <mergeCell ref="H197:M197"/>
    <mergeCell ref="H100:M100"/>
    <mergeCell ref="H109:M109"/>
    <mergeCell ref="H118:M118"/>
    <mergeCell ref="H127:M127"/>
    <mergeCell ref="H168:M168"/>
    <mergeCell ref="P168:U168"/>
    <mergeCell ref="X168:AC168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