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thiag\GitHub\costcaster\data\"/>
    </mc:Choice>
  </mc:AlternateContent>
  <xr:revisionPtr revIDLastSave="0" documentId="13_ncr:1_{72229C7D-0171-418E-A9B2-075C02168E0E}" xr6:coauthVersionLast="47" xr6:coauthVersionMax="47" xr10:uidLastSave="{00000000-0000-0000-0000-000000000000}"/>
  <bookViews>
    <workbookView xWindow="-108" yWindow="-108" windowWidth="23256" windowHeight="12456" firstSheet="6" activeTab="9" xr2:uid="{00000000-000D-0000-FFFF-FFFF00000000}"/>
  </bookViews>
  <sheets>
    <sheet name="Custo energia compressão" sheetId="1" r:id="rId1"/>
    <sheet name="Custo O&amp;M compressão" sheetId="2" r:id="rId2"/>
    <sheet name="Forecast" sheetId="3" r:id="rId3"/>
    <sheet name="Avaliação" sheetId="4" r:id="rId4"/>
    <sheet name="Cópia de Custo energia compress" sheetId="5" r:id="rId5"/>
    <sheet name="Cópia de Custo O&amp;M compressão" sheetId="6" r:id="rId6"/>
    <sheet name="Project Maturity Class" sheetId="7" r:id="rId7"/>
    <sheet name="Atividades das plantas" sheetId="8" r:id="rId8"/>
    <sheet name="Avaliação Forecast 14_08" sheetId="9" r:id="rId9"/>
    <sheet name="Avaliação Forecast 27_08" sheetId="10" r:id="rId10"/>
    <sheet name="HTA plants" sheetId="11" r:id="rId11"/>
    <sheet name="Folha7" sheetId="12" r:id="rId12"/>
    <sheet name="Folha8" sheetId="13" r:id="rId13"/>
    <sheet name="Cópia de Folha8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0" l="1"/>
  <c r="H99" i="9"/>
  <c r="G15" i="11"/>
  <c r="H15" i="11" s="1"/>
  <c r="G14" i="11"/>
  <c r="H14" i="11" s="1"/>
  <c r="H13" i="11"/>
  <c r="G13" i="11"/>
  <c r="G12" i="11"/>
  <c r="H12" i="11" s="1"/>
  <c r="G11" i="11"/>
  <c r="E11" i="11"/>
  <c r="H11" i="11" s="1"/>
  <c r="G10" i="11"/>
  <c r="H10" i="11" s="1"/>
  <c r="E10" i="11"/>
  <c r="G9" i="11"/>
  <c r="H9" i="11" s="1"/>
  <c r="E7" i="11"/>
  <c r="G5" i="11" s="1"/>
  <c r="H5" i="11" s="1"/>
  <c r="G3" i="11"/>
  <c r="H3" i="11" s="1"/>
  <c r="B110" i="10"/>
  <c r="A113" i="10" s="1"/>
  <c r="B113" i="10" s="1"/>
  <c r="C113" i="10" s="1"/>
  <c r="D113" i="10" s="1"/>
  <c r="E113" i="10" s="1"/>
  <c r="L43" i="10"/>
  <c r="J42" i="10"/>
  <c r="H41" i="10"/>
  <c r="L39" i="10"/>
  <c r="M35" i="10"/>
  <c r="L35" i="10"/>
  <c r="K35" i="10"/>
  <c r="J35" i="10"/>
  <c r="I35" i="10"/>
  <c r="H35" i="10"/>
  <c r="M34" i="10"/>
  <c r="L34" i="10"/>
  <c r="K34" i="10"/>
  <c r="J34" i="10"/>
  <c r="I34" i="10"/>
  <c r="H34" i="10"/>
  <c r="M33" i="10"/>
  <c r="L33" i="10"/>
  <c r="K33" i="10"/>
  <c r="J33" i="10"/>
  <c r="I33" i="10"/>
  <c r="H33" i="10"/>
  <c r="M32" i="10"/>
  <c r="L32" i="10"/>
  <c r="K32" i="10"/>
  <c r="J32" i="10"/>
  <c r="I32" i="10"/>
  <c r="H32" i="10"/>
  <c r="M31" i="10"/>
  <c r="L31" i="10"/>
  <c r="K31" i="10"/>
  <c r="J31" i="10"/>
  <c r="I31" i="10"/>
  <c r="H31" i="10"/>
  <c r="M30" i="10"/>
  <c r="L30" i="10"/>
  <c r="K30" i="10"/>
  <c r="J30" i="10"/>
  <c r="I30" i="10"/>
  <c r="H30" i="10"/>
  <c r="D30" i="10"/>
  <c r="D29" i="10" s="1"/>
  <c r="M26" i="10"/>
  <c r="M44" i="10" s="1"/>
  <c r="L26" i="10"/>
  <c r="L44" i="10" s="1"/>
  <c r="K26" i="10"/>
  <c r="K44" i="10" s="1"/>
  <c r="J26" i="10"/>
  <c r="J44" i="10" s="1"/>
  <c r="I26" i="10"/>
  <c r="I44" i="10" s="1"/>
  <c r="H26" i="10"/>
  <c r="H44" i="10" s="1"/>
  <c r="D26" i="10"/>
  <c r="D25" i="10" s="1"/>
  <c r="D27" i="10" s="1"/>
  <c r="M25" i="10"/>
  <c r="M43" i="10" s="1"/>
  <c r="L25" i="10"/>
  <c r="K25" i="10"/>
  <c r="K43" i="10" s="1"/>
  <c r="J25" i="10"/>
  <c r="J43" i="10" s="1"/>
  <c r="I25" i="10"/>
  <c r="I43" i="10" s="1"/>
  <c r="H25" i="10"/>
  <c r="H43" i="10" s="1"/>
  <c r="M24" i="10"/>
  <c r="M42" i="10" s="1"/>
  <c r="L24" i="10"/>
  <c r="L42" i="10" s="1"/>
  <c r="K24" i="10"/>
  <c r="K42" i="10" s="1"/>
  <c r="J24" i="10"/>
  <c r="I24" i="10"/>
  <c r="I42" i="10" s="1"/>
  <c r="H24" i="10"/>
  <c r="H42" i="10" s="1"/>
  <c r="M23" i="10"/>
  <c r="M41" i="10" s="1"/>
  <c r="L23" i="10"/>
  <c r="L41" i="10" s="1"/>
  <c r="K23" i="10"/>
  <c r="K41" i="10" s="1"/>
  <c r="J23" i="10"/>
  <c r="J41" i="10" s="1"/>
  <c r="I23" i="10"/>
  <c r="I41" i="10" s="1"/>
  <c r="H23" i="10"/>
  <c r="M22" i="10"/>
  <c r="M40" i="10" s="1"/>
  <c r="L22" i="10"/>
  <c r="L40" i="10" s="1"/>
  <c r="K22" i="10"/>
  <c r="K40" i="10" s="1"/>
  <c r="J22" i="10"/>
  <c r="J40" i="10" s="1"/>
  <c r="I22" i="10"/>
  <c r="I40" i="10" s="1"/>
  <c r="H22" i="10"/>
  <c r="H40" i="10" s="1"/>
  <c r="D22" i="10"/>
  <c r="D21" i="10" s="1"/>
  <c r="C23" i="10" s="1"/>
  <c r="C21" i="10" s="1"/>
  <c r="M21" i="10"/>
  <c r="M39" i="10" s="1"/>
  <c r="L21" i="10"/>
  <c r="K21" i="10"/>
  <c r="K39" i="10" s="1"/>
  <c r="J21" i="10"/>
  <c r="J39" i="10" s="1"/>
  <c r="I21" i="10"/>
  <c r="I39" i="10" s="1"/>
  <c r="H21" i="10"/>
  <c r="H39" i="10" s="1"/>
  <c r="D18" i="10"/>
  <c r="D17" i="10"/>
  <c r="B15" i="10"/>
  <c r="B110" i="9"/>
  <c r="L43" i="9"/>
  <c r="J43" i="9"/>
  <c r="J42" i="9"/>
  <c r="H41" i="9"/>
  <c r="L40" i="9"/>
  <c r="M35" i="9"/>
  <c r="L35" i="9"/>
  <c r="K35" i="9"/>
  <c r="J35" i="9"/>
  <c r="I35" i="9"/>
  <c r="H35" i="9"/>
  <c r="M34" i="9"/>
  <c r="L34" i="9"/>
  <c r="K34" i="9"/>
  <c r="J34" i="9"/>
  <c r="I34" i="9"/>
  <c r="H34" i="9"/>
  <c r="M33" i="9"/>
  <c r="L33" i="9"/>
  <c r="K33" i="9"/>
  <c r="J33" i="9"/>
  <c r="I33" i="9"/>
  <c r="H33" i="9"/>
  <c r="M32" i="9"/>
  <c r="L32" i="9"/>
  <c r="K32" i="9"/>
  <c r="J32" i="9"/>
  <c r="I32" i="9"/>
  <c r="H32" i="9"/>
  <c r="M31" i="9"/>
  <c r="L31" i="9"/>
  <c r="K31" i="9"/>
  <c r="J31" i="9"/>
  <c r="I31" i="9"/>
  <c r="H31" i="9"/>
  <c r="M30" i="9"/>
  <c r="L30" i="9"/>
  <c r="K30" i="9"/>
  <c r="J30" i="9"/>
  <c r="I30" i="9"/>
  <c r="H30" i="9"/>
  <c r="D30" i="9"/>
  <c r="D29" i="9" s="1"/>
  <c r="C27" i="9"/>
  <c r="M26" i="9"/>
  <c r="M44" i="9" s="1"/>
  <c r="L26" i="9"/>
  <c r="L44" i="9" s="1"/>
  <c r="K26" i="9"/>
  <c r="K44" i="9" s="1"/>
  <c r="J26" i="9"/>
  <c r="J44" i="9" s="1"/>
  <c r="I26" i="9"/>
  <c r="I44" i="9" s="1"/>
  <c r="H26" i="9"/>
  <c r="H44" i="9" s="1"/>
  <c r="D26" i="9"/>
  <c r="M25" i="9"/>
  <c r="M43" i="9" s="1"/>
  <c r="L25" i="9"/>
  <c r="K25" i="9"/>
  <c r="K43" i="9" s="1"/>
  <c r="J25" i="9"/>
  <c r="I25" i="9"/>
  <c r="I43" i="9" s="1"/>
  <c r="H25" i="9"/>
  <c r="H43" i="9" s="1"/>
  <c r="D25" i="9"/>
  <c r="D27" i="9" s="1"/>
  <c r="M24" i="9"/>
  <c r="M42" i="9" s="1"/>
  <c r="L24" i="9"/>
  <c r="L42" i="9" s="1"/>
  <c r="K24" i="9"/>
  <c r="K42" i="9" s="1"/>
  <c r="J24" i="9"/>
  <c r="I24" i="9"/>
  <c r="I42" i="9" s="1"/>
  <c r="H24" i="9"/>
  <c r="H42" i="9" s="1"/>
  <c r="M23" i="9"/>
  <c r="M41" i="9" s="1"/>
  <c r="L23" i="9"/>
  <c r="L41" i="9" s="1"/>
  <c r="K23" i="9"/>
  <c r="K41" i="9" s="1"/>
  <c r="J23" i="9"/>
  <c r="J41" i="9" s="1"/>
  <c r="I23" i="9"/>
  <c r="I41" i="9" s="1"/>
  <c r="H23" i="9"/>
  <c r="M22" i="9"/>
  <c r="M40" i="9" s="1"/>
  <c r="L22" i="9"/>
  <c r="K22" i="9"/>
  <c r="K40" i="9" s="1"/>
  <c r="J22" i="9"/>
  <c r="J40" i="9" s="1"/>
  <c r="I22" i="9"/>
  <c r="I40" i="9" s="1"/>
  <c r="H22" i="9"/>
  <c r="H40" i="9" s="1"/>
  <c r="D22" i="9"/>
  <c r="D21" i="9" s="1"/>
  <c r="M21" i="9"/>
  <c r="M39" i="9" s="1"/>
  <c r="L21" i="9"/>
  <c r="L39" i="9" s="1"/>
  <c r="K21" i="9"/>
  <c r="K39" i="9" s="1"/>
  <c r="J21" i="9"/>
  <c r="J39" i="9" s="1"/>
  <c r="I21" i="9"/>
  <c r="I39" i="9" s="1"/>
  <c r="H21" i="9"/>
  <c r="H39" i="9" s="1"/>
  <c r="D18" i="9"/>
  <c r="D17" i="9"/>
  <c r="B15" i="9"/>
  <c r="G12" i="8"/>
  <c r="G11" i="8"/>
  <c r="H10" i="8"/>
  <c r="G10" i="8"/>
  <c r="I10" i="8" s="1"/>
  <c r="G9" i="8"/>
  <c r="D9" i="8"/>
  <c r="G8" i="8"/>
  <c r="G7" i="8"/>
  <c r="G6" i="8"/>
  <c r="H5" i="8"/>
  <c r="G5" i="8"/>
  <c r="G4" i="8"/>
  <c r="G3" i="8"/>
  <c r="G2" i="8"/>
  <c r="N27" i="6"/>
  <c r="N26" i="6"/>
  <c r="N25" i="6"/>
  <c r="N24" i="6"/>
  <c r="N23" i="6"/>
  <c r="N22" i="6"/>
  <c r="M7" i="6" s="1"/>
  <c r="L7" i="6" s="1"/>
  <c r="N21" i="6"/>
  <c r="N20" i="6"/>
  <c r="Q12" i="6"/>
  <c r="O12" i="6" s="1"/>
  <c r="P12" i="6"/>
  <c r="N12" i="6"/>
  <c r="M12" i="6"/>
  <c r="L12" i="6" s="1"/>
  <c r="Q11" i="6"/>
  <c r="P11" i="6"/>
  <c r="O11" i="6"/>
  <c r="N11" i="6" s="1"/>
  <c r="M11" i="6"/>
  <c r="L11" i="6" s="1"/>
  <c r="Q10" i="6"/>
  <c r="P10" i="6" s="1"/>
  <c r="M10" i="6"/>
  <c r="L10" i="6"/>
  <c r="Q9" i="6"/>
  <c r="P9" i="6" s="1"/>
  <c r="M9" i="6"/>
  <c r="L9" i="6" s="1"/>
  <c r="Q8" i="6"/>
  <c r="M8" i="6"/>
  <c r="L8" i="6"/>
  <c r="Q7" i="6"/>
  <c r="O7" i="6" s="1"/>
  <c r="Q6" i="6"/>
  <c r="M6" i="6"/>
  <c r="L6" i="6"/>
  <c r="Q5" i="6"/>
  <c r="M5" i="6"/>
  <c r="L5" i="6"/>
  <c r="I42" i="5"/>
  <c r="I41" i="5"/>
  <c r="I40" i="5"/>
  <c r="I39" i="5"/>
  <c r="I38" i="5"/>
  <c r="I37" i="5"/>
  <c r="I36" i="5"/>
  <c r="D30" i="5"/>
  <c r="D29" i="5" s="1"/>
  <c r="C27" i="5"/>
  <c r="C25" i="5" s="1"/>
  <c r="D26" i="5"/>
  <c r="D25" i="5"/>
  <c r="D27" i="5" s="1"/>
  <c r="C23" i="5"/>
  <c r="C21" i="5" s="1"/>
  <c r="D22" i="5"/>
  <c r="D21" i="5" s="1"/>
  <c r="D23" i="5" s="1"/>
  <c r="D18" i="5"/>
  <c r="D17" i="5" s="1"/>
  <c r="F17" i="5"/>
  <c r="B8" i="6" s="1"/>
  <c r="D8" i="6" s="1"/>
  <c r="B15" i="5"/>
  <c r="L44" i="4"/>
  <c r="K44" i="4"/>
  <c r="N43" i="4"/>
  <c r="O43" i="4" s="1"/>
  <c r="M43" i="4"/>
  <c r="L43" i="4"/>
  <c r="H43" i="4"/>
  <c r="N42" i="4"/>
  <c r="M42" i="4"/>
  <c r="I42" i="4"/>
  <c r="N41" i="4"/>
  <c r="H41" i="4"/>
  <c r="I40" i="4"/>
  <c r="H40" i="4"/>
  <c r="P40" i="4" s="1"/>
  <c r="M39" i="4"/>
  <c r="L39" i="4"/>
  <c r="I39" i="4"/>
  <c r="H39" i="4"/>
  <c r="N35" i="4"/>
  <c r="M35" i="4"/>
  <c r="L35" i="4"/>
  <c r="K35" i="4"/>
  <c r="J35" i="4"/>
  <c r="I35" i="4"/>
  <c r="H35" i="4"/>
  <c r="N34" i="4"/>
  <c r="M34" i="4"/>
  <c r="L34" i="4"/>
  <c r="K34" i="4"/>
  <c r="J34" i="4"/>
  <c r="I34" i="4"/>
  <c r="H34" i="4"/>
  <c r="N33" i="4"/>
  <c r="M33" i="4"/>
  <c r="L33" i="4"/>
  <c r="K33" i="4"/>
  <c r="J33" i="4"/>
  <c r="I33" i="4"/>
  <c r="H33" i="4"/>
  <c r="N32" i="4"/>
  <c r="M32" i="4"/>
  <c r="L32" i="4"/>
  <c r="K32" i="4"/>
  <c r="J32" i="4"/>
  <c r="I32" i="4"/>
  <c r="H32" i="4"/>
  <c r="N31" i="4"/>
  <c r="M31" i="4"/>
  <c r="L31" i="4"/>
  <c r="K31" i="4"/>
  <c r="J31" i="4"/>
  <c r="I31" i="4"/>
  <c r="H31" i="4"/>
  <c r="N30" i="4"/>
  <c r="M30" i="4"/>
  <c r="L30" i="4"/>
  <c r="K30" i="4"/>
  <c r="J30" i="4"/>
  <c r="I30" i="4"/>
  <c r="H30" i="4"/>
  <c r="D30" i="4"/>
  <c r="D29" i="4"/>
  <c r="D27" i="4"/>
  <c r="N26" i="4"/>
  <c r="N44" i="4" s="1"/>
  <c r="O44" i="4" s="1"/>
  <c r="M26" i="4"/>
  <c r="M44" i="4" s="1"/>
  <c r="L26" i="4"/>
  <c r="K26" i="4"/>
  <c r="J26" i="4"/>
  <c r="J44" i="4" s="1"/>
  <c r="I26" i="4"/>
  <c r="I44" i="4" s="1"/>
  <c r="H26" i="4"/>
  <c r="H44" i="4" s="1"/>
  <c r="D26" i="4"/>
  <c r="N25" i="4"/>
  <c r="M25" i="4"/>
  <c r="L25" i="4"/>
  <c r="K25" i="4"/>
  <c r="K43" i="4" s="1"/>
  <c r="J25" i="4"/>
  <c r="J43" i="4" s="1"/>
  <c r="I25" i="4"/>
  <c r="I43" i="4" s="1"/>
  <c r="H25" i="4"/>
  <c r="D25" i="4"/>
  <c r="C27" i="4" s="1"/>
  <c r="C25" i="4" s="1"/>
  <c r="N24" i="4"/>
  <c r="M24" i="4"/>
  <c r="L24" i="4"/>
  <c r="L42" i="4" s="1"/>
  <c r="K24" i="4"/>
  <c r="K42" i="4" s="1"/>
  <c r="J24" i="4"/>
  <c r="J42" i="4" s="1"/>
  <c r="I24" i="4"/>
  <c r="H24" i="4"/>
  <c r="H42" i="4" s="1"/>
  <c r="N23" i="4"/>
  <c r="M23" i="4"/>
  <c r="M41" i="4" s="1"/>
  <c r="L23" i="4"/>
  <c r="L41" i="4" s="1"/>
  <c r="K23" i="4"/>
  <c r="K41" i="4" s="1"/>
  <c r="J23" i="4"/>
  <c r="J41" i="4" s="1"/>
  <c r="I23" i="4"/>
  <c r="I41" i="4" s="1"/>
  <c r="H23" i="4"/>
  <c r="N22" i="4"/>
  <c r="N40" i="4" s="1"/>
  <c r="M22" i="4"/>
  <c r="M40" i="4" s="1"/>
  <c r="L22" i="4"/>
  <c r="L40" i="4" s="1"/>
  <c r="K22" i="4"/>
  <c r="K40" i="4" s="1"/>
  <c r="J22" i="4"/>
  <c r="J40" i="4" s="1"/>
  <c r="I22" i="4"/>
  <c r="H22" i="4"/>
  <c r="D22" i="4"/>
  <c r="N21" i="4"/>
  <c r="N39" i="4" s="1"/>
  <c r="M21" i="4"/>
  <c r="L21" i="4"/>
  <c r="K21" i="4"/>
  <c r="K39" i="4" s="1"/>
  <c r="J21" i="4"/>
  <c r="J39" i="4" s="1"/>
  <c r="I21" i="4"/>
  <c r="H21" i="4"/>
  <c r="D21" i="4"/>
  <c r="D23" i="4" s="1"/>
  <c r="D18" i="4"/>
  <c r="D17" i="4"/>
  <c r="B15" i="4"/>
  <c r="K10" i="3"/>
  <c r="H10" i="3"/>
  <c r="E10" i="3"/>
  <c r="N27" i="2"/>
  <c r="N26" i="2"/>
  <c r="M11" i="2" s="1"/>
  <c r="L11" i="2" s="1"/>
  <c r="N25" i="2"/>
  <c r="N24" i="2"/>
  <c r="N23" i="2"/>
  <c r="N22" i="2"/>
  <c r="M7" i="2" s="1"/>
  <c r="L7" i="2" s="1"/>
  <c r="N21" i="2"/>
  <c r="N20" i="2"/>
  <c r="Q12" i="2"/>
  <c r="M12" i="2"/>
  <c r="L12" i="2" s="1"/>
  <c r="T11" i="2"/>
  <c r="Q11" i="2"/>
  <c r="P11" i="2"/>
  <c r="O11" i="2"/>
  <c r="S11" i="2" s="1"/>
  <c r="Q10" i="2"/>
  <c r="M10" i="2"/>
  <c r="L10" i="2" s="1"/>
  <c r="Q9" i="2"/>
  <c r="P9" i="2"/>
  <c r="O9" i="2"/>
  <c r="M9" i="2"/>
  <c r="L9" i="2" s="1"/>
  <c r="Q8" i="2"/>
  <c r="P8" i="2"/>
  <c r="O8" i="2"/>
  <c r="M8" i="2"/>
  <c r="L8" i="2"/>
  <c r="Q7" i="2"/>
  <c r="P7" i="2" s="1"/>
  <c r="Q6" i="2"/>
  <c r="O6" i="2" s="1"/>
  <c r="P6" i="2"/>
  <c r="M6" i="2"/>
  <c r="L6" i="2"/>
  <c r="Q5" i="2"/>
  <c r="P5" i="2"/>
  <c r="O5" i="2"/>
  <c r="M5" i="2"/>
  <c r="L5" i="2"/>
  <c r="I42" i="1"/>
  <c r="I41" i="1"/>
  <c r="I40" i="1"/>
  <c r="I39" i="1"/>
  <c r="I38" i="1"/>
  <c r="I37" i="1"/>
  <c r="I36" i="1"/>
  <c r="D30" i="1"/>
  <c r="D29" i="1"/>
  <c r="D26" i="1"/>
  <c r="D25" i="1" s="1"/>
  <c r="D23" i="1"/>
  <c r="C23" i="1"/>
  <c r="C21" i="1" s="1"/>
  <c r="D22" i="1"/>
  <c r="D21" i="1"/>
  <c r="C19" i="1"/>
  <c r="C17" i="1" s="1"/>
  <c r="D18" i="1"/>
  <c r="D17" i="1" s="1"/>
  <c r="D19" i="1" s="1"/>
  <c r="F17" i="1"/>
  <c r="B8" i="2" s="1"/>
  <c r="D8" i="2" s="1"/>
  <c r="B15" i="1"/>
  <c r="D27" i="1" l="1"/>
  <c r="C27" i="1"/>
  <c r="C25" i="1" s="1"/>
  <c r="T9" i="2"/>
  <c r="S9" i="2"/>
  <c r="O40" i="4"/>
  <c r="N8" i="2"/>
  <c r="K8" i="2" s="1"/>
  <c r="T8" i="2"/>
  <c r="S8" i="2"/>
  <c r="D19" i="4"/>
  <c r="C19" i="4"/>
  <c r="J59" i="4" s="1"/>
  <c r="O39" i="4"/>
  <c r="P42" i="4"/>
  <c r="P44" i="4"/>
  <c r="I8" i="8"/>
  <c r="P12" i="2"/>
  <c r="O12" i="2"/>
  <c r="T12" i="2" s="1"/>
  <c r="M59" i="10"/>
  <c r="AC181" i="10" s="1"/>
  <c r="D31" i="1"/>
  <c r="C31" i="1"/>
  <c r="C29" i="1" s="1"/>
  <c r="F22" i="1" s="1"/>
  <c r="F23" i="1" s="1"/>
  <c r="B3" i="2" s="1"/>
  <c r="B6" i="2" s="1"/>
  <c r="N7" i="6"/>
  <c r="K7" i="6" s="1"/>
  <c r="S7" i="6"/>
  <c r="T6" i="2"/>
  <c r="S6" i="2" s="1"/>
  <c r="N6" i="2"/>
  <c r="D31" i="5"/>
  <c r="C31" i="5"/>
  <c r="C29" i="5" s="1"/>
  <c r="N5" i="2"/>
  <c r="K5" i="2" s="1"/>
  <c r="T5" i="2"/>
  <c r="S5" i="2" s="1"/>
  <c r="T10" i="2"/>
  <c r="D31" i="4"/>
  <c r="C31" i="4"/>
  <c r="C29" i="4" s="1"/>
  <c r="O41" i="4"/>
  <c r="N9" i="2"/>
  <c r="K9" i="2" s="1"/>
  <c r="P39" i="4"/>
  <c r="K6" i="2"/>
  <c r="O42" i="4"/>
  <c r="P6" i="6"/>
  <c r="O6" i="6"/>
  <c r="T6" i="6"/>
  <c r="I5" i="8"/>
  <c r="P41" i="4"/>
  <c r="O10" i="2"/>
  <c r="D19" i="5"/>
  <c r="C19" i="5"/>
  <c r="C17" i="5" s="1"/>
  <c r="K11" i="6"/>
  <c r="T12" i="6"/>
  <c r="S12" i="6"/>
  <c r="H4" i="8"/>
  <c r="I4" i="8" s="1"/>
  <c r="I6" i="8"/>
  <c r="P10" i="2"/>
  <c r="N11" i="2"/>
  <c r="K11" i="2" s="1"/>
  <c r="H12" i="8"/>
  <c r="I12" i="8" s="1"/>
  <c r="P43" i="4"/>
  <c r="T7" i="6"/>
  <c r="P7" i="6"/>
  <c r="I3" i="8"/>
  <c r="D19" i="9"/>
  <c r="C19" i="9"/>
  <c r="D23" i="9"/>
  <c r="C23" i="9"/>
  <c r="C21" i="9" s="1"/>
  <c r="O7" i="2"/>
  <c r="C23" i="4"/>
  <c r="C21" i="4" s="1"/>
  <c r="H3" i="8"/>
  <c r="C25" i="9"/>
  <c r="K12" i="6"/>
  <c r="H2" i="8"/>
  <c r="I2" i="8" s="1"/>
  <c r="I9" i="8"/>
  <c r="H8" i="8"/>
  <c r="I57" i="10"/>
  <c r="Y179" i="10" s="1"/>
  <c r="I111" i="10"/>
  <c r="O5" i="6"/>
  <c r="O8" i="6"/>
  <c r="T8" i="6" s="1"/>
  <c r="T11" i="6"/>
  <c r="S11" i="6" s="1"/>
  <c r="H6" i="8"/>
  <c r="H11" i="8"/>
  <c r="I11" i="8" s="1"/>
  <c r="D31" i="9"/>
  <c r="C31" i="9"/>
  <c r="C29" i="9" s="1"/>
  <c r="P5" i="6"/>
  <c r="P8" i="6"/>
  <c r="O9" i="6"/>
  <c r="O10" i="6"/>
  <c r="H9" i="8"/>
  <c r="H7" i="8"/>
  <c r="I7" i="8" s="1"/>
  <c r="I60" i="9"/>
  <c r="Y182" i="9" s="1"/>
  <c r="L59" i="10"/>
  <c r="AB181" i="10" s="1"/>
  <c r="K49" i="10"/>
  <c r="AA171" i="10" s="1"/>
  <c r="K48" i="10"/>
  <c r="AA170" i="10" s="1"/>
  <c r="L53" i="9"/>
  <c r="AB175" i="9" s="1"/>
  <c r="D19" i="10"/>
  <c r="C19" i="10"/>
  <c r="M60" i="10" s="1"/>
  <c r="D23" i="10"/>
  <c r="K61" i="10"/>
  <c r="AA183" i="10" s="1"/>
  <c r="I51" i="9"/>
  <c r="Y173" i="9" s="1"/>
  <c r="L57" i="10"/>
  <c r="AB179" i="10" s="1"/>
  <c r="H58" i="10"/>
  <c r="X180" i="10" s="1"/>
  <c r="I59" i="10"/>
  <c r="Y181" i="10" s="1"/>
  <c r="C27" i="10"/>
  <c r="C25" i="10" s="1"/>
  <c r="H57" i="10"/>
  <c r="X179" i="10" s="1"/>
  <c r="I58" i="10"/>
  <c r="Y180" i="10" s="1"/>
  <c r="D31" i="10"/>
  <c r="C31" i="10"/>
  <c r="C29" i="10" s="1"/>
  <c r="I48" i="10"/>
  <c r="Y170" i="10" s="1"/>
  <c r="K53" i="10"/>
  <c r="AA175" i="10" s="1"/>
  <c r="G2" i="11"/>
  <c r="H2" i="11" s="1"/>
  <c r="G6" i="11"/>
  <c r="H6" i="11" s="1"/>
  <c r="J52" i="10"/>
  <c r="Z174" i="10" s="1"/>
  <c r="L53" i="10"/>
  <c r="AB175" i="10" s="1"/>
  <c r="H50" i="10"/>
  <c r="X172" i="10" s="1"/>
  <c r="J51" i="10"/>
  <c r="Z173" i="10" s="1"/>
  <c r="L52" i="10"/>
  <c r="AB174" i="10" s="1"/>
  <c r="G7" i="11"/>
  <c r="G4" i="11"/>
  <c r="H4" i="11" s="1"/>
  <c r="H7" i="11"/>
  <c r="H49" i="10"/>
  <c r="X171" i="10" s="1"/>
  <c r="G8" i="11"/>
  <c r="H8" i="11" s="1"/>
  <c r="M51" i="10"/>
  <c r="AC173" i="10" s="1"/>
  <c r="D6" i="2" l="1"/>
  <c r="B11" i="2" s="1"/>
  <c r="B12" i="2" s="1"/>
  <c r="B7" i="2"/>
  <c r="AB181" i="4"/>
  <c r="J113" i="4"/>
  <c r="AC182" i="10"/>
  <c r="M114" i="10"/>
  <c r="H49" i="4"/>
  <c r="L62" i="9"/>
  <c r="I52" i="9"/>
  <c r="N9" i="6"/>
  <c r="K9" i="6" s="1"/>
  <c r="T9" i="6"/>
  <c r="S9" i="6" s="1"/>
  <c r="S10" i="2"/>
  <c r="N10" i="2"/>
  <c r="K10" i="2" s="1"/>
  <c r="M53" i="4"/>
  <c r="L62" i="4"/>
  <c r="L111" i="10"/>
  <c r="K102" i="10"/>
  <c r="L107" i="10"/>
  <c r="H52" i="9"/>
  <c r="L51" i="9"/>
  <c r="L50" i="9"/>
  <c r="J50" i="9"/>
  <c r="J49" i="9"/>
  <c r="L61" i="9"/>
  <c r="H48" i="9"/>
  <c r="C17" i="9"/>
  <c r="J61" i="9"/>
  <c r="H53" i="9"/>
  <c r="H49" i="9"/>
  <c r="N6" i="6"/>
  <c r="K6" i="6" s="1"/>
  <c r="S6" i="6"/>
  <c r="J62" i="4"/>
  <c r="I61" i="4"/>
  <c r="M49" i="4"/>
  <c r="L49" i="4"/>
  <c r="K50" i="10"/>
  <c r="L106" i="10"/>
  <c r="L49" i="9"/>
  <c r="K62" i="10"/>
  <c r="K53" i="9"/>
  <c r="I102" i="10"/>
  <c r="K58" i="10"/>
  <c r="J60" i="9"/>
  <c r="M50" i="9"/>
  <c r="H61" i="9"/>
  <c r="K57" i="9"/>
  <c r="J106" i="10"/>
  <c r="M52" i="9"/>
  <c r="J58" i="9"/>
  <c r="K59" i="9"/>
  <c r="H62" i="10"/>
  <c r="M61" i="9"/>
  <c r="L51" i="4"/>
  <c r="H61" i="4"/>
  <c r="K62" i="4"/>
  <c r="N62" i="4"/>
  <c r="L60" i="4"/>
  <c r="N53" i="4"/>
  <c r="J62" i="10"/>
  <c r="L57" i="4"/>
  <c r="K59" i="4"/>
  <c r="L107" i="9"/>
  <c r="S8" i="6"/>
  <c r="N8" i="6"/>
  <c r="K8" i="6" s="1"/>
  <c r="J53" i="9"/>
  <c r="I59" i="4"/>
  <c r="N50" i="4"/>
  <c r="K57" i="4"/>
  <c r="K58" i="4"/>
  <c r="I112" i="10"/>
  <c r="I113" i="10"/>
  <c r="K115" i="10"/>
  <c r="N5" i="6"/>
  <c r="K5" i="6" s="1"/>
  <c r="L60" i="9"/>
  <c r="N7" i="2"/>
  <c r="K7" i="2" s="1"/>
  <c r="T7" i="2"/>
  <c r="S7" i="2" s="1"/>
  <c r="K60" i="4"/>
  <c r="M113" i="10"/>
  <c r="L58" i="4"/>
  <c r="H103" i="10"/>
  <c r="H51" i="9"/>
  <c r="L59" i="9"/>
  <c r="L58" i="9"/>
  <c r="T5" i="6"/>
  <c r="S5" i="6" s="1"/>
  <c r="N49" i="4"/>
  <c r="I60" i="4"/>
  <c r="N58" i="4"/>
  <c r="H51" i="10"/>
  <c r="K51" i="9"/>
  <c r="L49" i="10"/>
  <c r="I50" i="9"/>
  <c r="M57" i="10"/>
  <c r="L57" i="9"/>
  <c r="K50" i="4"/>
  <c r="K61" i="4"/>
  <c r="K52" i="10"/>
  <c r="J48" i="10"/>
  <c r="J51" i="9"/>
  <c r="H104" i="10"/>
  <c r="J61" i="10"/>
  <c r="I52" i="10"/>
  <c r="J57" i="10"/>
  <c r="M53" i="9"/>
  <c r="H58" i="9"/>
  <c r="J62" i="9"/>
  <c r="K49" i="9"/>
  <c r="L58" i="10"/>
  <c r="I57" i="9"/>
  <c r="I58" i="9"/>
  <c r="H60" i="9"/>
  <c r="F22" i="5"/>
  <c r="F23" i="5" s="1"/>
  <c r="B3" i="6" s="1"/>
  <c r="B6" i="6" s="1"/>
  <c r="K58" i="9"/>
  <c r="J49" i="4"/>
  <c r="L53" i="4"/>
  <c r="K52" i="4"/>
  <c r="M57" i="4"/>
  <c r="I62" i="4"/>
  <c r="H60" i="4"/>
  <c r="J58" i="4"/>
  <c r="I179" i="10"/>
  <c r="I129" i="10"/>
  <c r="Q179" i="10"/>
  <c r="L113" i="10"/>
  <c r="I114" i="9"/>
  <c r="M60" i="9"/>
  <c r="H51" i="4"/>
  <c r="M58" i="10"/>
  <c r="M52" i="4"/>
  <c r="H52" i="4"/>
  <c r="L48" i="10"/>
  <c r="I49" i="10"/>
  <c r="M53" i="10"/>
  <c r="L60" i="10"/>
  <c r="L52" i="9"/>
  <c r="J105" i="10"/>
  <c r="J48" i="9"/>
  <c r="K107" i="10"/>
  <c r="K62" i="9"/>
  <c r="M57" i="9"/>
  <c r="H62" i="9"/>
  <c r="K50" i="9"/>
  <c r="H58" i="4"/>
  <c r="K53" i="4"/>
  <c r="J61" i="4"/>
  <c r="I50" i="10"/>
  <c r="M48" i="9"/>
  <c r="L51" i="10"/>
  <c r="M48" i="10"/>
  <c r="I51" i="10"/>
  <c r="I53" i="10"/>
  <c r="J59" i="10"/>
  <c r="K60" i="10"/>
  <c r="H50" i="9"/>
  <c r="M62" i="10"/>
  <c r="C17" i="10"/>
  <c r="H59" i="10"/>
  <c r="H52" i="10"/>
  <c r="J49" i="10"/>
  <c r="H48" i="10"/>
  <c r="L61" i="10"/>
  <c r="L50" i="10"/>
  <c r="H61" i="10"/>
  <c r="I53" i="9"/>
  <c r="H59" i="9"/>
  <c r="M59" i="9"/>
  <c r="I49" i="9"/>
  <c r="I59" i="9"/>
  <c r="J57" i="9"/>
  <c r="I48" i="4"/>
  <c r="L52" i="4"/>
  <c r="J51" i="4"/>
  <c r="J60" i="4"/>
  <c r="J53" i="4"/>
  <c r="N59" i="4"/>
  <c r="M62" i="4"/>
  <c r="L59" i="4"/>
  <c r="I61" i="10"/>
  <c r="M48" i="4"/>
  <c r="M58" i="4"/>
  <c r="M50" i="4"/>
  <c r="K61" i="9"/>
  <c r="N61" i="4"/>
  <c r="J50" i="4"/>
  <c r="I52" i="4"/>
  <c r="M49" i="9"/>
  <c r="J52" i="9"/>
  <c r="K48" i="9"/>
  <c r="I49" i="4"/>
  <c r="H62" i="4"/>
  <c r="I60" i="10"/>
  <c r="K103" i="10"/>
  <c r="I62" i="9"/>
  <c r="M51" i="9"/>
  <c r="J59" i="9"/>
  <c r="M60" i="4"/>
  <c r="M52" i="10"/>
  <c r="H111" i="10"/>
  <c r="H112" i="10"/>
  <c r="K51" i="10"/>
  <c r="J60" i="10"/>
  <c r="M61" i="10"/>
  <c r="I62" i="10"/>
  <c r="K60" i="9"/>
  <c r="J50" i="10"/>
  <c r="M49" i="10"/>
  <c r="M105" i="10"/>
  <c r="H53" i="10"/>
  <c r="L48" i="9"/>
  <c r="K52" i="9"/>
  <c r="L62" i="10"/>
  <c r="H60" i="10"/>
  <c r="M50" i="10"/>
  <c r="J53" i="10"/>
  <c r="I105" i="9"/>
  <c r="I61" i="9"/>
  <c r="I48" i="9"/>
  <c r="N10" i="6"/>
  <c r="K10" i="6" s="1"/>
  <c r="S10" i="6"/>
  <c r="M58" i="9"/>
  <c r="K57" i="10"/>
  <c r="J58" i="10"/>
  <c r="M62" i="9"/>
  <c r="T10" i="6"/>
  <c r="H57" i="9"/>
  <c r="K59" i="10"/>
  <c r="H48" i="4"/>
  <c r="N60" i="4"/>
  <c r="J57" i="4"/>
  <c r="K51" i="4"/>
  <c r="N51" i="4"/>
  <c r="I50" i="4"/>
  <c r="N48" i="4"/>
  <c r="I53" i="4"/>
  <c r="H59" i="4"/>
  <c r="N12" i="2"/>
  <c r="K12" i="2" s="1"/>
  <c r="S12" i="2"/>
  <c r="N57" i="4"/>
  <c r="C17" i="4"/>
  <c r="J52" i="4"/>
  <c r="H50" i="4"/>
  <c r="I51" i="4"/>
  <c r="L48" i="4"/>
  <c r="H53" i="4"/>
  <c r="K48" i="4"/>
  <c r="N52" i="4"/>
  <c r="J48" i="4"/>
  <c r="M51" i="4"/>
  <c r="I58" i="4"/>
  <c r="I57" i="4"/>
  <c r="L61" i="4"/>
  <c r="H57" i="4"/>
  <c r="L50" i="4"/>
  <c r="M61" i="4"/>
  <c r="K49" i="4"/>
  <c r="M59" i="4"/>
  <c r="AE183" i="4" l="1"/>
  <c r="M115" i="4"/>
  <c r="Z180" i="10"/>
  <c r="J112" i="10"/>
  <c r="AC179" i="10"/>
  <c r="M111" i="10"/>
  <c r="Q180" i="10"/>
  <c r="I130" i="10"/>
  <c r="I180" i="10"/>
  <c r="L175" i="9"/>
  <c r="L125" i="9"/>
  <c r="T175" i="9"/>
  <c r="Z183" i="4"/>
  <c r="U197" i="4" s="1"/>
  <c r="H115" i="4"/>
  <c r="AA179" i="9"/>
  <c r="K111" i="9"/>
  <c r="AB171" i="9"/>
  <c r="L103" i="9"/>
  <c r="J104" i="9"/>
  <c r="Z172" i="9"/>
  <c r="AE175" i="4"/>
  <c r="M107" i="4"/>
  <c r="Z171" i="4"/>
  <c r="U190" i="4" s="1"/>
  <c r="H103" i="4"/>
  <c r="AF179" i="4"/>
  <c r="N111" i="4"/>
  <c r="AC171" i="10"/>
  <c r="M103" i="10"/>
  <c r="AA183" i="9"/>
  <c r="K115" i="9"/>
  <c r="X174" i="10"/>
  <c r="H106" i="10"/>
  <c r="AB182" i="10"/>
  <c r="L114" i="10"/>
  <c r="AA184" i="4"/>
  <c r="U212" i="4" s="1"/>
  <c r="I116" i="4"/>
  <c r="AF171" i="4"/>
  <c r="N103" i="4"/>
  <c r="AC184" i="4"/>
  <c r="K116" i="4"/>
  <c r="AD184" i="4"/>
  <c r="L116" i="4"/>
  <c r="AC170" i="4"/>
  <c r="K102" i="4"/>
  <c r="Z172" i="10"/>
  <c r="J104" i="10"/>
  <c r="AE172" i="4"/>
  <c r="M104" i="4"/>
  <c r="AC170" i="10"/>
  <c r="M102" i="10"/>
  <c r="AE179" i="4"/>
  <c r="M111" i="4"/>
  <c r="Z175" i="4"/>
  <c r="U198" i="4" s="1"/>
  <c r="H107" i="4"/>
  <c r="AA182" i="9"/>
  <c r="K114" i="9"/>
  <c r="AE180" i="4"/>
  <c r="M112" i="4"/>
  <c r="AC179" i="9"/>
  <c r="M111" i="9"/>
  <c r="AB180" i="10"/>
  <c r="L112" i="10"/>
  <c r="AB180" i="9"/>
  <c r="L112" i="9"/>
  <c r="X183" i="9"/>
  <c r="H115" i="9"/>
  <c r="U182" i="10"/>
  <c r="M132" i="10"/>
  <c r="M182" i="10"/>
  <c r="Z170" i="4"/>
  <c r="U188" i="4" s="1"/>
  <c r="H102" i="4"/>
  <c r="B35" i="4"/>
  <c r="B106" i="4" s="1"/>
  <c r="B107" i="4" s="1"/>
  <c r="D107" i="4" s="1"/>
  <c r="Z181" i="9"/>
  <c r="J113" i="9"/>
  <c r="X183" i="10"/>
  <c r="H115" i="10"/>
  <c r="AB170" i="10"/>
  <c r="L102" i="10"/>
  <c r="AA171" i="9"/>
  <c r="K103" i="9"/>
  <c r="AC183" i="9"/>
  <c r="M115" i="9"/>
  <c r="AC172" i="9"/>
  <c r="M104" i="9"/>
  <c r="AA172" i="10"/>
  <c r="K104" i="10"/>
  <c r="X175" i="9"/>
  <c r="H107" i="9"/>
  <c r="AB173" i="9"/>
  <c r="L105" i="9"/>
  <c r="AA179" i="4"/>
  <c r="U207" i="4" s="1"/>
  <c r="I111" i="4"/>
  <c r="AA173" i="4"/>
  <c r="U204" i="4" s="1"/>
  <c r="I105" i="4"/>
  <c r="AA175" i="4"/>
  <c r="U206" i="4" s="1"/>
  <c r="I107" i="4"/>
  <c r="AA181" i="10"/>
  <c r="K113" i="10"/>
  <c r="AA174" i="9"/>
  <c r="K106" i="9"/>
  <c r="AC183" i="10"/>
  <c r="M115" i="10"/>
  <c r="AC173" i="9"/>
  <c r="M105" i="9"/>
  <c r="AC171" i="9"/>
  <c r="M103" i="9"/>
  <c r="Y183" i="10"/>
  <c r="I115" i="10"/>
  <c r="AA170" i="4"/>
  <c r="U201" i="4" s="1"/>
  <c r="I102" i="4"/>
  <c r="AB172" i="10"/>
  <c r="L104" i="10"/>
  <c r="X172" i="9"/>
  <c r="H104" i="9"/>
  <c r="Y172" i="10"/>
  <c r="I104" i="10"/>
  <c r="K175" i="10"/>
  <c r="S175" i="10"/>
  <c r="K125" i="10"/>
  <c r="Z174" i="4"/>
  <c r="U196" i="4" s="1"/>
  <c r="H106" i="4"/>
  <c r="AB171" i="4"/>
  <c r="J103" i="4"/>
  <c r="Z184" i="9"/>
  <c r="J116" i="9"/>
  <c r="Z170" i="10"/>
  <c r="J102" i="10"/>
  <c r="AA173" i="9"/>
  <c r="K105" i="9"/>
  <c r="X173" i="9"/>
  <c r="H105" i="9"/>
  <c r="AB182" i="9"/>
  <c r="L114" i="9"/>
  <c r="AF172" i="4"/>
  <c r="N104" i="4"/>
  <c r="Z184" i="10"/>
  <c r="J116" i="10"/>
  <c r="X184" i="10"/>
  <c r="H116" i="10"/>
  <c r="Z182" i="9"/>
  <c r="J114" i="9"/>
  <c r="AD171" i="4"/>
  <c r="L103" i="4"/>
  <c r="Z183" i="9"/>
  <c r="J115" i="9"/>
  <c r="X174" i="9"/>
  <c r="H106" i="9"/>
  <c r="J181" i="4"/>
  <c r="S181" i="4"/>
  <c r="J131" i="4"/>
  <c r="AA172" i="9"/>
  <c r="K104" i="9"/>
  <c r="Y180" i="9"/>
  <c r="I112" i="9"/>
  <c r="AC182" i="4"/>
  <c r="K114" i="4"/>
  <c r="AA184" i="10"/>
  <c r="K116" i="10"/>
  <c r="L104" i="4"/>
  <c r="AD172" i="4"/>
  <c r="AA179" i="10"/>
  <c r="K111" i="10"/>
  <c r="I103" i="4"/>
  <c r="AA171" i="4"/>
  <c r="U202" i="4" s="1"/>
  <c r="X181" i="9"/>
  <c r="H113" i="9"/>
  <c r="AC175" i="10"/>
  <c r="M107" i="10"/>
  <c r="Y179" i="9"/>
  <c r="I111" i="9"/>
  <c r="AF182" i="4"/>
  <c r="N114" i="4"/>
  <c r="AE182" i="4"/>
  <c r="M114" i="4"/>
  <c r="AB173" i="4"/>
  <c r="J105" i="4"/>
  <c r="Y171" i="10"/>
  <c r="I103" i="10"/>
  <c r="H172" i="10"/>
  <c r="H192" i="10" s="1"/>
  <c r="P193" i="10" s="1"/>
  <c r="H122" i="10"/>
  <c r="P172" i="10"/>
  <c r="AC181" i="4"/>
  <c r="K113" i="4"/>
  <c r="L104" i="9"/>
  <c r="AB172" i="9"/>
  <c r="AD170" i="4"/>
  <c r="L102" i="4"/>
  <c r="Y184" i="10"/>
  <c r="I116" i="10"/>
  <c r="AD174" i="4"/>
  <c r="L106" i="4"/>
  <c r="AA184" i="9"/>
  <c r="K116" i="9"/>
  <c r="AB171" i="10"/>
  <c r="L103" i="10"/>
  <c r="AC179" i="4"/>
  <c r="K111" i="4"/>
  <c r="AA180" i="4"/>
  <c r="U208" i="4" s="1"/>
  <c r="I112" i="4"/>
  <c r="Z172" i="4"/>
  <c r="U192" i="4" s="1"/>
  <c r="H104" i="4"/>
  <c r="AF170" i="4"/>
  <c r="N102" i="4"/>
  <c r="X179" i="9"/>
  <c r="H111" i="9"/>
  <c r="Y170" i="9"/>
  <c r="I102" i="9"/>
  <c r="AB170" i="9"/>
  <c r="L102" i="9"/>
  <c r="Z182" i="10"/>
  <c r="J114" i="10"/>
  <c r="Y184" i="9"/>
  <c r="I116" i="9"/>
  <c r="AA174" i="4"/>
  <c r="U205" i="4" s="1"/>
  <c r="I106" i="4"/>
  <c r="AD181" i="4"/>
  <c r="L113" i="4"/>
  <c r="Z179" i="9"/>
  <c r="J111" i="9"/>
  <c r="AB183" i="10"/>
  <c r="L115" i="10"/>
  <c r="AA182" i="10"/>
  <c r="K114" i="10"/>
  <c r="AB183" i="4"/>
  <c r="J115" i="4"/>
  <c r="Z170" i="9"/>
  <c r="J102" i="9"/>
  <c r="M106" i="4"/>
  <c r="AE174" i="4"/>
  <c r="I199" i="10"/>
  <c r="Q200" i="10" s="1"/>
  <c r="AA180" i="9"/>
  <c r="K112" i="9"/>
  <c r="X180" i="9"/>
  <c r="H112" i="9"/>
  <c r="AA174" i="10"/>
  <c r="K106" i="10"/>
  <c r="X173" i="10"/>
  <c r="H105" i="10"/>
  <c r="H121" i="10"/>
  <c r="H171" i="10"/>
  <c r="H191" i="10" s="1"/>
  <c r="P192" i="10" s="1"/>
  <c r="P171" i="10"/>
  <c r="AA181" i="4"/>
  <c r="U209" i="4" s="1"/>
  <c r="I113" i="4"/>
  <c r="AF175" i="4"/>
  <c r="N107" i="4"/>
  <c r="AA181" i="9"/>
  <c r="K113" i="9"/>
  <c r="AA180" i="10"/>
  <c r="K112" i="10"/>
  <c r="AE171" i="4"/>
  <c r="M103" i="4"/>
  <c r="L175" i="10"/>
  <c r="L195" i="10" s="1"/>
  <c r="T196" i="10" s="1"/>
  <c r="T175" i="10"/>
  <c r="L125" i="10"/>
  <c r="AF174" i="4"/>
  <c r="N106" i="4"/>
  <c r="Z175" i="10"/>
  <c r="J107" i="10"/>
  <c r="Z184" i="4"/>
  <c r="U199" i="4" s="1"/>
  <c r="H116" i="4"/>
  <c r="AC181" i="9"/>
  <c r="M113" i="9"/>
  <c r="AC182" i="9"/>
  <c r="M114" i="9"/>
  <c r="AB179" i="9"/>
  <c r="L111" i="9"/>
  <c r="J174" i="10"/>
  <c r="J194" i="10" s="1"/>
  <c r="R195" i="10" s="1"/>
  <c r="J124" i="10"/>
  <c r="R174" i="10"/>
  <c r="AB184" i="9"/>
  <c r="L116" i="9"/>
  <c r="AC172" i="10"/>
  <c r="M104" i="10"/>
  <c r="AB182" i="4"/>
  <c r="J114" i="4"/>
  <c r="X184" i="9"/>
  <c r="H116" i="9"/>
  <c r="Z183" i="10"/>
  <c r="J115" i="10"/>
  <c r="AC180" i="9"/>
  <c r="M112" i="9"/>
  <c r="AA170" i="9"/>
  <c r="K102" i="9"/>
  <c r="AB173" i="10"/>
  <c r="L105" i="10"/>
  <c r="AC174" i="4"/>
  <c r="K106" i="4"/>
  <c r="AC180" i="4"/>
  <c r="K112" i="4"/>
  <c r="L174" i="10"/>
  <c r="L194" i="10" s="1"/>
  <c r="T195" i="10" s="1"/>
  <c r="L124" i="10"/>
  <c r="T174" i="10"/>
  <c r="Z181" i="4"/>
  <c r="U193" i="4" s="1"/>
  <c r="H113" i="4"/>
  <c r="Z174" i="9"/>
  <c r="J106" i="9"/>
  <c r="AC184" i="10"/>
  <c r="M116" i="10"/>
  <c r="AD175" i="4"/>
  <c r="L107" i="4"/>
  <c r="AB181" i="9"/>
  <c r="L113" i="9"/>
  <c r="AE181" i="4"/>
  <c r="M113" i="4"/>
  <c r="AE173" i="4"/>
  <c r="M105" i="4"/>
  <c r="AB174" i="4"/>
  <c r="J106" i="4"/>
  <c r="AA172" i="4"/>
  <c r="U203" i="4" s="1"/>
  <c r="I104" i="4"/>
  <c r="Y183" i="9"/>
  <c r="I115" i="9"/>
  <c r="X175" i="10"/>
  <c r="H107" i="10"/>
  <c r="AA173" i="10"/>
  <c r="K105" i="10"/>
  <c r="K171" i="10"/>
  <c r="S171" i="10"/>
  <c r="K121" i="10"/>
  <c r="AB172" i="4"/>
  <c r="J104" i="4"/>
  <c r="AE184" i="4"/>
  <c r="M116" i="4"/>
  <c r="Y181" i="9"/>
  <c r="I113" i="9"/>
  <c r="X170" i="10"/>
  <c r="B35" i="10"/>
  <c r="B106" i="10" s="1"/>
  <c r="B107" i="10" s="1"/>
  <c r="D107" i="10" s="1"/>
  <c r="H102" i="10"/>
  <c r="Z181" i="10"/>
  <c r="J113" i="10"/>
  <c r="AC175" i="4"/>
  <c r="K107" i="4"/>
  <c r="R173" i="10"/>
  <c r="J123" i="10"/>
  <c r="J173" i="10"/>
  <c r="J193" i="10" s="1"/>
  <c r="R194" i="10" s="1"/>
  <c r="AC180" i="10"/>
  <c r="M112" i="10"/>
  <c r="AB180" i="4"/>
  <c r="J112" i="4"/>
  <c r="B7" i="6"/>
  <c r="D6" i="6"/>
  <c r="B11" i="6" s="1"/>
  <c r="B12" i="6" s="1"/>
  <c r="AC175" i="9"/>
  <c r="M107" i="9"/>
  <c r="AC183" i="4"/>
  <c r="K115" i="4"/>
  <c r="AF180" i="4"/>
  <c r="N112" i="4"/>
  <c r="AD180" i="4"/>
  <c r="L112" i="4"/>
  <c r="Z175" i="9"/>
  <c r="J107" i="9"/>
  <c r="AD182" i="4"/>
  <c r="L114" i="4"/>
  <c r="Z180" i="9"/>
  <c r="J112" i="9"/>
  <c r="I170" i="10"/>
  <c r="I120" i="10"/>
  <c r="Q170" i="10"/>
  <c r="AA183" i="4"/>
  <c r="U211" i="4" s="1"/>
  <c r="I115" i="4"/>
  <c r="B35" i="9"/>
  <c r="B106" i="9" s="1"/>
  <c r="B107" i="9" s="1"/>
  <c r="D107" i="9" s="1"/>
  <c r="X170" i="9"/>
  <c r="H102" i="9"/>
  <c r="K170" i="10"/>
  <c r="K120" i="10"/>
  <c r="S170" i="10"/>
  <c r="AC173" i="4"/>
  <c r="K105" i="4"/>
  <c r="H179" i="10"/>
  <c r="H199" i="10" s="1"/>
  <c r="P200" i="10" s="1"/>
  <c r="H129" i="10"/>
  <c r="P179" i="10"/>
  <c r="AB175" i="4"/>
  <c r="J107" i="4"/>
  <c r="Y173" i="10"/>
  <c r="I105" i="10"/>
  <c r="Y174" i="10"/>
  <c r="I106" i="10"/>
  <c r="I181" i="10"/>
  <c r="I201" i="10" s="1"/>
  <c r="Q202" i="10" s="1"/>
  <c r="I131" i="10"/>
  <c r="Q181" i="10"/>
  <c r="Z171" i="9"/>
  <c r="J103" i="9"/>
  <c r="AB179" i="4"/>
  <c r="J111" i="4"/>
  <c r="AC174" i="10"/>
  <c r="M106" i="10"/>
  <c r="X181" i="10"/>
  <c r="H113" i="10"/>
  <c r="Q182" i="9"/>
  <c r="I132" i="9"/>
  <c r="I182" i="9"/>
  <c r="I202" i="9" s="1"/>
  <c r="Z179" i="4"/>
  <c r="U189" i="4" s="1"/>
  <c r="H111" i="4"/>
  <c r="X182" i="10"/>
  <c r="H114" i="10"/>
  <c r="Y175" i="9"/>
  <c r="I107" i="9"/>
  <c r="L181" i="10"/>
  <c r="L131" i="10"/>
  <c r="T181" i="10"/>
  <c r="Y172" i="9"/>
  <c r="I104" i="9"/>
  <c r="AD173" i="4"/>
  <c r="L105" i="4"/>
  <c r="X171" i="9"/>
  <c r="H103" i="9"/>
  <c r="AD183" i="4"/>
  <c r="L115" i="4"/>
  <c r="AB184" i="10"/>
  <c r="L116" i="10"/>
  <c r="AE170" i="4"/>
  <c r="M102" i="4"/>
  <c r="AC170" i="9"/>
  <c r="M102" i="9"/>
  <c r="Z173" i="9"/>
  <c r="J105" i="9"/>
  <c r="AD179" i="4"/>
  <c r="L111" i="4"/>
  <c r="K103" i="4"/>
  <c r="AC171" i="4"/>
  <c r="J102" i="4"/>
  <c r="AB170" i="4"/>
  <c r="AF173" i="4"/>
  <c r="N105" i="4"/>
  <c r="AC184" i="9"/>
  <c r="M116" i="9"/>
  <c r="I173" i="9"/>
  <c r="I193" i="9" s="1"/>
  <c r="Q173" i="9"/>
  <c r="I123" i="9"/>
  <c r="M173" i="10"/>
  <c r="U173" i="10"/>
  <c r="M123" i="10"/>
  <c r="H180" i="10"/>
  <c r="H200" i="10" s="1"/>
  <c r="P201" i="10" s="1"/>
  <c r="P180" i="10"/>
  <c r="H130" i="10"/>
  <c r="Y182" i="10"/>
  <c r="I114" i="10"/>
  <c r="AF183" i="4"/>
  <c r="N115" i="4"/>
  <c r="AF181" i="4"/>
  <c r="N113" i="4"/>
  <c r="Y171" i="9"/>
  <c r="I103" i="9"/>
  <c r="Z171" i="10"/>
  <c r="J103" i="10"/>
  <c r="Y175" i="10"/>
  <c r="I107" i="10"/>
  <c r="Z180" i="4"/>
  <c r="U191" i="4" s="1"/>
  <c r="H112" i="4"/>
  <c r="AB174" i="9"/>
  <c r="L106" i="9"/>
  <c r="Z173" i="4"/>
  <c r="U194" i="4" s="1"/>
  <c r="H105" i="4"/>
  <c r="Z182" i="4"/>
  <c r="U195" i="4" s="1"/>
  <c r="H114" i="4"/>
  <c r="X182" i="9"/>
  <c r="H114" i="9"/>
  <c r="Z179" i="10"/>
  <c r="J111" i="10"/>
  <c r="AC172" i="4"/>
  <c r="K104" i="4"/>
  <c r="AA182" i="4"/>
  <c r="U210" i="4" s="1"/>
  <c r="I114" i="4"/>
  <c r="M181" i="10"/>
  <c r="M201" i="10" s="1"/>
  <c r="U202" i="10" s="1"/>
  <c r="M131" i="10"/>
  <c r="U181" i="10"/>
  <c r="S183" i="10"/>
  <c r="K183" i="10"/>
  <c r="K133" i="10"/>
  <c r="AF184" i="4"/>
  <c r="N116" i="4"/>
  <c r="AC174" i="9"/>
  <c r="M106" i="9"/>
  <c r="AA175" i="9"/>
  <c r="K107" i="9"/>
  <c r="AB184" i="4"/>
  <c r="J116" i="4"/>
  <c r="AB183" i="9"/>
  <c r="L115" i="9"/>
  <c r="T179" i="10"/>
  <c r="L179" i="10"/>
  <c r="L129" i="10"/>
  <c r="Y174" i="9"/>
  <c r="I106" i="9"/>
  <c r="J129" i="4" l="1"/>
  <c r="S179" i="4"/>
  <c r="J179" i="4"/>
  <c r="I183" i="9"/>
  <c r="I133" i="9"/>
  <c r="Q183" i="9"/>
  <c r="T172" i="10"/>
  <c r="L172" i="10"/>
  <c r="L192" i="10" s="1"/>
  <c r="T193" i="10" s="1"/>
  <c r="L122" i="10"/>
  <c r="K179" i="9"/>
  <c r="K129" i="9"/>
  <c r="S179" i="9"/>
  <c r="I182" i="4"/>
  <c r="R182" i="4"/>
  <c r="T210" i="4" s="1"/>
  <c r="I132" i="4"/>
  <c r="Q173" i="10"/>
  <c r="I123" i="10"/>
  <c r="I173" i="10"/>
  <c r="K182" i="10"/>
  <c r="S182" i="10"/>
  <c r="K132" i="10"/>
  <c r="I170" i="9"/>
  <c r="I190" i="9" s="1"/>
  <c r="I120" i="9"/>
  <c r="Q170" i="9"/>
  <c r="I180" i="4"/>
  <c r="R180" i="4"/>
  <c r="T208" i="4" s="1"/>
  <c r="I130" i="4"/>
  <c r="U174" i="4"/>
  <c r="L174" i="4"/>
  <c r="L124" i="4"/>
  <c r="K181" i="4"/>
  <c r="T181" i="4"/>
  <c r="K131" i="4"/>
  <c r="L172" i="4"/>
  <c r="L122" i="4"/>
  <c r="U172" i="4"/>
  <c r="L171" i="4"/>
  <c r="U171" i="4"/>
  <c r="L121" i="4"/>
  <c r="W172" i="4"/>
  <c r="N172" i="4"/>
  <c r="N122" i="4"/>
  <c r="J170" i="10"/>
  <c r="J120" i="10"/>
  <c r="R170" i="10"/>
  <c r="Q170" i="4"/>
  <c r="T188" i="4" s="1"/>
  <c r="H170" i="4"/>
  <c r="H120" i="4"/>
  <c r="N123" i="4"/>
  <c r="N173" i="4"/>
  <c r="W173" i="4"/>
  <c r="K173" i="4"/>
  <c r="T173" i="4"/>
  <c r="K123" i="4"/>
  <c r="R174" i="9"/>
  <c r="J124" i="9"/>
  <c r="J174" i="9"/>
  <c r="L172" i="9"/>
  <c r="L122" i="9"/>
  <c r="T172" i="9"/>
  <c r="U173" i="9"/>
  <c r="M123" i="9"/>
  <c r="M173" i="9"/>
  <c r="M193" i="9" s="1"/>
  <c r="K121" i="9"/>
  <c r="K171" i="9"/>
  <c r="S171" i="9"/>
  <c r="M172" i="4"/>
  <c r="M122" i="4"/>
  <c r="V172" i="4"/>
  <c r="L183" i="9"/>
  <c r="L203" i="9" s="1"/>
  <c r="L133" i="9"/>
  <c r="T183" i="9"/>
  <c r="Q182" i="4"/>
  <c r="T195" i="4" s="1"/>
  <c r="H182" i="4"/>
  <c r="H132" i="4"/>
  <c r="J125" i="9"/>
  <c r="R175" i="9"/>
  <c r="J175" i="9"/>
  <c r="J195" i="9" s="1"/>
  <c r="J183" i="10"/>
  <c r="J203" i="10" s="1"/>
  <c r="R204" i="10" s="1"/>
  <c r="J133" i="10"/>
  <c r="R183" i="10"/>
  <c r="I124" i="4"/>
  <c r="I174" i="4"/>
  <c r="R174" i="4"/>
  <c r="T205" i="4" s="1"/>
  <c r="P171" i="9"/>
  <c r="H121" i="9"/>
  <c r="H171" i="9"/>
  <c r="H191" i="9" s="1"/>
  <c r="T181" i="9"/>
  <c r="L181" i="9"/>
  <c r="L131" i="9"/>
  <c r="H181" i="9"/>
  <c r="H131" i="9"/>
  <c r="P181" i="9"/>
  <c r="I170" i="4"/>
  <c r="R170" i="4"/>
  <c r="T201" i="4" s="1"/>
  <c r="I120" i="4"/>
  <c r="L170" i="10"/>
  <c r="L190" i="10" s="1"/>
  <c r="T191" i="10" s="1"/>
  <c r="L120" i="10"/>
  <c r="T170" i="10"/>
  <c r="H175" i="4"/>
  <c r="H125" i="4"/>
  <c r="Q175" i="4"/>
  <c r="T198" i="4" s="1"/>
  <c r="K183" i="9"/>
  <c r="K203" i="9" s="1"/>
  <c r="K133" i="9"/>
  <c r="S183" i="9"/>
  <c r="H183" i="4"/>
  <c r="Q183" i="4"/>
  <c r="T197" i="4" s="1"/>
  <c r="H133" i="4"/>
  <c r="J184" i="4"/>
  <c r="S184" i="4"/>
  <c r="J134" i="4"/>
  <c r="H123" i="4"/>
  <c r="H173" i="4"/>
  <c r="Q173" i="4"/>
  <c r="T194" i="4" s="1"/>
  <c r="J171" i="10"/>
  <c r="R171" i="10"/>
  <c r="J121" i="10"/>
  <c r="I182" i="10"/>
  <c r="I202" i="10" s="1"/>
  <c r="Q203" i="10" s="1"/>
  <c r="Q182" i="10"/>
  <c r="I132" i="10"/>
  <c r="J170" i="4"/>
  <c r="S170" i="4"/>
  <c r="J120" i="4"/>
  <c r="Q175" i="9"/>
  <c r="I125" i="9"/>
  <c r="I175" i="9"/>
  <c r="I195" i="9" s="1"/>
  <c r="J175" i="4"/>
  <c r="S175" i="4"/>
  <c r="J125" i="4"/>
  <c r="U180" i="4"/>
  <c r="L130" i="4"/>
  <c r="L180" i="4"/>
  <c r="I181" i="9"/>
  <c r="I131" i="9"/>
  <c r="Q181" i="9"/>
  <c r="K191" i="10"/>
  <c r="S192" i="10" s="1"/>
  <c r="L123" i="10"/>
  <c r="L173" i="10"/>
  <c r="L193" i="10" s="1"/>
  <c r="T194" i="10" s="1"/>
  <c r="T173" i="10"/>
  <c r="H184" i="9"/>
  <c r="H134" i="9"/>
  <c r="P184" i="9"/>
  <c r="N175" i="4"/>
  <c r="W175" i="4"/>
  <c r="N125" i="4"/>
  <c r="T183" i="10"/>
  <c r="L183" i="10"/>
  <c r="L133" i="10"/>
  <c r="I184" i="9"/>
  <c r="Q184" i="9"/>
  <c r="I134" i="9"/>
  <c r="P179" i="9"/>
  <c r="H179" i="9"/>
  <c r="H129" i="9"/>
  <c r="K179" i="4"/>
  <c r="K129" i="4"/>
  <c r="T179" i="4"/>
  <c r="Q184" i="10"/>
  <c r="I134" i="10"/>
  <c r="I184" i="10"/>
  <c r="I204" i="10" s="1"/>
  <c r="Q205" i="10" s="1"/>
  <c r="J132" i="9"/>
  <c r="R182" i="9"/>
  <c r="J182" i="9"/>
  <c r="L182" i="9"/>
  <c r="L132" i="9"/>
  <c r="T182" i="9"/>
  <c r="J184" i="9"/>
  <c r="R184" i="9"/>
  <c r="J134" i="9"/>
  <c r="K195" i="10"/>
  <c r="S196" i="10" s="1"/>
  <c r="M202" i="10"/>
  <c r="U203" i="10" s="1"/>
  <c r="J173" i="9"/>
  <c r="J193" i="9" s="1"/>
  <c r="R173" i="9"/>
  <c r="J123" i="9"/>
  <c r="P170" i="10"/>
  <c r="H190" i="10"/>
  <c r="P191" i="10" s="1"/>
  <c r="H120" i="10"/>
  <c r="W174" i="4"/>
  <c r="N174" i="4"/>
  <c r="N124" i="4"/>
  <c r="U175" i="10"/>
  <c r="M125" i="10"/>
  <c r="M175" i="10"/>
  <c r="M195" i="10" s="1"/>
  <c r="U196" i="10" s="1"/>
  <c r="K132" i="9"/>
  <c r="K182" i="9"/>
  <c r="S182" i="9"/>
  <c r="K184" i="4"/>
  <c r="T184" i="4"/>
  <c r="K134" i="4"/>
  <c r="W183" i="4"/>
  <c r="N133" i="4"/>
  <c r="N183" i="4"/>
  <c r="N203" i="4" s="1"/>
  <c r="M175" i="9"/>
  <c r="U175" i="9"/>
  <c r="M125" i="9"/>
  <c r="K174" i="4"/>
  <c r="T174" i="4"/>
  <c r="K124" i="4"/>
  <c r="M193" i="10"/>
  <c r="U194" i="10" s="1"/>
  <c r="J121" i="9"/>
  <c r="R171" i="9"/>
  <c r="J171" i="9"/>
  <c r="J191" i="9" s="1"/>
  <c r="Q181" i="4"/>
  <c r="T193" i="4" s="1"/>
  <c r="H131" i="4"/>
  <c r="H181" i="4"/>
  <c r="H173" i="10"/>
  <c r="H193" i="10" s="1"/>
  <c r="P194" i="10" s="1"/>
  <c r="P173" i="10"/>
  <c r="H123" i="10"/>
  <c r="K134" i="10"/>
  <c r="K184" i="10"/>
  <c r="K204" i="10" s="1"/>
  <c r="S205" i="10" s="1"/>
  <c r="S184" i="10"/>
  <c r="M183" i="10"/>
  <c r="M133" i="10"/>
  <c r="U183" i="10"/>
  <c r="S172" i="10"/>
  <c r="K122" i="10"/>
  <c r="K172" i="10"/>
  <c r="L130" i="10"/>
  <c r="L180" i="10"/>
  <c r="T180" i="10"/>
  <c r="W171" i="4"/>
  <c r="N121" i="4"/>
  <c r="N171" i="4"/>
  <c r="N191" i="4" s="1"/>
  <c r="M175" i="4"/>
  <c r="M195" i="4" s="1"/>
  <c r="V175" i="4"/>
  <c r="M125" i="4"/>
  <c r="M179" i="10"/>
  <c r="M199" i="10" s="1"/>
  <c r="U200" i="10" s="1"/>
  <c r="M129" i="10"/>
  <c r="U179" i="10"/>
  <c r="K172" i="4"/>
  <c r="K122" i="4"/>
  <c r="T172" i="4"/>
  <c r="I174" i="9"/>
  <c r="I124" i="9"/>
  <c r="Q174" i="9"/>
  <c r="K203" i="10"/>
  <c r="S204" i="10" s="1"/>
  <c r="M120" i="4"/>
  <c r="M170" i="4"/>
  <c r="M190" i="4" s="1"/>
  <c r="V170" i="4"/>
  <c r="U173" i="4"/>
  <c r="L123" i="4"/>
  <c r="L173" i="4"/>
  <c r="P181" i="10"/>
  <c r="H181" i="10"/>
  <c r="H201" i="10" s="1"/>
  <c r="P202" i="10" s="1"/>
  <c r="H131" i="10"/>
  <c r="K190" i="10"/>
  <c r="S191" i="10" s="1"/>
  <c r="I190" i="10"/>
  <c r="Q191" i="10" s="1"/>
  <c r="K175" i="4"/>
  <c r="T175" i="4"/>
  <c r="K125" i="4"/>
  <c r="K123" i="10"/>
  <c r="K173" i="10"/>
  <c r="K193" i="10" s="1"/>
  <c r="S194" i="10" s="1"/>
  <c r="S173" i="10"/>
  <c r="J124" i="4"/>
  <c r="J174" i="4"/>
  <c r="S174" i="4"/>
  <c r="U175" i="4"/>
  <c r="L175" i="4"/>
  <c r="L125" i="4"/>
  <c r="Q184" i="4"/>
  <c r="T199" i="4" s="1"/>
  <c r="H184" i="4"/>
  <c r="H134" i="4"/>
  <c r="K174" i="10"/>
  <c r="K194" i="10" s="1"/>
  <c r="S195" i="10" s="1"/>
  <c r="K124" i="10"/>
  <c r="S174" i="10"/>
  <c r="M174" i="4"/>
  <c r="M194" i="4" s="1"/>
  <c r="V174" i="4"/>
  <c r="M124" i="4"/>
  <c r="N182" i="4"/>
  <c r="W182" i="4"/>
  <c r="N132" i="4"/>
  <c r="T182" i="4"/>
  <c r="K132" i="4"/>
  <c r="K182" i="4"/>
  <c r="J201" i="4"/>
  <c r="S221" i="4"/>
  <c r="I172" i="10"/>
  <c r="I122" i="10"/>
  <c r="Q172" i="10"/>
  <c r="I183" i="10"/>
  <c r="I203" i="10" s="1"/>
  <c r="Q204" i="10" s="1"/>
  <c r="I133" i="10"/>
  <c r="Q183" i="10"/>
  <c r="S174" i="9"/>
  <c r="K174" i="9"/>
  <c r="K194" i="9" s="1"/>
  <c r="K124" i="9"/>
  <c r="I179" i="4"/>
  <c r="I129" i="4"/>
  <c r="R179" i="4"/>
  <c r="T207" i="4" s="1"/>
  <c r="M172" i="9"/>
  <c r="M122" i="9"/>
  <c r="U172" i="9"/>
  <c r="H183" i="10"/>
  <c r="H133" i="10"/>
  <c r="P183" i="10"/>
  <c r="M179" i="9"/>
  <c r="M199" i="9" s="1"/>
  <c r="M129" i="9"/>
  <c r="U179" i="9"/>
  <c r="M179" i="4"/>
  <c r="M199" i="4" s="1"/>
  <c r="V179" i="4"/>
  <c r="M129" i="4"/>
  <c r="T170" i="4"/>
  <c r="K120" i="4"/>
  <c r="K170" i="4"/>
  <c r="I134" i="4"/>
  <c r="R184" i="4"/>
  <c r="T212" i="4" s="1"/>
  <c r="I184" i="4"/>
  <c r="U171" i="10"/>
  <c r="M121" i="10"/>
  <c r="M171" i="10"/>
  <c r="R180" i="10"/>
  <c r="J130" i="10"/>
  <c r="J180" i="10"/>
  <c r="J200" i="10" s="1"/>
  <c r="R201" i="10" s="1"/>
  <c r="L183" i="4"/>
  <c r="U183" i="4"/>
  <c r="L133" i="4"/>
  <c r="V181" i="4"/>
  <c r="M131" i="4"/>
  <c r="M181" i="4"/>
  <c r="M201" i="4" s="1"/>
  <c r="K180" i="9"/>
  <c r="S180" i="9"/>
  <c r="K130" i="9"/>
  <c r="J173" i="4"/>
  <c r="S173" i="4"/>
  <c r="J123" i="4"/>
  <c r="R175" i="4"/>
  <c r="T206" i="4" s="1"/>
  <c r="I175" i="4"/>
  <c r="I125" i="4"/>
  <c r="T180" i="9"/>
  <c r="L130" i="9"/>
  <c r="L180" i="9"/>
  <c r="H171" i="4"/>
  <c r="Q171" i="4"/>
  <c r="T190" i="4" s="1"/>
  <c r="H121" i="4"/>
  <c r="I175" i="10"/>
  <c r="I195" i="10" s="1"/>
  <c r="Q196" i="10" s="1"/>
  <c r="Q175" i="10"/>
  <c r="I125" i="10"/>
  <c r="S181" i="9"/>
  <c r="K181" i="9"/>
  <c r="K201" i="9" s="1"/>
  <c r="K131" i="9"/>
  <c r="M170" i="9"/>
  <c r="M120" i="9"/>
  <c r="U170" i="9"/>
  <c r="L201" i="10"/>
  <c r="T202" i="10" s="1"/>
  <c r="R172" i="4"/>
  <c r="T203" i="4" s="1"/>
  <c r="I122" i="4"/>
  <c r="I172" i="4"/>
  <c r="M181" i="9"/>
  <c r="M201" i="9" s="1"/>
  <c r="M131" i="9"/>
  <c r="U181" i="9"/>
  <c r="M182" i="4"/>
  <c r="M202" i="4" s="1"/>
  <c r="V182" i="4"/>
  <c r="M132" i="4"/>
  <c r="I123" i="4"/>
  <c r="R173" i="4"/>
  <c r="T204" i="4" s="1"/>
  <c r="I173" i="4"/>
  <c r="J172" i="10"/>
  <c r="J122" i="10"/>
  <c r="R172" i="10"/>
  <c r="K125" i="9"/>
  <c r="K175" i="9"/>
  <c r="K195" i="9" s="1"/>
  <c r="S175" i="9"/>
  <c r="J179" i="10"/>
  <c r="J199" i="10" s="1"/>
  <c r="R200" i="10" s="1"/>
  <c r="J129" i="10"/>
  <c r="R179" i="10"/>
  <c r="L124" i="9"/>
  <c r="T174" i="9"/>
  <c r="L174" i="9"/>
  <c r="Q171" i="9"/>
  <c r="I121" i="9"/>
  <c r="I171" i="9"/>
  <c r="T171" i="4"/>
  <c r="K171" i="4"/>
  <c r="K121" i="4"/>
  <c r="H132" i="10"/>
  <c r="H182" i="10"/>
  <c r="P182" i="10"/>
  <c r="H170" i="9"/>
  <c r="H120" i="9"/>
  <c r="P170" i="9"/>
  <c r="J180" i="9"/>
  <c r="J200" i="9" s="1"/>
  <c r="R180" i="9"/>
  <c r="J130" i="9"/>
  <c r="N180" i="4"/>
  <c r="W180" i="4"/>
  <c r="N130" i="4"/>
  <c r="S180" i="4"/>
  <c r="J130" i="4"/>
  <c r="J180" i="4"/>
  <c r="M184" i="4"/>
  <c r="V184" i="4"/>
  <c r="M134" i="4"/>
  <c r="S170" i="9"/>
  <c r="K170" i="9"/>
  <c r="K120" i="9"/>
  <c r="S182" i="4"/>
  <c r="J132" i="4"/>
  <c r="J182" i="4"/>
  <c r="M171" i="4"/>
  <c r="M191" i="4" s="1"/>
  <c r="V171" i="4"/>
  <c r="M121" i="4"/>
  <c r="I181" i="4"/>
  <c r="R181" i="4"/>
  <c r="T209" i="4" s="1"/>
  <c r="I131" i="4"/>
  <c r="R170" i="9"/>
  <c r="J120" i="9"/>
  <c r="J170" i="9"/>
  <c r="J190" i="9" s="1"/>
  <c r="J179" i="9"/>
  <c r="J199" i="9" s="1"/>
  <c r="J129" i="9"/>
  <c r="R179" i="9"/>
  <c r="J182" i="10"/>
  <c r="J202" i="10" s="1"/>
  <c r="R203" i="10" s="1"/>
  <c r="R182" i="10"/>
  <c r="J132" i="10"/>
  <c r="N120" i="4"/>
  <c r="N170" i="4"/>
  <c r="N190" i="4" s="1"/>
  <c r="W170" i="4"/>
  <c r="L171" i="10"/>
  <c r="L191" i="10" s="1"/>
  <c r="T192" i="10" s="1"/>
  <c r="T171" i="10"/>
  <c r="L121" i="10"/>
  <c r="L120" i="4"/>
  <c r="L170" i="4"/>
  <c r="U170" i="4"/>
  <c r="I171" i="4"/>
  <c r="R171" i="4"/>
  <c r="T202" i="4" s="1"/>
  <c r="I121" i="4"/>
  <c r="H174" i="9"/>
  <c r="H124" i="9"/>
  <c r="P174" i="9"/>
  <c r="H184" i="10"/>
  <c r="H204" i="10" s="1"/>
  <c r="P205" i="10" s="1"/>
  <c r="P184" i="10"/>
  <c r="H134" i="10"/>
  <c r="H173" i="9"/>
  <c r="H193" i="9" s="1"/>
  <c r="H123" i="9"/>
  <c r="P173" i="9"/>
  <c r="J171" i="4"/>
  <c r="S171" i="4"/>
  <c r="J121" i="4"/>
  <c r="J172" i="9"/>
  <c r="J122" i="9"/>
  <c r="R172" i="9"/>
  <c r="I183" i="4"/>
  <c r="R183" i="4"/>
  <c r="T211" i="4" s="1"/>
  <c r="I133" i="4"/>
  <c r="M182" i="9"/>
  <c r="U182" i="9"/>
  <c r="M132" i="9"/>
  <c r="K172" i="9"/>
  <c r="K122" i="9"/>
  <c r="S172" i="9"/>
  <c r="P175" i="9"/>
  <c r="H125" i="9"/>
  <c r="H175" i="9"/>
  <c r="H195" i="9" s="1"/>
  <c r="P174" i="10"/>
  <c r="H174" i="10"/>
  <c r="H124" i="10"/>
  <c r="W184" i="4"/>
  <c r="N134" i="4"/>
  <c r="N184" i="4"/>
  <c r="T184" i="9"/>
  <c r="L134" i="9"/>
  <c r="L184" i="9"/>
  <c r="U184" i="9"/>
  <c r="M134" i="9"/>
  <c r="M184" i="9"/>
  <c r="M204" i="9" s="1"/>
  <c r="L179" i="4"/>
  <c r="U179" i="4"/>
  <c r="L129" i="4"/>
  <c r="L134" i="10"/>
  <c r="L184" i="10"/>
  <c r="L204" i="10" s="1"/>
  <c r="T205" i="10" s="1"/>
  <c r="T184" i="10"/>
  <c r="I172" i="9"/>
  <c r="I122" i="9"/>
  <c r="Q172" i="9"/>
  <c r="M174" i="10"/>
  <c r="M124" i="10"/>
  <c r="U174" i="10"/>
  <c r="J181" i="10"/>
  <c r="J131" i="10"/>
  <c r="R181" i="10"/>
  <c r="H125" i="10"/>
  <c r="H175" i="10"/>
  <c r="H195" i="10" s="1"/>
  <c r="P196" i="10" s="1"/>
  <c r="P175" i="10"/>
  <c r="M123" i="4"/>
  <c r="M173" i="4"/>
  <c r="V173" i="4"/>
  <c r="M184" i="10"/>
  <c r="U184" i="10"/>
  <c r="M134" i="10"/>
  <c r="L179" i="9"/>
  <c r="L199" i="9" s="1"/>
  <c r="L129" i="9"/>
  <c r="T179" i="9"/>
  <c r="J175" i="10"/>
  <c r="R175" i="10"/>
  <c r="J125" i="10"/>
  <c r="H180" i="9"/>
  <c r="H130" i="9"/>
  <c r="P180" i="9"/>
  <c r="I171" i="10"/>
  <c r="Q171" i="10"/>
  <c r="I121" i="10"/>
  <c r="I179" i="9"/>
  <c r="I129" i="9"/>
  <c r="Q179" i="9"/>
  <c r="S179" i="10"/>
  <c r="K179" i="10"/>
  <c r="K199" i="10" s="1"/>
  <c r="S200" i="10" s="1"/>
  <c r="K129" i="10"/>
  <c r="I180" i="9"/>
  <c r="I200" i="9" s="1"/>
  <c r="Q180" i="9"/>
  <c r="I130" i="9"/>
  <c r="P172" i="9"/>
  <c r="H122" i="9"/>
  <c r="H172" i="9"/>
  <c r="H192" i="9" s="1"/>
  <c r="M171" i="9"/>
  <c r="M191" i="9" s="1"/>
  <c r="U171" i="9"/>
  <c r="M121" i="9"/>
  <c r="K181" i="10"/>
  <c r="K201" i="10" s="1"/>
  <c r="S202" i="10" s="1"/>
  <c r="K131" i="10"/>
  <c r="S181" i="10"/>
  <c r="T173" i="9"/>
  <c r="L123" i="9"/>
  <c r="L173" i="9"/>
  <c r="L193" i="9" s="1"/>
  <c r="M183" i="9"/>
  <c r="M133" i="9"/>
  <c r="U183" i="9"/>
  <c r="R181" i="9"/>
  <c r="J181" i="9"/>
  <c r="J131" i="9"/>
  <c r="P183" i="9"/>
  <c r="H183" i="9"/>
  <c r="H203" i="9" s="1"/>
  <c r="H133" i="9"/>
  <c r="M130" i="4"/>
  <c r="V180" i="4"/>
  <c r="M180" i="4"/>
  <c r="M200" i="4" s="1"/>
  <c r="M170" i="10"/>
  <c r="M190" i="10" s="1"/>
  <c r="U191" i="10" s="1"/>
  <c r="M120" i="10"/>
  <c r="U170" i="10"/>
  <c r="L184" i="4"/>
  <c r="U184" i="4"/>
  <c r="L134" i="4"/>
  <c r="L182" i="10"/>
  <c r="T182" i="10"/>
  <c r="L132" i="10"/>
  <c r="N179" i="4"/>
  <c r="N199" i="4" s="1"/>
  <c r="W179" i="4"/>
  <c r="N129" i="4"/>
  <c r="L171" i="9"/>
  <c r="L121" i="9"/>
  <c r="T171" i="9"/>
  <c r="L195" i="9"/>
  <c r="V183" i="4"/>
  <c r="M133" i="4"/>
  <c r="M183" i="4"/>
  <c r="L199" i="10"/>
  <c r="T200" i="10" s="1"/>
  <c r="M174" i="9"/>
  <c r="M124" i="9"/>
  <c r="U174" i="9"/>
  <c r="P182" i="9"/>
  <c r="H132" i="9"/>
  <c r="H182" i="9"/>
  <c r="H202" i="9" s="1"/>
  <c r="H180" i="4"/>
  <c r="Q180" i="4"/>
  <c r="T191" i="4" s="1"/>
  <c r="H130" i="4"/>
  <c r="N181" i="4"/>
  <c r="N201" i="4" s="1"/>
  <c r="N131" i="4"/>
  <c r="W181" i="4"/>
  <c r="H179" i="4"/>
  <c r="H129" i="4"/>
  <c r="Q179" i="4"/>
  <c r="T189" i="4" s="1"/>
  <c r="I174" i="10"/>
  <c r="I194" i="10" s="1"/>
  <c r="Q195" i="10" s="1"/>
  <c r="I124" i="10"/>
  <c r="Q174" i="10"/>
  <c r="L182" i="4"/>
  <c r="L132" i="4"/>
  <c r="U182" i="4"/>
  <c r="T183" i="4"/>
  <c r="K133" i="4"/>
  <c r="K183" i="4"/>
  <c r="M180" i="10"/>
  <c r="U180" i="10"/>
  <c r="M130" i="10"/>
  <c r="J122" i="4"/>
  <c r="S172" i="4"/>
  <c r="J172" i="4"/>
  <c r="K180" i="4"/>
  <c r="K130" i="4"/>
  <c r="T180" i="4"/>
  <c r="U180" i="9"/>
  <c r="M130" i="9"/>
  <c r="M180" i="9"/>
  <c r="M172" i="10"/>
  <c r="M192" i="10" s="1"/>
  <c r="U193" i="10" s="1"/>
  <c r="M122" i="10"/>
  <c r="U172" i="10"/>
  <c r="K130" i="10"/>
  <c r="K180" i="10"/>
  <c r="S180" i="10"/>
  <c r="J183" i="4"/>
  <c r="S183" i="4"/>
  <c r="J133" i="4"/>
  <c r="L181" i="4"/>
  <c r="U181" i="4"/>
  <c r="L131" i="4"/>
  <c r="T170" i="9"/>
  <c r="L120" i="9"/>
  <c r="L170" i="9"/>
  <c r="L190" i="9" s="1"/>
  <c r="H172" i="4"/>
  <c r="H122" i="4"/>
  <c r="Q172" i="4"/>
  <c r="T192" i="4" s="1"/>
  <c r="K184" i="9"/>
  <c r="S184" i="9"/>
  <c r="K134" i="9"/>
  <c r="J183" i="9"/>
  <c r="J203" i="9" s="1"/>
  <c r="J133" i="9"/>
  <c r="R183" i="9"/>
  <c r="R184" i="10"/>
  <c r="J134" i="10"/>
  <c r="J184" i="10"/>
  <c r="K173" i="9"/>
  <c r="K193" i="9" s="1"/>
  <c r="S173" i="9"/>
  <c r="K123" i="9"/>
  <c r="H124" i="4"/>
  <c r="Q174" i="4"/>
  <c r="T196" i="4" s="1"/>
  <c r="H174" i="4"/>
  <c r="I200" i="10"/>
  <c r="Q201" i="10" s="1"/>
  <c r="K195" i="4" l="1"/>
  <c r="T218" i="4"/>
  <c r="J204" i="10"/>
  <c r="R205" i="10" s="1"/>
  <c r="K204" i="9"/>
  <c r="K200" i="4"/>
  <c r="T220" i="4"/>
  <c r="S191" i="4"/>
  <c r="H200" i="4"/>
  <c r="M203" i="4"/>
  <c r="N200" i="4"/>
  <c r="H202" i="10"/>
  <c r="P203" i="10" s="1"/>
  <c r="L194" i="9"/>
  <c r="K200" i="9"/>
  <c r="T213" i="4"/>
  <c r="K190" i="4"/>
  <c r="S217" i="4"/>
  <c r="J194" i="4"/>
  <c r="J204" i="9"/>
  <c r="N195" i="4"/>
  <c r="J195" i="4"/>
  <c r="S218" i="4"/>
  <c r="S188" i="4"/>
  <c r="H190" i="4"/>
  <c r="K201" i="4"/>
  <c r="T221" i="4"/>
  <c r="S215" i="4"/>
  <c r="J192" i="4"/>
  <c r="S207" i="4"/>
  <c r="I199" i="4"/>
  <c r="I190" i="4"/>
  <c r="S201" i="4"/>
  <c r="H194" i="4"/>
  <c r="S196" i="4"/>
  <c r="H199" i="4"/>
  <c r="S189" i="4"/>
  <c r="J201" i="9"/>
  <c r="M204" i="10"/>
  <c r="U205" i="10" s="1"/>
  <c r="H194" i="10"/>
  <c r="P195" i="10" s="1"/>
  <c r="J192" i="9"/>
  <c r="J202" i="4"/>
  <c r="S222" i="4"/>
  <c r="M204" i="4"/>
  <c r="M191" i="10"/>
  <c r="U192" i="10" s="1"/>
  <c r="I192" i="10"/>
  <c r="Q193" i="10" s="1"/>
  <c r="N202" i="4"/>
  <c r="H204" i="4"/>
  <c r="S199" i="4"/>
  <c r="S193" i="4"/>
  <c r="H201" i="4"/>
  <c r="I204" i="9"/>
  <c r="I201" i="9"/>
  <c r="S224" i="4"/>
  <c r="J204" i="4"/>
  <c r="L191" i="4"/>
  <c r="U214" i="4"/>
  <c r="U217" i="4"/>
  <c r="L194" i="4"/>
  <c r="I202" i="4"/>
  <c r="S210" i="4"/>
  <c r="T223" i="4"/>
  <c r="K203" i="4"/>
  <c r="U224" i="4"/>
  <c r="L204" i="4"/>
  <c r="S211" i="4"/>
  <c r="I203" i="4"/>
  <c r="L201" i="4"/>
  <c r="U221" i="4"/>
  <c r="H200" i="9"/>
  <c r="I192" i="9"/>
  <c r="K192" i="9"/>
  <c r="S202" i="4"/>
  <c r="I191" i="4"/>
  <c r="S206" i="4"/>
  <c r="I195" i="4"/>
  <c r="H192" i="4"/>
  <c r="S192" i="4"/>
  <c r="M200" i="9"/>
  <c r="J201" i="10"/>
  <c r="R202" i="10" s="1"/>
  <c r="L204" i="9"/>
  <c r="U213" i="4"/>
  <c r="L190" i="4"/>
  <c r="J200" i="4"/>
  <c r="S220" i="4"/>
  <c r="T214" i="4"/>
  <c r="K191" i="4"/>
  <c r="J192" i="10"/>
  <c r="R193" i="10" s="1"/>
  <c r="M190" i="9"/>
  <c r="H203" i="10"/>
  <c r="P204" i="10" s="1"/>
  <c r="M203" i="10"/>
  <c r="U204" i="10" s="1"/>
  <c r="T217" i="4"/>
  <c r="K194" i="4"/>
  <c r="L202" i="9"/>
  <c r="H204" i="9"/>
  <c r="U220" i="4"/>
  <c r="L200" i="4"/>
  <c r="S198" i="4"/>
  <c r="H195" i="4"/>
  <c r="K193" i="4"/>
  <c r="T216" i="4"/>
  <c r="I203" i="9"/>
  <c r="U219" i="4"/>
  <c r="L199" i="4"/>
  <c r="K192" i="4"/>
  <c r="T215" i="4"/>
  <c r="I199" i="9"/>
  <c r="S223" i="4"/>
  <c r="J203" i="4"/>
  <c r="L202" i="4"/>
  <c r="U222" i="4"/>
  <c r="L202" i="10"/>
  <c r="T203" i="10" s="1"/>
  <c r="J195" i="10"/>
  <c r="R196" i="10" s="1"/>
  <c r="M193" i="4"/>
  <c r="M202" i="9"/>
  <c r="I193" i="4"/>
  <c r="S204" i="4"/>
  <c r="H191" i="4"/>
  <c r="S190" i="4"/>
  <c r="L200" i="10"/>
  <c r="T201" i="10" s="1"/>
  <c r="T224" i="4"/>
  <c r="K204" i="4"/>
  <c r="N194" i="4"/>
  <c r="J202" i="9"/>
  <c r="T219" i="4"/>
  <c r="K199" i="4"/>
  <c r="L203" i="10"/>
  <c r="T204" i="10" s="1"/>
  <c r="J191" i="10"/>
  <c r="R192" i="10" s="1"/>
  <c r="H201" i="9"/>
  <c r="I194" i="4"/>
  <c r="S205" i="4"/>
  <c r="M192" i="4"/>
  <c r="J190" i="10"/>
  <c r="R191" i="10" s="1"/>
  <c r="K202" i="10"/>
  <c r="S203" i="10" s="1"/>
  <c r="S219" i="4"/>
  <c r="J199" i="4"/>
  <c r="I191" i="9"/>
  <c r="H203" i="4"/>
  <c r="S197" i="4"/>
  <c r="S195" i="4"/>
  <c r="H202" i="4"/>
  <c r="L192" i="9"/>
  <c r="N193" i="4"/>
  <c r="L192" i="4"/>
  <c r="U215" i="4"/>
  <c r="I193" i="10"/>
  <c r="Q194" i="10" s="1"/>
  <c r="K199" i="9"/>
  <c r="S214" i="4"/>
  <c r="J191" i="4"/>
  <c r="S203" i="4"/>
  <c r="I192" i="4"/>
  <c r="L200" i="9"/>
  <c r="J193" i="4"/>
  <c r="S216" i="4"/>
  <c r="I204" i="4"/>
  <c r="S212" i="4"/>
  <c r="T222" i="4"/>
  <c r="K202" i="4"/>
  <c r="U218" i="4"/>
  <c r="L195" i="4"/>
  <c r="L193" i="4"/>
  <c r="U216" i="4"/>
  <c r="K200" i="10"/>
  <c r="S201" i="10" s="1"/>
  <c r="M200" i="10"/>
  <c r="U201" i="10" s="1"/>
  <c r="M194" i="9"/>
  <c r="L191" i="9"/>
  <c r="M203" i="9"/>
  <c r="I191" i="10"/>
  <c r="Q192" i="10" s="1"/>
  <c r="M194" i="10"/>
  <c r="U195" i="10" s="1"/>
  <c r="N204" i="4"/>
  <c r="H194" i="9"/>
  <c r="S209" i="4"/>
  <c r="I201" i="4"/>
  <c r="K190" i="9"/>
  <c r="H190" i="9"/>
  <c r="U223" i="4"/>
  <c r="L203" i="4"/>
  <c r="M192" i="9"/>
  <c r="I194" i="9"/>
  <c r="K192" i="10"/>
  <c r="S193" i="10" s="1"/>
  <c r="M195" i="9"/>
  <c r="K202" i="9"/>
  <c r="H199" i="9"/>
  <c r="J190" i="4"/>
  <c r="S213" i="4"/>
  <c r="S194" i="4"/>
  <c r="H193" i="4"/>
  <c r="L201" i="9"/>
  <c r="K191" i="9"/>
  <c r="J194" i="9"/>
  <c r="N192" i="4"/>
  <c r="I200" i="4"/>
  <c r="S208" i="4"/>
</calcChain>
</file>

<file path=xl/sharedStrings.xml><?xml version="1.0" encoding="utf-8"?>
<sst xmlns="http://schemas.openxmlformats.org/spreadsheetml/2006/main" count="1224" uniqueCount="447">
  <si>
    <t>Variável</t>
  </si>
  <si>
    <t>Unidade</t>
  </si>
  <si>
    <t>O que ela representa</t>
  </si>
  <si>
    <t>Onde encontrar</t>
  </si>
  <si>
    <t>Pinitial</t>
  </si>
  <si>
    <t>MPa</t>
  </si>
  <si>
    <t>Pressão em que o gás é coletado ao final do processo de captura. Pressão atmosférica.</t>
  </si>
  <si>
    <t>Paper Calc</t>
  </si>
  <si>
    <t>Pfinal</t>
  </si>
  <si>
    <t>Pressão em que o gás é transportado pelo pipeline. Pode variar de acordo com a aplicação.</t>
  </si>
  <si>
    <t>Relatórios Petrobras</t>
  </si>
  <si>
    <t>Pcut-off</t>
  </si>
  <si>
    <t>Pressão crítica do CO2. Pressão que o gás é transformado em líquido e não precisa mais de compressor para aumentar a pressão. A partir deste ponto pode ser utilizado uma bomba.</t>
  </si>
  <si>
    <t xml:space="preserve"> </t>
  </si>
  <si>
    <t>Stage 1</t>
  </si>
  <si>
    <t>Stage 2</t>
  </si>
  <si>
    <t>Stage 3</t>
  </si>
  <si>
    <t>Stage 4</t>
  </si>
  <si>
    <t>Nstage</t>
  </si>
  <si>
    <t>-</t>
  </si>
  <si>
    <t>Número de estágios do compressor no final da linha de captura do CO2</t>
  </si>
  <si>
    <t>Esquemas Empresas</t>
  </si>
  <si>
    <t>Pressure range [MPa]</t>
  </si>
  <si>
    <t>0.1 - 0.29</t>
  </si>
  <si>
    <t>0.29 - 0.86</t>
  </si>
  <si>
    <t>0.86 - 2.52</t>
  </si>
  <si>
    <t>2.52 - 7.38</t>
  </si>
  <si>
    <t>M</t>
  </si>
  <si>
    <t>kg/kmol</t>
  </si>
  <si>
    <t>Massa molar do CO2</t>
  </si>
  <si>
    <t>Bibliografia</t>
  </si>
  <si>
    <t>Zs [-]</t>
  </si>
  <si>
    <t>0.995</t>
  </si>
  <si>
    <t>0.986</t>
  </si>
  <si>
    <t>0.959</t>
  </si>
  <si>
    <t>0.875</t>
  </si>
  <si>
    <t>R</t>
  </si>
  <si>
    <t>[kJ/kmol*K]</t>
  </si>
  <si>
    <t>Constante dos gases</t>
  </si>
  <si>
    <t>ks [-]</t>
  </si>
  <si>
    <t>1.273</t>
  </si>
  <si>
    <t>1.285</t>
  </si>
  <si>
    <t>1.321</t>
  </si>
  <si>
    <t>1.448</t>
  </si>
  <si>
    <t>Tin</t>
  </si>
  <si>
    <t>K</t>
  </si>
  <si>
    <t>Temperatura do CO2 na entrada do compressor</t>
  </si>
  <si>
    <t>ηis</t>
  </si>
  <si>
    <t>Eficiência isentrópica do compressor. É a medida de desempenho que compara o trabalho ideal com o trabalho real</t>
  </si>
  <si>
    <t>Catálogo fornecedor</t>
  </si>
  <si>
    <t>m</t>
  </si>
  <si>
    <t>rô</t>
  </si>
  <si>
    <t>np</t>
  </si>
  <si>
    <t>Power requirement of Compression and Pumping</t>
  </si>
  <si>
    <t>Compression Power Requirement - for each stage</t>
  </si>
  <si>
    <t>Pumping</t>
  </si>
  <si>
    <t>CO2 mass flow rate [tonnes/day]</t>
  </si>
  <si>
    <t>Power [kW]</t>
  </si>
  <si>
    <t>CR</t>
  </si>
  <si>
    <t>Compressor Power [kW]</t>
  </si>
  <si>
    <t>Pumping Power [kW]</t>
  </si>
  <si>
    <t>Wstage,1</t>
  </si>
  <si>
    <t>Wp</t>
  </si>
  <si>
    <t>z</t>
  </si>
  <si>
    <t>k</t>
  </si>
  <si>
    <t>Wstage,2</t>
  </si>
  <si>
    <t>Wt</t>
  </si>
  <si>
    <t>Ntrain</t>
  </si>
  <si>
    <t>Wstage,3</t>
  </si>
  <si>
    <t>Wstage,4</t>
  </si>
  <si>
    <t>Power requeriment of Compression and Pumping</t>
  </si>
  <si>
    <t>CF</t>
  </si>
  <si>
    <t>m_year</t>
  </si>
  <si>
    <t>mtrain</t>
  </si>
  <si>
    <t>kg/s</t>
  </si>
  <si>
    <t>Capital Cost of Compression and Pumping</t>
  </si>
  <si>
    <t>Levelized Cost of CO2 Compression phase</t>
  </si>
  <si>
    <t>CRF</t>
  </si>
  <si>
    <t>Total Lev Cost</t>
  </si>
  <si>
    <t>E_lev</t>
  </si>
  <si>
    <t>E_y</t>
  </si>
  <si>
    <t>O&amp;M_lev</t>
  </si>
  <si>
    <t>O&amp;M_y</t>
  </si>
  <si>
    <t>Cap_lev</t>
  </si>
  <si>
    <t>C_y</t>
  </si>
  <si>
    <t>C Total</t>
  </si>
  <si>
    <t>Compressor</t>
  </si>
  <si>
    <t>Pump</t>
  </si>
  <si>
    <t>Ccomp</t>
  </si>
  <si>
    <t>Cpump</t>
  </si>
  <si>
    <t>Ctotal</t>
  </si>
  <si>
    <t>Cannual</t>
  </si>
  <si>
    <t>O&amp;M factor</t>
  </si>
  <si>
    <t>p_e</t>
  </si>
  <si>
    <t>Years</t>
  </si>
  <si>
    <t>ArcelorMittal - Moving Average</t>
  </si>
  <si>
    <t>ArcelorMittal - SVR</t>
  </si>
  <si>
    <t>ArcelorMittal - Linear</t>
  </si>
  <si>
    <t>CBA - Moving Average</t>
  </si>
  <si>
    <t>CBA - SVR</t>
  </si>
  <si>
    <t>CBA - Linear</t>
  </si>
  <si>
    <t>Intercement - Moving Average</t>
  </si>
  <si>
    <t>Intercement - SVR</t>
  </si>
  <si>
    <t>Intercement - Linear</t>
  </si>
  <si>
    <t>Suzano - Moving Average</t>
  </si>
  <si>
    <t>Suzano - SVR</t>
  </si>
  <si>
    <t>Suzano - Linear</t>
  </si>
  <si>
    <t>Ternium Brasil - Moving Average</t>
  </si>
  <si>
    <t>Ternium Brasil - SVR</t>
  </si>
  <si>
    <t>Ternium Brasil - Linear</t>
  </si>
  <si>
    <t>Votorantim - Moving Average</t>
  </si>
  <si>
    <t>Votorantim - SVR</t>
  </si>
  <si>
    <t>Votorantim - Linear</t>
  </si>
  <si>
    <t>BAU [tCO2e]</t>
  </si>
  <si>
    <t>AcelorMittal</t>
  </si>
  <si>
    <t>CBA</t>
  </si>
  <si>
    <t>Intercement</t>
  </si>
  <si>
    <t>Suzano</t>
  </si>
  <si>
    <t>Ternium Brasil</t>
  </si>
  <si>
    <t>Votorantim</t>
  </si>
  <si>
    <t>Power Law [MtCO2e]</t>
  </si>
  <si>
    <t>Power Law [tCO2e]</t>
  </si>
  <si>
    <t>BAU  [tCO2 Capturado= 95%*80%tCO2e]</t>
  </si>
  <si>
    <t>Power Law [tCO2 Capturado= 95%*80%tCO2e]</t>
  </si>
  <si>
    <t>Power Requirement BAU [kW]</t>
  </si>
  <si>
    <t>AcelorMittal - BAU</t>
  </si>
  <si>
    <t>CBA - BAU</t>
  </si>
  <si>
    <t>Intercement - BAU</t>
  </si>
  <si>
    <t>Suzano - BAU</t>
  </si>
  <si>
    <t>Ternium Brasil - BAU</t>
  </si>
  <si>
    <t>Votorantim - BAU</t>
  </si>
  <si>
    <t>Power Requirement Power Law [kW]</t>
  </si>
  <si>
    <t>AcelorMittal - PL</t>
  </si>
  <si>
    <t>CBA - PL</t>
  </si>
  <si>
    <t>Intercement - PL</t>
  </si>
  <si>
    <t>Suzano - PL</t>
  </si>
  <si>
    <t>Ternium Brasil - PL</t>
  </si>
  <si>
    <t>Votorantim - PL</t>
  </si>
  <si>
    <t>Capital Cost of Compression BAU [$]</t>
  </si>
  <si>
    <t>Capital Cost of Compression Power Law [$]</t>
  </si>
  <si>
    <t>Capital Cost of Compression BAU [$/KW]</t>
  </si>
  <si>
    <t>Capital Cost Of Compression Power Law [$/kW]</t>
  </si>
  <si>
    <t>Annual Compression Capital Cost BAU [$]</t>
  </si>
  <si>
    <t>Annual Compression O&amp;M Cost BAU [$]</t>
  </si>
  <si>
    <t>Annual Compression Energy Cost BAU [$]</t>
  </si>
  <si>
    <t>Annual Compression Capital Cost Power Law [$]</t>
  </si>
  <si>
    <t>Annual Compression O&amp;M Cost Power Law [$]</t>
  </si>
  <si>
    <t>Annual Compression Energy Cost Power Law [$]</t>
  </si>
  <si>
    <t>Capital Cost</t>
  </si>
  <si>
    <t>O&amp;M</t>
  </si>
  <si>
    <t>Energy</t>
  </si>
  <si>
    <t>Total Annual Compression Cost BAU [$]</t>
  </si>
  <si>
    <t>Total Annual Compression Cost Power Law [$]</t>
  </si>
  <si>
    <t>Estimation
class</t>
  </si>
  <si>
    <t>Maturity
level</t>
  </si>
  <si>
    <t>Purpose of the
estimative</t>
  </si>
  <si>
    <t>Accuracy range
[%]</t>
  </si>
  <si>
    <t>Class 5</t>
  </si>
  <si>
    <t>0-2%</t>
  </si>
  <si>
    <t>Analysis of suitability
of concept</t>
  </si>
  <si>
    <t>Min: ‐20 to ‐50
Max: +30 to +100</t>
  </si>
  <si>
    <t>Class 4</t>
  </si>
  <si>
    <t>1-15%</t>
  </si>
  <si>
    <t>Study of feasibility</t>
  </si>
  <si>
    <t>Min: ‐15 to ‐30
Max: +20 to +50</t>
  </si>
  <si>
    <t>Class 3</t>
  </si>
  <si>
    <t>10-40%</t>
  </si>
  <si>
    <t>Authorization or 
control of budget</t>
  </si>
  <si>
    <t>Min: ‐10 to ‐20
Max: +10 to +30</t>
  </si>
  <si>
    <t>Class 2</t>
  </si>
  <si>
    <t>30-75%</t>
  </si>
  <si>
    <t>Control or
bid/proposal</t>
  </si>
  <si>
    <t>Min: ‐5 to ‐15
Max: +5 to +20</t>
  </si>
  <si>
    <t>Class 1</t>
  </si>
  <si>
    <t>65-100%</t>
  </si>
  <si>
    <t>Verification of the
estimate or bid/proposal</t>
  </si>
  <si>
    <t>Min: ‐3 to ‐10
Max: +3 to +15</t>
  </si>
  <si>
    <t># ArcelorMittal: S-1</t>
  </si>
  <si>
    <t>Atividade principal</t>
  </si>
  <si>
    <t>Capacidade (mi ton por ano)</t>
  </si>
  <si>
    <t>Capacidade usada (mi ton/ano)</t>
  </si>
  <si>
    <t>Funcionários diretos (x 10^3)</t>
  </si>
  <si>
    <t>Upstream check</t>
  </si>
  <si>
    <t>Filtro de capacidade</t>
  </si>
  <si>
    <t>Capacidade total</t>
  </si>
  <si>
    <t>Peso</t>
  </si>
  <si>
    <t>ArcelorMittal Tubarão - Serra - ES</t>
  </si>
  <si>
    <t>Produção de aço em placas e bobinas a quente</t>
  </si>
  <si>
    <t>ArcelorMittal Monlevade - João Monlevade - MG</t>
  </si>
  <si>
    <t>Siderúrgica da Belgo-Mineira</t>
  </si>
  <si>
    <t>ArcelorMittal Juiz de Fora - Juiz de Fora - MG</t>
  </si>
  <si>
    <t>Produção de aço bruto (vergalhões, barras, fio‑máquina, arame recozido, treliças, pregos, etc.)</t>
  </si>
  <si>
    <t>ArcelorMittal Piracicaba - Piracicaba - SP</t>
  </si>
  <si>
    <t>Produção de vergalhões</t>
  </si>
  <si>
    <t>ArcelorMittal Vega - São Francisco do Sul - SC</t>
  </si>
  <si>
    <t>Transformação de aços planos — decapados, laminados a frio e revestidos</t>
  </si>
  <si>
    <t>ArcelorMittal Mineração (Andrade) - Bela Vista de Minas - MG</t>
  </si>
  <si>
    <t>Mineração de minério de ferro</t>
  </si>
  <si>
    <t>ArcelorMittal Mineração (Serra Azul) - Itatiaiuçu - MG</t>
  </si>
  <si>
    <t>Opera a Mina de Serra Azul</t>
  </si>
  <si>
    <t>ArcelorMittal Barra Mansa - Barra Mansa - RJ</t>
  </si>
  <si>
    <t>Aciaria</t>
  </si>
  <si>
    <t>0,25 - 0,7 (pós expansão)</t>
  </si>
  <si>
    <t>ArcelorMittal Resende - Resende - RJ</t>
  </si>
  <si>
    <t>Refência `complexo nuclear não relacionado à siderurgia</t>
  </si>
  <si>
    <t>ArcelorMittal BioFlorestas - Carbonita - MG</t>
  </si>
  <si>
    <t>Produção de carvão vegetal a partir de florestas renováveis de eucalipto (100 mil hectares plantados e 40 mil de preservação)</t>
  </si>
  <si>
    <t>ArcelorMittal Pecém - São Gonçalo do Amarante - CE</t>
  </si>
  <si>
    <t>Produção de placas de aço</t>
  </si>
  <si>
    <t># CBA: A-1</t>
  </si>
  <si>
    <t>Metalex - Araçariguama - SP</t>
  </si>
  <si>
    <t>Reciclagem e produção de tarugos de alumínio a partir de sucata</t>
  </si>
  <si>
    <t>Alux - Nova Odessa - SP</t>
  </si>
  <si>
    <t xml:space="preserve">Produção de lingotes e alumínio líquido a partir de sucata </t>
  </si>
  <si>
    <t>CBA Itapissuma - Itapissuma - PE</t>
  </si>
  <si>
    <t>Produção de folhas e chapas de alumínio, dentro do segmento downstream (produtos transformados)</t>
  </si>
  <si>
    <t>CBA Mineração Poços de Caldas - Poços de Caldas - MG</t>
  </si>
  <si>
    <t>Lavra de bauxita a céu aberto (mineração)</t>
  </si>
  <si>
    <t>CBA Mineração Miraí - Miraí - MG</t>
  </si>
  <si>
    <t>Lavra e beneficiamento de bauxita (mineração)</t>
  </si>
  <si>
    <t>1,3 - 2,5</t>
  </si>
  <si>
    <t>CBA Unidade Fábrica - Alumínio - SP</t>
  </si>
  <si>
    <t>Produçãointegrada de alumínio primário e transformação</t>
  </si>
  <si>
    <t>Refinaria de alumina: 0,8
Alumínio primário (lingotes, tarugos, placas): 0,43
Fundição: 0,44
Reciclagem 0,16</t>
  </si>
  <si>
    <t>CBA Mineração Itamarati de Minas - Itamarati de Minas - MG</t>
  </si>
  <si>
    <t>Lavra de bauxita a céu aberto</t>
  </si>
  <si>
    <t>UHE Alecrim - Juquiá - SP</t>
  </si>
  <si>
    <t>Usina hidroelétrica</t>
  </si>
  <si>
    <t>UHE França - Juquitiba - SP</t>
  </si>
  <si>
    <t>UHE Serraria - Juquiá - SP</t>
  </si>
  <si>
    <t>UHE Barra - Tapiraí - SP</t>
  </si>
  <si>
    <t>UHE Fumaça - Ibiúna - SP</t>
  </si>
  <si>
    <t>UHE Salto do Iporanga - Juquiá - SP</t>
  </si>
  <si>
    <t>UHE Porto Raso - Tapiraí - SP</t>
  </si>
  <si>
    <t>UHE Jurupará - Piedade - SP</t>
  </si>
  <si>
    <t>UHE Itupararanga - Votorantim - SP</t>
  </si>
  <si>
    <t>UHE Votorantim - Votorantim - SP</t>
  </si>
  <si>
    <t>UHE Santa Helena - Votorantim - SP</t>
  </si>
  <si>
    <t>UHE Piraju - Piraju - SP</t>
  </si>
  <si>
    <t>UHE Ourinhos - Ourinhos - SP</t>
  </si>
  <si>
    <t>UHE Sobragi - Belmiro Braga - MG</t>
  </si>
  <si>
    <t>UHE Rio Verdinho - Itarumã - GO</t>
  </si>
  <si>
    <t># Ternium: S-2</t>
  </si>
  <si>
    <t>Rio de Janeiro - RJ</t>
  </si>
  <si>
    <t>Produção integrada de placas de aço de alta qualidade (siderúrgica)</t>
  </si>
  <si>
    <t># Intercement: C-1</t>
  </si>
  <si>
    <t>Cajati - SP</t>
  </si>
  <si>
    <t>Fábrica de cimento (marca InterCement)</t>
  </si>
  <si>
    <t>Apiaí - SP</t>
  </si>
  <si>
    <t>moagem/fabricação de cimento</t>
  </si>
  <si>
    <t># Suzano: P-1</t>
  </si>
  <si>
    <t>Escritório Central - Salvador - BA</t>
  </si>
  <si>
    <t xml:space="preserve">Sede social e administrativa principal </t>
  </si>
  <si>
    <t>SPP KSR - ???</t>
  </si>
  <si>
    <t>FuturaGene - Itapetininga - SP</t>
  </si>
  <si>
    <t>dedicada à pesquisa e desenvolvimento (P&amp;D)</t>
  </si>
  <si>
    <t>Terminal Portuário Portocel - Aracruz - ES</t>
  </si>
  <si>
    <t>escoamento de produtos florestais, principalmente celulose</t>
  </si>
  <si>
    <t>Terminal Portuário de Santos - Santos - SP</t>
  </si>
  <si>
    <t>recebimento, armazenamento e embarque de celulose</t>
  </si>
  <si>
    <t>Terminal Portuário Itaqui (Itacel) - São Luís - SP</t>
  </si>
  <si>
    <t>Operação de terminal portuário para celulose</t>
  </si>
  <si>
    <t>Unidade Florestal da Bahia - Simões Filho - BA</t>
  </si>
  <si>
    <t>Unidade Florestal de SP - tapetininga, Itatinga, Jaú, São Miguel Arcanjo</t>
  </si>
  <si>
    <t>manejo, plantio e colheita de eucalipto para a produção industrial</t>
  </si>
  <si>
    <t>Unidade Florestal do Maranhão - Imperatriz - MA</t>
  </si>
  <si>
    <t>Unidade Industrial de Mucuri - Mucuri - BA</t>
  </si>
  <si>
    <t xml:space="preserve">Fábrica com produção integrada de celulose, papéis para impressão e escrita, e produtos tissue </t>
  </si>
  <si>
    <t>Celulose: 1,7
Papel (impressão e escrita): 0,25
Tissue: 0,06</t>
  </si>
  <si>
    <t>Unidade Industrial Imperatriz - Imperatriz - MA</t>
  </si>
  <si>
    <t>produção de celulose e papéis sanitários (tissue)</t>
  </si>
  <si>
    <t>Celulose: 1,5
Tissue: 0,06</t>
  </si>
  <si>
    <t>Unidade Industrial de Limeira - Limeira - SP</t>
  </si>
  <si>
    <t>Unidade Industrial de Rio Verde - Rio Verde - GO</t>
  </si>
  <si>
    <t>Unidade Industrial de Suzano - Suzano - SP</t>
  </si>
  <si>
    <t>Unidade Industrial FACEPA Belém - Belém - PA</t>
  </si>
  <si>
    <t>Unidade Industrial FACEPA Fortaleza - Fortaleza - CE</t>
  </si>
  <si>
    <t>Unidade Industrial de Aracruz e Florestal - Aracruz - ES</t>
  </si>
  <si>
    <t>Unidade Industrial de Jacareí - Jacareí - SP</t>
  </si>
  <si>
    <t>Unidade Industrial e Florestal de Três Lagoas - Três Lagoas - MS</t>
  </si>
  <si>
    <t>Unidade Industrial Cachoeiro de Itapemirim - Itapemirim - ES</t>
  </si>
  <si>
    <t>Unidade Industrial Mogi das Cruzes - Mogi das Cruzes - SP</t>
  </si>
  <si>
    <t>Unidade Industrial de Ribas do Rio Pardo - Ribas do Rio Pardo - MS</t>
  </si>
  <si>
    <t># Votorantim: C-2</t>
  </si>
  <si>
    <t>Unidade de Cantagalo - Cantagalo, RJ</t>
  </si>
  <si>
    <t>Unidade de Corumbá - Corumbá - MS</t>
  </si>
  <si>
    <t>Unidade de Cuiabá - Cuiabá - MT</t>
  </si>
  <si>
    <t>Unidade de Edealina - Edealina - GO</t>
  </si>
  <si>
    <t>Unidade de Itau de Minas - Itaú de Minas - MG</t>
  </si>
  <si>
    <t>Unidade de Laranjeiras - Laranjeiras - SE</t>
  </si>
  <si>
    <t>Unidade de Nobres - Nobres - MT</t>
  </si>
  <si>
    <t>Unidade de Rio Branco do Sul - Rio Branco do Sul - PR</t>
  </si>
  <si>
    <t>Unidade de Salto de Pirapora - Salto de Pirapora - SP</t>
  </si>
  <si>
    <t>Unidade de Santa Helena - Votorantim - SP</t>
  </si>
  <si>
    <t>Unidade de Sobradinho - Brasília - DF</t>
  </si>
  <si>
    <t>Unidade de Sobral - Sobral - CE</t>
  </si>
  <si>
    <t>Unidade de Vidal Ramos - Vidal Ramos - SC</t>
  </si>
  <si>
    <t>Unidade de Xambioá - Xambioá - TO</t>
  </si>
  <si>
    <t>Unidade de Primavera - Primavera - PA</t>
  </si>
  <si>
    <t>Unidade de Porto Velho - Porto Velho - RO</t>
  </si>
  <si>
    <t>Unidade Pecém - Caucaia - CE</t>
  </si>
  <si>
    <t>Unidade de Itapeva - Itapeva - SP</t>
  </si>
  <si>
    <t>Unidade de São Luis - São Luís - MA</t>
  </si>
  <si>
    <t>Engemix - Sorocaba - SP</t>
  </si>
  <si>
    <t>DBM [tCO2e]</t>
  </si>
  <si>
    <t>A-1 - DBM</t>
  </si>
  <si>
    <t>C-1 - DBM</t>
  </si>
  <si>
    <t>C-2 - DBM</t>
  </si>
  <si>
    <t>P-1 - DBM</t>
  </si>
  <si>
    <t>S-1 - DBM</t>
  </si>
  <si>
    <t>S-2 - DBM</t>
  </si>
  <si>
    <t>GBM [MtCO2e]</t>
  </si>
  <si>
    <t>A-1 - GBM</t>
  </si>
  <si>
    <t>C-1 - GBM</t>
  </si>
  <si>
    <t>C-2 - GBM</t>
  </si>
  <si>
    <t>P-1 - GBM</t>
  </si>
  <si>
    <t>S-1 - GBM</t>
  </si>
  <si>
    <t>S-2 - GBM</t>
  </si>
  <si>
    <t>GBM [tCO2e]</t>
  </si>
  <si>
    <t>DBM [tCO2 Capturado= 95%*80%tCO2e]</t>
  </si>
  <si>
    <t>GBM [tCO2 Capturado= 95%*80%tCO2e]</t>
  </si>
  <si>
    <t>Power Requirement DBM [kW]</t>
  </si>
  <si>
    <t>Power Requirement GBM [kW]</t>
  </si>
  <si>
    <t>Capital Cost of Compression DBM[$]</t>
  </si>
  <si>
    <t>Taxa CEPCI</t>
  </si>
  <si>
    <t>Capital Cost of Compression GBM [$]</t>
  </si>
  <si>
    <t>2025/2005</t>
  </si>
  <si>
    <t>Capital Cost of Compression DBM[$/kW]</t>
  </si>
  <si>
    <t>Capital Cost Of Compression GBM [$/kW]</t>
  </si>
  <si>
    <t>Annual Compression Capital Cost DBM[$]</t>
  </si>
  <si>
    <t>Annual Compression O&amp;M Cost DBM [$]</t>
  </si>
  <si>
    <t>Annual Compression Energy Cost DBM [$]</t>
  </si>
  <si>
    <t>Annual Compression Capital Cost GBM [$]</t>
  </si>
  <si>
    <t>Annual Compression O&amp;M Cost GBM [$]</t>
  </si>
  <si>
    <t>Annual Compression Energy Cost GBM [$]</t>
  </si>
  <si>
    <t>Total Annual Compression Cost DBM [$]</t>
  </si>
  <si>
    <t>Total Annual Compression Cost GBM [$]</t>
  </si>
  <si>
    <t>Company (ID)</t>
  </si>
  <si>
    <t>Plant - City</t>
  </si>
  <si>
    <t>State</t>
  </si>
  <si>
    <t>Core activities</t>
  </si>
  <si>
    <t>Emissions [Mtpa]</t>
  </si>
  <si>
    <t>Upstream?</t>
  </si>
  <si>
    <t>Company Total Emissions</t>
  </si>
  <si>
    <t>Emission Weight</t>
  </si>
  <si>
    <t>Comments</t>
  </si>
  <si>
    <t>ArcelorMittal (S-1)</t>
  </si>
  <si>
    <t>Tubarão - Serra</t>
  </si>
  <si>
    <t>Espírito Santo</t>
  </si>
  <si>
    <t>Monlevade - João Monlevade</t>
  </si>
  <si>
    <t>Minas Gerais</t>
  </si>
  <si>
    <t>Juiz de Fora - Juiz de Fora</t>
  </si>
  <si>
    <t>Piracicaba - Piracicaba</t>
  </si>
  <si>
    <t>São Paulo</t>
  </si>
  <si>
    <t>Vega - São Francisco do Sul</t>
  </si>
  <si>
    <t>Santa Catarina</t>
  </si>
  <si>
    <t>Barra Mansa - Barra Mansa</t>
  </si>
  <si>
    <t>Rio de Janeiro</t>
  </si>
  <si>
    <t>Pecém - São Gonçalo do Amarante</t>
  </si>
  <si>
    <t>Ceará</t>
  </si>
  <si>
    <t>CBA (A-1)</t>
  </si>
  <si>
    <t>Poços de Caldas - Poços de Caldas</t>
  </si>
  <si>
    <t>Miraí - Miraí</t>
  </si>
  <si>
    <t>Alumínio - Alumínio</t>
  </si>
  <si>
    <t>Disregards recycling activities</t>
  </si>
  <si>
    <t>Itamarati de Minas - Itamarati de Minas</t>
  </si>
  <si>
    <t>Ternium (S-2)</t>
  </si>
  <si>
    <t>Rio de Janeiro - Rio de Janeiro</t>
  </si>
  <si>
    <t>Intercement (C-1)</t>
  </si>
  <si>
    <t>Cajati - Cajati</t>
  </si>
  <si>
    <t>33 de capacidade mesmo?</t>
  </si>
  <si>
    <t>Apiaí - Apiaí</t>
  </si>
  <si>
    <t>Suzano (P-1)</t>
  </si>
  <si>
    <t>Mucuri - Mucuri</t>
  </si>
  <si>
    <t>Bahia</t>
  </si>
  <si>
    <t>Imperatriz - Imperatriz</t>
  </si>
  <si>
    <t>Maranhão</t>
  </si>
  <si>
    <t>Votorantim (C-2)</t>
  </si>
  <si>
    <t>Ano</t>
  </si>
  <si>
    <t>tCO2e</t>
  </si>
  <si>
    <t>Plant</t>
  </si>
  <si>
    <t>Cost</t>
  </si>
  <si>
    <t>Total Cost</t>
  </si>
  <si>
    <t>AM1</t>
  </si>
  <si>
    <t>AM2</t>
  </si>
  <si>
    <t>AM3</t>
  </si>
  <si>
    <t>M&amp;S</t>
  </si>
  <si>
    <t>CEPCI - Composite CE Index</t>
  </si>
  <si>
    <t>CEPCI - equip</t>
  </si>
  <si>
    <t>1582.3</t>
  </si>
  <si>
    <t>1545.9</t>
  </si>
  <si>
    <t>799.8</t>
  </si>
  <si>
    <t>797.9</t>
  </si>
  <si>
    <t>708.8</t>
  </si>
  <si>
    <t>596.2</t>
  </si>
  <si>
    <t>607.5</t>
  </si>
  <si>
    <t>603.1</t>
  </si>
  <si>
    <t>567.5</t>
  </si>
  <si>
    <t>541.7</t>
  </si>
  <si>
    <t>556.8</t>
  </si>
  <si>
    <t>576.1</t>
  </si>
  <si>
    <t>567.3</t>
  </si>
  <si>
    <t>584.6</t>
  </si>
  <si>
    <t>585.7</t>
  </si>
  <si>
    <t>550.8</t>
  </si>
  <si>
    <t>521.9</t>
  </si>
  <si>
    <t>575.4</t>
  </si>
  <si>
    <t>525.4</t>
  </si>
  <si>
    <t>499.6</t>
  </si>
  <si>
    <t>468.2</t>
  </si>
  <si>
    <t>444.2</t>
  </si>
  <si>
    <t>395.6</t>
  </si>
  <si>
    <t>394.3</t>
  </si>
  <si>
    <t>394.1</t>
  </si>
  <si>
    <t>390.6</t>
  </si>
  <si>
    <t>389.5</t>
  </si>
  <si>
    <t>386.5</t>
  </si>
  <si>
    <t>381.7</t>
  </si>
  <si>
    <t>381.1</t>
  </si>
  <si>
    <t>368.1</t>
  </si>
  <si>
    <t>359.2</t>
  </si>
  <si>
    <t>358.2</t>
  </si>
  <si>
    <t>361.3</t>
  </si>
  <si>
    <t>357.6</t>
  </si>
  <si>
    <t>355.4</t>
  </si>
  <si>
    <t>342.5</t>
  </si>
  <si>
    <t>323.8</t>
  </si>
  <si>
    <t>318.4</t>
  </si>
  <si>
    <t>325.3</t>
  </si>
  <si>
    <t>322.7</t>
  </si>
  <si>
    <t>261.2</t>
  </si>
  <si>
    <t>238.7</t>
  </si>
  <si>
    <t>218.8</t>
  </si>
  <si>
    <t>204.1</t>
  </si>
  <si>
    <t>192.1</t>
  </si>
  <si>
    <t>182.4</t>
  </si>
  <si>
    <t>165.4</t>
  </si>
  <si>
    <t>144.1</t>
  </si>
  <si>
    <t>137.2</t>
  </si>
  <si>
    <t>132.3</t>
  </si>
  <si>
    <t>125.7</t>
  </si>
  <si>
    <t>113.7</t>
  </si>
  <si>
    <t>109.7</t>
  </si>
  <si>
    <t>107.2</t>
  </si>
  <si>
    <t>104.2</t>
  </si>
  <si>
    <t>103.3</t>
  </si>
  <si>
    <t>102.4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</si>
</sst>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yyyy\.m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Times New Roman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 applyAlignment="1">
      <alignment horizontal="center"/>
    </xf>
    <xf numFmtId="0" fontId="1" fillId="0" borderId="0" xfId="0" quotePrefix="1" applyFo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164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5" xfId="0" applyFont="1" applyBorder="1"/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0" fontId="1" fillId="0" borderId="0" xfId="0" applyNumberFormat="1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" fontId="1" fillId="0" borderId="1" xfId="0" applyNumberFormat="1" applyFont="1" applyBorder="1"/>
    <xf numFmtId="0" fontId="1" fillId="0" borderId="0" xfId="0" applyFont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8" borderId="0" xfId="0" applyFont="1" applyFill="1"/>
    <xf numFmtId="167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0" xfId="0" applyFont="1" applyFill="1"/>
    <xf numFmtId="0" fontId="0" fillId="0" borderId="0" xfId="0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  <a:latin typeface="Arial"/>
              </a:defRPr>
            </a:pPr>
            <a:r>
              <a:rPr lang="en-US" sz="1200" b="1">
                <a:solidFill>
                  <a:srgbClr val="000000"/>
                </a:solidFill>
                <a:latin typeface="Arial"/>
              </a:rPr>
              <a:t>Power requirement of Compression and Pumping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'Custo energia compressão'!$I$13:$I$15</c:f>
              <c:strCache>
                <c:ptCount val="3"/>
                <c:pt idx="0">
                  <c:v>Power requirement of Compression and Pumping</c:v>
                </c:pt>
                <c:pt idx="1">
                  <c:v>Power [kW]</c:v>
                </c:pt>
                <c:pt idx="2">
                  <c:v>Compressor Power [kW]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'Custo energia compressão'!$H$16:$H$29</c:f>
              <c:numCache>
                <c:formatCode>General</c:formatCode>
                <c:ptCount val="14"/>
                <c:pt idx="0">
                  <c:v>300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cat>
          <c:val>
            <c:numRef>
              <c:f>'Custo energia compressão'!$I$16:$I$29</c:f>
              <c:numCache>
                <c:formatCode>General</c:formatCode>
                <c:ptCount val="14"/>
                <c:pt idx="0">
                  <c:v>1176</c:v>
                </c:pt>
                <c:pt idx="1">
                  <c:v>19605</c:v>
                </c:pt>
                <c:pt idx="2">
                  <c:v>39210</c:v>
                </c:pt>
                <c:pt idx="3">
                  <c:v>58816</c:v>
                </c:pt>
                <c:pt idx="4">
                  <c:v>78421</c:v>
                </c:pt>
                <c:pt idx="5">
                  <c:v>98026</c:v>
                </c:pt>
                <c:pt idx="6">
                  <c:v>117631</c:v>
                </c:pt>
                <c:pt idx="7">
                  <c:v>137236</c:v>
                </c:pt>
                <c:pt idx="8">
                  <c:v>156842</c:v>
                </c:pt>
                <c:pt idx="9">
                  <c:v>176447</c:v>
                </c:pt>
                <c:pt idx="10">
                  <c:v>196052</c:v>
                </c:pt>
                <c:pt idx="11">
                  <c:v>215657</c:v>
                </c:pt>
                <c:pt idx="12">
                  <c:v>235263</c:v>
                </c:pt>
                <c:pt idx="13">
                  <c:v>254868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B-491D-92C9-08E597351586}"/>
            </c:ext>
          </c:extLst>
        </c:ser>
        <c:ser>
          <c:idx val="1"/>
          <c:order val="1"/>
          <c:tx>
            <c:strRef>
              <c:f>'Custo energia compressão'!$J$13:$J$15</c:f>
              <c:strCache>
                <c:ptCount val="3"/>
                <c:pt idx="0">
                  <c:v>Power requirement of Compression and Pumping</c:v>
                </c:pt>
                <c:pt idx="1">
                  <c:v>Power [kW]</c:v>
                </c:pt>
                <c:pt idx="2">
                  <c:v>Pumping Power [kW]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'Custo energia compressão'!$H$16:$H$29</c:f>
              <c:numCache>
                <c:formatCode>General</c:formatCode>
                <c:ptCount val="14"/>
                <c:pt idx="0">
                  <c:v>300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cat>
          <c:val>
            <c:numRef>
              <c:f>'Custo energia compressão'!$J$16:$J$29</c:f>
              <c:numCache>
                <c:formatCode>General</c:formatCode>
                <c:ptCount val="14"/>
                <c:pt idx="0">
                  <c:v>56</c:v>
                </c:pt>
                <c:pt idx="1">
                  <c:v>933</c:v>
                </c:pt>
                <c:pt idx="2">
                  <c:v>1867</c:v>
                </c:pt>
                <c:pt idx="3">
                  <c:v>2800</c:v>
                </c:pt>
                <c:pt idx="4">
                  <c:v>3733</c:v>
                </c:pt>
                <c:pt idx="5">
                  <c:v>4666</c:v>
                </c:pt>
                <c:pt idx="6">
                  <c:v>5600</c:v>
                </c:pt>
                <c:pt idx="7">
                  <c:v>6533</c:v>
                </c:pt>
                <c:pt idx="8">
                  <c:v>7466</c:v>
                </c:pt>
                <c:pt idx="9">
                  <c:v>8399</c:v>
                </c:pt>
                <c:pt idx="10">
                  <c:v>9333</c:v>
                </c:pt>
                <c:pt idx="11">
                  <c:v>10266</c:v>
                </c:pt>
                <c:pt idx="12">
                  <c:v>11199</c:v>
                </c:pt>
                <c:pt idx="13">
                  <c:v>12133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B-491D-92C9-08E59735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50519"/>
        <c:axId val="800889538"/>
      </c:lineChart>
      <c:catAx>
        <c:axId val="126250519"/>
        <c:scaling>
          <c:orientation val="minMax"/>
          <c:max val="7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0889538"/>
        <c:crosses val="autoZero"/>
        <c:auto val="1"/>
        <c:lblAlgn val="ctr"/>
        <c:lblOffset val="100"/>
        <c:noMultiLvlLbl val="1"/>
      </c:catAx>
      <c:valAx>
        <c:axId val="80088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2505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sz="1400" b="1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Avaliação!$G$190</c:f>
              <c:strCache>
                <c:ptCount val="1"/>
                <c:pt idx="0">
                  <c:v>AcelorMittal - BAU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Avaliação!$H$190:$N$190</c:f>
              <c:numCache>
                <c:formatCode>0</c:formatCode>
                <c:ptCount val="7"/>
                <c:pt idx="0">
                  <c:v>195830625.06330919</c:v>
                </c:pt>
                <c:pt idx="1">
                  <c:v>195830625.06330919</c:v>
                </c:pt>
                <c:pt idx="2">
                  <c:v>195830625.06330919</c:v>
                </c:pt>
                <c:pt idx="3">
                  <c:v>195830625.06330919</c:v>
                </c:pt>
                <c:pt idx="4">
                  <c:v>195830625.06330919</c:v>
                </c:pt>
                <c:pt idx="5">
                  <c:v>195830625.06330919</c:v>
                </c:pt>
                <c:pt idx="6">
                  <c:v>195830625.06330919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D-4647-BD4B-5BA4978EDE15}"/>
            </c:ext>
          </c:extLst>
        </c:ser>
        <c:ser>
          <c:idx val="1"/>
          <c:order val="1"/>
          <c:tx>
            <c:strRef>
              <c:f>Avaliação!$G$191</c:f>
              <c:strCache>
                <c:ptCount val="1"/>
                <c:pt idx="0">
                  <c:v>CBA - BAU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Avaliação!$H$191:$N$191</c:f>
              <c:numCache>
                <c:formatCode>0</c:formatCode>
                <c:ptCount val="7"/>
                <c:pt idx="0">
                  <c:v>22035512.262921393</c:v>
                </c:pt>
                <c:pt idx="1">
                  <c:v>22035512.262921393</c:v>
                </c:pt>
                <c:pt idx="2">
                  <c:v>22035512.262921393</c:v>
                </c:pt>
                <c:pt idx="3">
                  <c:v>22035512.262921393</c:v>
                </c:pt>
                <c:pt idx="4">
                  <c:v>22035512.262921393</c:v>
                </c:pt>
                <c:pt idx="5">
                  <c:v>22035512.262921393</c:v>
                </c:pt>
                <c:pt idx="6">
                  <c:v>22035512.262921393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D-4647-BD4B-5BA4978EDE15}"/>
            </c:ext>
          </c:extLst>
        </c:ser>
        <c:ser>
          <c:idx val="2"/>
          <c:order val="2"/>
          <c:tx>
            <c:strRef>
              <c:f>Avaliação!$G$192</c:f>
              <c:strCache>
                <c:ptCount val="1"/>
                <c:pt idx="0">
                  <c:v>Intercement - BAU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Avaliação!$H$192:$N$192</c:f>
              <c:numCache>
                <c:formatCode>0</c:formatCode>
                <c:ptCount val="7"/>
                <c:pt idx="0">
                  <c:v>13820478.049938101</c:v>
                </c:pt>
                <c:pt idx="1">
                  <c:v>13820478.049938101</c:v>
                </c:pt>
                <c:pt idx="2">
                  <c:v>13820478.049938101</c:v>
                </c:pt>
                <c:pt idx="3">
                  <c:v>13820478.049938101</c:v>
                </c:pt>
                <c:pt idx="4">
                  <c:v>13820478.049938101</c:v>
                </c:pt>
                <c:pt idx="5">
                  <c:v>13820478.049938101</c:v>
                </c:pt>
                <c:pt idx="6">
                  <c:v>13820478.049938101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D-4647-BD4B-5BA4978EDE15}"/>
            </c:ext>
          </c:extLst>
        </c:ser>
        <c:ser>
          <c:idx val="3"/>
          <c:order val="3"/>
          <c:tx>
            <c:strRef>
              <c:f>Avaliação!$G$193</c:f>
              <c:strCache>
                <c:ptCount val="1"/>
                <c:pt idx="0">
                  <c:v>Suzano - BAU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Avaliação!$H$193:$N$193</c:f>
              <c:numCache>
                <c:formatCode>0</c:formatCode>
                <c:ptCount val="7"/>
                <c:pt idx="0">
                  <c:v>28504736.72840872</c:v>
                </c:pt>
                <c:pt idx="1">
                  <c:v>28504736.72840872</c:v>
                </c:pt>
                <c:pt idx="2">
                  <c:v>28504736.72840872</c:v>
                </c:pt>
                <c:pt idx="3">
                  <c:v>28504736.72840872</c:v>
                </c:pt>
                <c:pt idx="4">
                  <c:v>28504736.72840872</c:v>
                </c:pt>
                <c:pt idx="5">
                  <c:v>28504736.72840872</c:v>
                </c:pt>
                <c:pt idx="6">
                  <c:v>28504736.72840872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D-4647-BD4B-5BA4978EDE15}"/>
            </c:ext>
          </c:extLst>
        </c:ser>
        <c:ser>
          <c:idx val="4"/>
          <c:order val="4"/>
          <c:tx>
            <c:strRef>
              <c:f>Avaliação!$G$194</c:f>
              <c:strCache>
                <c:ptCount val="1"/>
                <c:pt idx="0">
                  <c:v>Ternium Brasil - BAU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Avaliação!$H$194:$N$194</c:f>
              <c:numCache>
                <c:formatCode>0</c:formatCode>
                <c:ptCount val="7"/>
                <c:pt idx="0">
                  <c:v>82073601.20971103</c:v>
                </c:pt>
                <c:pt idx="1">
                  <c:v>82073601.20971103</c:v>
                </c:pt>
                <c:pt idx="2">
                  <c:v>82073601.20971103</c:v>
                </c:pt>
                <c:pt idx="3">
                  <c:v>82073601.20971103</c:v>
                </c:pt>
                <c:pt idx="4">
                  <c:v>82073601.20971103</c:v>
                </c:pt>
                <c:pt idx="5">
                  <c:v>82073601.20971103</c:v>
                </c:pt>
                <c:pt idx="6">
                  <c:v>82073601.20971103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D-4647-BD4B-5BA4978EDE15}"/>
            </c:ext>
          </c:extLst>
        </c:ser>
        <c:ser>
          <c:idx val="5"/>
          <c:order val="5"/>
          <c:tx>
            <c:strRef>
              <c:f>Avaliação!$G$195</c:f>
              <c:strCache>
                <c:ptCount val="1"/>
                <c:pt idx="0">
                  <c:v>Votorantim - BAU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Avaliação!$H$195:$N$195</c:f>
              <c:numCache>
                <c:formatCode>0</c:formatCode>
                <c:ptCount val="7"/>
                <c:pt idx="0">
                  <c:v>100398564.3196044</c:v>
                </c:pt>
                <c:pt idx="1">
                  <c:v>100398564.3196044</c:v>
                </c:pt>
                <c:pt idx="2">
                  <c:v>100398564.3196044</c:v>
                </c:pt>
                <c:pt idx="3">
                  <c:v>100398564.3196044</c:v>
                </c:pt>
                <c:pt idx="4">
                  <c:v>100398564.3196044</c:v>
                </c:pt>
                <c:pt idx="5">
                  <c:v>100398564.3196044</c:v>
                </c:pt>
                <c:pt idx="6">
                  <c:v>100398564.3196044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D-4647-BD4B-5BA4978EDE15}"/>
            </c:ext>
          </c:extLst>
        </c:ser>
        <c:ser>
          <c:idx val="6"/>
          <c:order val="6"/>
          <c:tx>
            <c:strRef>
              <c:f>Avaliação!$G$199</c:f>
              <c:strCache>
                <c:ptCount val="1"/>
                <c:pt idx="0">
                  <c:v>AcelorMittal - PL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Avaliação!$H$199:$N$199</c:f>
              <c:numCache>
                <c:formatCode>0</c:formatCode>
                <c:ptCount val="7"/>
                <c:pt idx="0">
                  <c:v>193653120.03560087</c:v>
                </c:pt>
                <c:pt idx="1">
                  <c:v>184642312.97579879</c:v>
                </c:pt>
                <c:pt idx="2">
                  <c:v>182554694.75965387</c:v>
                </c:pt>
                <c:pt idx="3">
                  <c:v>180492963.65020972</c:v>
                </c:pt>
                <c:pt idx="4">
                  <c:v>178456784.19378614</c:v>
                </c:pt>
                <c:pt idx="5">
                  <c:v>176445825.3670646</c:v>
                </c:pt>
                <c:pt idx="6">
                  <c:v>174459760.51811439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2D-4647-BD4B-5BA4978EDE15}"/>
            </c:ext>
          </c:extLst>
        </c:ser>
        <c:ser>
          <c:idx val="7"/>
          <c:order val="7"/>
          <c:tx>
            <c:strRef>
              <c:f>Avaliação!$G$200</c:f>
              <c:strCache>
                <c:ptCount val="1"/>
                <c:pt idx="0">
                  <c:v>CBA - PL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Avaliação!$H$200:$N$200</c:f>
              <c:numCache>
                <c:formatCode>0</c:formatCode>
                <c:ptCount val="7"/>
                <c:pt idx="0">
                  <c:v>21807268.91417804</c:v>
                </c:pt>
                <c:pt idx="1">
                  <c:v>21581723.731040023</c:v>
                </c:pt>
                <c:pt idx="2">
                  <c:v>21358842.512778595</c:v>
                </c:pt>
                <c:pt idx="3">
                  <c:v>21138591.50613492</c:v>
                </c:pt>
                <c:pt idx="4">
                  <c:v>20920937.399386726</c:v>
                </c:pt>
                <c:pt idx="5">
                  <c:v>20705847.316493835</c:v>
                </c:pt>
                <c:pt idx="6">
                  <c:v>20493288.811321903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2D-4647-BD4B-5BA4978EDE15}"/>
            </c:ext>
          </c:extLst>
        </c:ser>
        <c:ser>
          <c:idx val="8"/>
          <c:order val="8"/>
          <c:tx>
            <c:strRef>
              <c:f>Avaliação!$G$201</c:f>
              <c:strCache>
                <c:ptCount val="1"/>
                <c:pt idx="0">
                  <c:v>Intercement - PL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Avaliação!$H$201:$N$201</c:f>
              <c:numCache>
                <c:formatCode>0</c:formatCode>
                <c:ptCount val="7"/>
                <c:pt idx="0">
                  <c:v>13687496.354702063</c:v>
                </c:pt>
                <c:pt idx="1">
                  <c:v>13556016.298711779</c:v>
                </c:pt>
                <c:pt idx="2">
                  <c:v>13426019.521300403</c:v>
                </c:pt>
                <c:pt idx="3">
                  <c:v>13297487.651051899</c:v>
                </c:pt>
                <c:pt idx="4">
                  <c:v>13170402.554483881</c:v>
                </c:pt>
                <c:pt idx="5">
                  <c:v>13044746.332905928</c:v>
                </c:pt>
                <c:pt idx="6">
                  <c:v>12920501.31931976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2D-4647-BD4B-5BA4978EDE15}"/>
            </c:ext>
          </c:extLst>
        </c:ser>
        <c:ser>
          <c:idx val="9"/>
          <c:order val="9"/>
          <c:tx>
            <c:strRef>
              <c:f>Avaliação!$G$202</c:f>
              <c:strCache>
                <c:ptCount val="1"/>
                <c:pt idx="0">
                  <c:v>Suzano - PL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Avaliação!$H$202:$N$202</c:f>
              <c:numCache>
                <c:formatCode>0</c:formatCode>
                <c:ptCount val="7"/>
                <c:pt idx="0">
                  <c:v>28199179.335114218</c:v>
                </c:pt>
                <c:pt idx="1">
                  <c:v>27897307.869111925</c:v>
                </c:pt>
                <c:pt idx="2">
                  <c:v>27599072.476940259</c:v>
                </c:pt>
                <c:pt idx="3">
                  <c:v>27304426.660424016</c:v>
                </c:pt>
                <c:pt idx="4">
                  <c:v>27013324.532066237</c:v>
                </c:pt>
                <c:pt idx="5">
                  <c:v>26725720.806937903</c:v>
                </c:pt>
                <c:pt idx="6">
                  <c:v>26441570.794675849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2D-4647-BD4B-5BA4978EDE15}"/>
            </c:ext>
          </c:extLst>
        </c:ser>
        <c:ser>
          <c:idx val="10"/>
          <c:order val="10"/>
          <c:tx>
            <c:strRef>
              <c:f>Avaliação!$G$203</c:f>
              <c:strCache>
                <c:ptCount val="1"/>
                <c:pt idx="0">
                  <c:v>Ternium Brasil - PL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Avaliação!$H$203:$N$203</c:f>
              <c:numCache>
                <c:formatCode>0</c:formatCode>
                <c:ptCount val="7"/>
                <c:pt idx="0">
                  <c:v>81156529.741931438</c:v>
                </c:pt>
                <c:pt idx="1">
                  <c:v>80250761.455420151</c:v>
                </c:pt>
                <c:pt idx="2">
                  <c:v>79356150.277139261</c:v>
                </c:pt>
                <c:pt idx="3">
                  <c:v>78472552.061049893</c:v>
                </c:pt>
                <c:pt idx="4">
                  <c:v>77599824.56247291</c:v>
                </c:pt>
                <c:pt idx="5">
                  <c:v>76737827.412792504</c:v>
                </c:pt>
                <c:pt idx="6">
                  <c:v>75886422.094497442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2D-4647-BD4B-5BA4978EDE15}"/>
            </c:ext>
          </c:extLst>
        </c:ser>
        <c:ser>
          <c:idx val="11"/>
          <c:order val="11"/>
          <c:tx>
            <c:strRef>
              <c:f>Avaliação!$G$204</c:f>
              <c:strCache>
                <c:ptCount val="1"/>
                <c:pt idx="0">
                  <c:v>Votorantim - PL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Avaliação!$H$189:$N$189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Avaliação!$H$204:$N$204</c:f>
              <c:numCache>
                <c:formatCode>0</c:formatCode>
                <c:ptCount val="7"/>
                <c:pt idx="0">
                  <c:v>99301431.112157464</c:v>
                </c:pt>
                <c:pt idx="1">
                  <c:v>91644937.298126981</c:v>
                </c:pt>
                <c:pt idx="2">
                  <c:v>90609514.348055288</c:v>
                </c:pt>
                <c:pt idx="3">
                  <c:v>89586926.275919646</c:v>
                </c:pt>
                <c:pt idx="4">
                  <c:v>88577006.790190831</c:v>
                </c:pt>
                <c:pt idx="5">
                  <c:v>87579591.795414567</c:v>
                </c:pt>
                <c:pt idx="6">
                  <c:v>86594519.362979531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2D-4647-BD4B-5BA4978E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48365"/>
        <c:axId val="216145589"/>
      </c:lineChart>
      <c:catAx>
        <c:axId val="187948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145589"/>
        <c:crosses val="autoZero"/>
        <c:auto val="1"/>
        <c:lblAlgn val="ctr"/>
        <c:lblOffset val="100"/>
        <c:noMultiLvlLbl val="1"/>
      </c:catAx>
      <c:valAx>
        <c:axId val="216145589"/>
        <c:scaling>
          <c:orientation val="minMax"/>
          <c:max val="25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>
                    <a:solidFill>
                      <a:srgbClr val="000000"/>
                    </a:solidFill>
                    <a:latin typeface="+mn-lt"/>
                  </a:rPr>
                  <a:t>$ (x10^6)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948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Avaliação!$R$187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Avaliação!$Q$188:$Q$199</c:f>
              <c:numCache>
                <c:formatCode>General</c:formatCode>
                <c:ptCount val="12"/>
                <c:pt idx="0">
                  <c:v>2024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2024</c:v>
                </c:pt>
                <c:pt idx="5">
                  <c:v>2024</c:v>
                </c:pt>
                <c:pt idx="6">
                  <c:v>2024</c:v>
                </c:pt>
                <c:pt idx="7">
                  <c:v>2024</c:v>
                </c:pt>
                <c:pt idx="8">
                  <c:v>2024</c:v>
                </c:pt>
                <c:pt idx="9">
                  <c:v>2024</c:v>
                </c:pt>
                <c:pt idx="10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Avaliação!$R$188:$R$199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32-445A-9681-BFBC30E99733}"/>
            </c:ext>
          </c:extLst>
        </c:ser>
        <c:ser>
          <c:idx val="1"/>
          <c:order val="1"/>
          <c:tx>
            <c:strRef>
              <c:f>Avaliação!$S$187</c:f>
              <c:strCache>
                <c:ptCount val="1"/>
                <c:pt idx="0">
                  <c:v>Capital Cost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Avaliação!$Q$188:$Q$199</c:f>
              <c:numCache>
                <c:formatCode>General</c:formatCode>
                <c:ptCount val="12"/>
                <c:pt idx="0">
                  <c:v>2024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2024</c:v>
                </c:pt>
                <c:pt idx="5">
                  <c:v>2024</c:v>
                </c:pt>
                <c:pt idx="6">
                  <c:v>2024</c:v>
                </c:pt>
                <c:pt idx="7">
                  <c:v>2024</c:v>
                </c:pt>
                <c:pt idx="8">
                  <c:v>2024</c:v>
                </c:pt>
                <c:pt idx="9">
                  <c:v>2024</c:v>
                </c:pt>
                <c:pt idx="10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Avaliação!$S$188:$S$199</c:f>
              <c:numCache>
                <c:formatCode>0</c:formatCode>
                <c:ptCount val="12"/>
                <c:pt idx="0">
                  <c:v>35976013.205613427</c:v>
                </c:pt>
                <c:pt idx="1">
                  <c:v>35783454.744856253</c:v>
                </c:pt>
                <c:pt idx="2">
                  <c:v>5408699.2736700801</c:v>
                </c:pt>
                <c:pt idx="3">
                  <c:v>5379759.403864665</c:v>
                </c:pt>
                <c:pt idx="4">
                  <c:v>4216739.9826617083</c:v>
                </c:pt>
                <c:pt idx="5">
                  <c:v>4194184.9716096246</c:v>
                </c:pt>
                <c:pt idx="6">
                  <c:v>6161108.3229049342</c:v>
                </c:pt>
                <c:pt idx="7">
                  <c:v>6128137.1508704331</c:v>
                </c:pt>
                <c:pt idx="8">
                  <c:v>14715296.009163985</c:v>
                </c:pt>
                <c:pt idx="9">
                  <c:v>14636531.691439951</c:v>
                </c:pt>
                <c:pt idx="10">
                  <c:v>20004057.477278251</c:v>
                </c:pt>
                <c:pt idx="11">
                  <c:v>19896996.827112108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132-445A-9681-BFBC30E99733}"/>
            </c:ext>
          </c:extLst>
        </c:ser>
        <c:ser>
          <c:idx val="2"/>
          <c:order val="2"/>
          <c:tx>
            <c:strRef>
              <c:f>Avaliação!$T$187</c:f>
              <c:strCache>
                <c:ptCount val="1"/>
                <c:pt idx="0">
                  <c:v>O&amp;M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Avaliação!$Q$188:$Q$199</c:f>
              <c:numCache>
                <c:formatCode>General</c:formatCode>
                <c:ptCount val="12"/>
                <c:pt idx="0">
                  <c:v>2024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2024</c:v>
                </c:pt>
                <c:pt idx="5">
                  <c:v>2024</c:v>
                </c:pt>
                <c:pt idx="6">
                  <c:v>2024</c:v>
                </c:pt>
                <c:pt idx="7">
                  <c:v>2024</c:v>
                </c:pt>
                <c:pt idx="8">
                  <c:v>2024</c:v>
                </c:pt>
                <c:pt idx="9">
                  <c:v>2024</c:v>
                </c:pt>
                <c:pt idx="10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Avaliação!$T$188:$T$199</c:f>
              <c:numCache>
                <c:formatCode>0</c:formatCode>
                <c:ptCount val="12"/>
                <c:pt idx="0">
                  <c:v>19217955.772229396</c:v>
                </c:pt>
                <c:pt idx="1">
                  <c:v>19115093.346611246</c:v>
                </c:pt>
                <c:pt idx="2">
                  <c:v>2889262.4325160687</c:v>
                </c:pt>
                <c:pt idx="3">
                  <c:v>2873803.1003550561</c:v>
                </c:pt>
                <c:pt idx="4">
                  <c:v>2252532.0420201435</c:v>
                </c:pt>
                <c:pt idx="5">
                  <c:v>2240483.4250051412</c:v>
                </c:pt>
                <c:pt idx="6">
                  <c:v>3291190.3434321228</c:v>
                </c:pt>
                <c:pt idx="7">
                  <c:v>3273577.5378581374</c:v>
                </c:pt>
                <c:pt idx="8">
                  <c:v>7860735.0476303343</c:v>
                </c:pt>
                <c:pt idx="9">
                  <c:v>7818660.0915811704</c:v>
                </c:pt>
                <c:pt idx="10">
                  <c:v>10685928.139571715</c:v>
                </c:pt>
                <c:pt idx="11">
                  <c:v>10628737.62132057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132-445A-9681-BFBC30E99733}"/>
            </c:ext>
          </c:extLst>
        </c:ser>
        <c:ser>
          <c:idx val="3"/>
          <c:order val="3"/>
          <c:tx>
            <c:strRef>
              <c:f>Avaliação!$U$187</c:f>
              <c:strCache>
                <c:ptCount val="1"/>
                <c:pt idx="0">
                  <c:v>Energy</c:v>
                </c:pt>
              </c:strCache>
            </c:strRef>
          </c:tx>
          <c:invertIfNegative val="1"/>
          <c:cat>
            <c:numRef>
              <c:f>Avaliação!$Q$188:$Q$199</c:f>
              <c:numCache>
                <c:formatCode>General</c:formatCode>
                <c:ptCount val="12"/>
                <c:pt idx="0">
                  <c:v>2024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2024</c:v>
                </c:pt>
                <c:pt idx="5">
                  <c:v>2024</c:v>
                </c:pt>
                <c:pt idx="6">
                  <c:v>2024</c:v>
                </c:pt>
                <c:pt idx="7">
                  <c:v>2024</c:v>
                </c:pt>
                <c:pt idx="8">
                  <c:v>2024</c:v>
                </c:pt>
                <c:pt idx="9">
                  <c:v>2024</c:v>
                </c:pt>
                <c:pt idx="10">
                  <c:v>2024</c:v>
                </c:pt>
                <c:pt idx="11">
                  <c:v>2024</c:v>
                </c:pt>
              </c:numCache>
            </c:numRef>
          </c:cat>
          <c:val>
            <c:numRef>
              <c:f>Avaliação!$U$188:$U$199</c:f>
              <c:numCache>
                <c:formatCode>0</c:formatCode>
                <c:ptCount val="12"/>
                <c:pt idx="0">
                  <c:v>140636656.08546638</c:v>
                </c:pt>
                <c:pt idx="1">
                  <c:v>138754571.94413337</c:v>
                </c:pt>
                <c:pt idx="2">
                  <c:v>13737550.556735242</c:v>
                </c:pt>
                <c:pt idx="3">
                  <c:v>13553706.409958318</c:v>
                </c:pt>
                <c:pt idx="4">
                  <c:v>7351206.0252562491</c:v>
                </c:pt>
                <c:pt idx="5">
                  <c:v>7252827.9580872981</c:v>
                </c:pt>
                <c:pt idx="6">
                  <c:v>19052438.062071662</c:v>
                </c:pt>
                <c:pt idx="7">
                  <c:v>18797464.646385647</c:v>
                </c:pt>
                <c:pt idx="8">
                  <c:v>59497570.152916707</c:v>
                </c:pt>
                <c:pt idx="9">
                  <c:v>58701337.958910316</c:v>
                </c:pt>
                <c:pt idx="10">
                  <c:v>69708578.702754423</c:v>
                </c:pt>
                <c:pt idx="11">
                  <c:v>68775696.663724795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32-445A-9681-BFBC30E9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442933"/>
        <c:axId val="1141606431"/>
      </c:barChart>
      <c:catAx>
        <c:axId val="967442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1606431"/>
        <c:crosses val="autoZero"/>
        <c:auto val="1"/>
        <c:lblAlgn val="ctr"/>
        <c:lblOffset val="100"/>
        <c:noMultiLvlLbl val="1"/>
      </c:catAx>
      <c:valAx>
        <c:axId val="1141606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74429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  <a:latin typeface="Arial"/>
              </a:defRPr>
            </a:pPr>
            <a:r>
              <a:rPr lang="en-US" sz="1200" b="1">
                <a:solidFill>
                  <a:srgbClr val="000000"/>
                </a:solidFill>
                <a:latin typeface="Arial"/>
              </a:rPr>
              <a:t>Power requirement of Compression and Pumping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'Cópia de Custo energia compress'!$I$13:$I$15</c:f>
              <c:strCache>
                <c:ptCount val="3"/>
                <c:pt idx="0">
                  <c:v>Power requirement of Compression and Pumping</c:v>
                </c:pt>
                <c:pt idx="1">
                  <c:v>Power [kW]</c:v>
                </c:pt>
                <c:pt idx="2">
                  <c:v>Compressor Power [kW]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'Cópia de Custo energia compress'!$H$16:$H$29</c:f>
              <c:numCache>
                <c:formatCode>General</c:formatCode>
                <c:ptCount val="14"/>
                <c:pt idx="0">
                  <c:v>300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cat>
          <c:val>
            <c:numRef>
              <c:f>'Cópia de Custo energia compress'!$I$16:$I$29</c:f>
              <c:numCache>
                <c:formatCode>General</c:formatCode>
                <c:ptCount val="14"/>
                <c:pt idx="0">
                  <c:v>1176</c:v>
                </c:pt>
                <c:pt idx="1">
                  <c:v>19605</c:v>
                </c:pt>
                <c:pt idx="2">
                  <c:v>39210</c:v>
                </c:pt>
                <c:pt idx="3">
                  <c:v>58816</c:v>
                </c:pt>
                <c:pt idx="4">
                  <c:v>78421</c:v>
                </c:pt>
                <c:pt idx="5">
                  <c:v>98026</c:v>
                </c:pt>
                <c:pt idx="6">
                  <c:v>117631</c:v>
                </c:pt>
                <c:pt idx="7">
                  <c:v>137236</c:v>
                </c:pt>
                <c:pt idx="8">
                  <c:v>156842</c:v>
                </c:pt>
                <c:pt idx="9">
                  <c:v>176447</c:v>
                </c:pt>
                <c:pt idx="10">
                  <c:v>196052</c:v>
                </c:pt>
                <c:pt idx="11">
                  <c:v>215657</c:v>
                </c:pt>
                <c:pt idx="12">
                  <c:v>235263</c:v>
                </c:pt>
                <c:pt idx="13">
                  <c:v>254868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5-431E-9EA2-87D6F23ACFDC}"/>
            </c:ext>
          </c:extLst>
        </c:ser>
        <c:ser>
          <c:idx val="1"/>
          <c:order val="1"/>
          <c:tx>
            <c:strRef>
              <c:f>'Cópia de Custo energia compress'!$J$13:$J$15</c:f>
              <c:strCache>
                <c:ptCount val="3"/>
                <c:pt idx="0">
                  <c:v>Power requirement of Compression and Pumping</c:v>
                </c:pt>
                <c:pt idx="1">
                  <c:v>Power [kW]</c:v>
                </c:pt>
                <c:pt idx="2">
                  <c:v>Pumping Power [kW]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'Cópia de Custo energia compress'!$H$16:$H$29</c:f>
              <c:numCache>
                <c:formatCode>General</c:formatCode>
                <c:ptCount val="14"/>
                <c:pt idx="0">
                  <c:v>300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cat>
          <c:val>
            <c:numRef>
              <c:f>'Cópia de Custo energia compress'!$J$16:$J$29</c:f>
              <c:numCache>
                <c:formatCode>General</c:formatCode>
                <c:ptCount val="14"/>
                <c:pt idx="0">
                  <c:v>56</c:v>
                </c:pt>
                <c:pt idx="1">
                  <c:v>933</c:v>
                </c:pt>
                <c:pt idx="2">
                  <c:v>1867</c:v>
                </c:pt>
                <c:pt idx="3">
                  <c:v>2800</c:v>
                </c:pt>
                <c:pt idx="4">
                  <c:v>3733</c:v>
                </c:pt>
                <c:pt idx="5">
                  <c:v>4666</c:v>
                </c:pt>
                <c:pt idx="6">
                  <c:v>5600</c:v>
                </c:pt>
                <c:pt idx="7">
                  <c:v>6533</c:v>
                </c:pt>
                <c:pt idx="8">
                  <c:v>7466</c:v>
                </c:pt>
                <c:pt idx="9">
                  <c:v>8399</c:v>
                </c:pt>
                <c:pt idx="10">
                  <c:v>9333</c:v>
                </c:pt>
                <c:pt idx="11">
                  <c:v>10266</c:v>
                </c:pt>
                <c:pt idx="12">
                  <c:v>11199</c:v>
                </c:pt>
                <c:pt idx="13">
                  <c:v>12133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5-431E-9EA2-87D6F23A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643620"/>
        <c:axId val="985678246"/>
      </c:lineChart>
      <c:catAx>
        <c:axId val="1484643620"/>
        <c:scaling>
          <c:orientation val="minMax"/>
          <c:max val="7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5678246"/>
        <c:crosses val="autoZero"/>
        <c:auto val="1"/>
        <c:lblAlgn val="ctr"/>
        <c:lblOffset val="100"/>
        <c:noMultiLvlLbl val="1"/>
      </c:catAx>
      <c:valAx>
        <c:axId val="985678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46436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r>
              <a:rPr lang="en-US" sz="1200" b="1">
                <a:solidFill>
                  <a:srgbClr val="000000"/>
                </a:solidFill>
                <a:latin typeface="+mn-lt"/>
              </a:rPr>
              <a:t>Power requeriment of Compression and Pumping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Compressor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843-4E06-B1E7-38AA89584D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energia compress'!$H$35:$H$42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energia compress'!$I$35:$I$42</c:f>
              <c:numCache>
                <c:formatCode>General</c:formatCode>
                <c:ptCount val="8"/>
                <c:pt idx="0">
                  <c:v>3921</c:v>
                </c:pt>
                <c:pt idx="1">
                  <c:v>19605</c:v>
                </c:pt>
                <c:pt idx="2">
                  <c:v>58816</c:v>
                </c:pt>
                <c:pt idx="3">
                  <c:v>98026</c:v>
                </c:pt>
                <c:pt idx="4">
                  <c:v>137236</c:v>
                </c:pt>
                <c:pt idx="5">
                  <c:v>176447</c:v>
                </c:pt>
                <c:pt idx="6">
                  <c:v>215657</c:v>
                </c:pt>
                <c:pt idx="7">
                  <c:v>254868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843-4E06-B1E7-38AA89584D8E}"/>
            </c:ext>
          </c:extLst>
        </c:ser>
        <c:ser>
          <c:idx val="1"/>
          <c:order val="1"/>
          <c:tx>
            <c:v>Pump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energia compress'!$H$35:$H$42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energia compress'!$J$35:$J$42</c:f>
              <c:numCache>
                <c:formatCode>General</c:formatCode>
                <c:ptCount val="8"/>
                <c:pt idx="0">
                  <c:v>187</c:v>
                </c:pt>
                <c:pt idx="1">
                  <c:v>933</c:v>
                </c:pt>
                <c:pt idx="2">
                  <c:v>2800</c:v>
                </c:pt>
                <c:pt idx="3">
                  <c:v>4666</c:v>
                </c:pt>
                <c:pt idx="4">
                  <c:v>6533</c:v>
                </c:pt>
                <c:pt idx="5">
                  <c:v>8399</c:v>
                </c:pt>
                <c:pt idx="6">
                  <c:v>10266</c:v>
                </c:pt>
                <c:pt idx="7">
                  <c:v>12133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843-4E06-B1E7-38AA8958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6001021"/>
        <c:axId val="1912778687"/>
      </c:barChart>
      <c:catAx>
        <c:axId val="976001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2778687"/>
        <c:crosses val="autoZero"/>
        <c:auto val="1"/>
        <c:lblAlgn val="ctr"/>
        <c:lblOffset val="100"/>
        <c:noMultiLvlLbl val="1"/>
      </c:catAx>
      <c:valAx>
        <c:axId val="1912778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60010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Capital Cost of Compressors e Pumps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'Cópia de Custo O&amp;M compressão'!$G$3:$G$5</c:f>
              <c:strCache>
                <c:ptCount val="3"/>
                <c:pt idx="0">
                  <c:v>Capital Cost of Compression and Pumping</c:v>
                </c:pt>
                <c:pt idx="1">
                  <c:v>Power [kW]</c:v>
                </c:pt>
                <c:pt idx="2">
                  <c:v>Compressor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'Cópia de Custo O&amp;M compressão'!$F$6:$F$13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compressão'!$G$6:$G$13</c:f>
              <c:numCache>
                <c:formatCode>General</c:formatCode>
                <c:ptCount val="8"/>
                <c:pt idx="0">
                  <c:v>7159</c:v>
                </c:pt>
                <c:pt idx="1">
                  <c:v>2717</c:v>
                </c:pt>
                <c:pt idx="2">
                  <c:v>1403</c:v>
                </c:pt>
                <c:pt idx="3">
                  <c:v>1565</c:v>
                </c:pt>
                <c:pt idx="4">
                  <c:v>1632</c:v>
                </c:pt>
                <c:pt idx="5">
                  <c:v>1403</c:v>
                </c:pt>
                <c:pt idx="6">
                  <c:v>1478</c:v>
                </c:pt>
                <c:pt idx="7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9-444B-99A2-A9DB0E4E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64349"/>
        <c:axId val="1291339085"/>
      </c:lineChart>
      <c:lineChart>
        <c:grouping val="standard"/>
        <c:varyColors val="0"/>
        <c:ser>
          <c:idx val="1"/>
          <c:order val="1"/>
          <c:tx>
            <c:strRef>
              <c:f>'Cópia de Custo O&amp;M compressão'!$H$3:$H$5</c:f>
              <c:strCache>
                <c:ptCount val="3"/>
                <c:pt idx="0">
                  <c:v>Capital Cost of Compression and Pumping</c:v>
                </c:pt>
                <c:pt idx="1">
                  <c:v>Power [kW]</c:v>
                </c:pt>
                <c:pt idx="2">
                  <c:v>Pump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'Cópia de Custo O&amp;M compressão'!$F$6:$F$13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compressão'!$H$6:$H$13</c:f>
              <c:numCache>
                <c:formatCode>General</c:formatCode>
                <c:ptCount val="8"/>
                <c:pt idx="0">
                  <c:v>3129</c:v>
                </c:pt>
                <c:pt idx="1">
                  <c:v>2497</c:v>
                </c:pt>
                <c:pt idx="2">
                  <c:v>2391</c:v>
                </c:pt>
                <c:pt idx="3">
                  <c:v>2370</c:v>
                </c:pt>
                <c:pt idx="4">
                  <c:v>2361</c:v>
                </c:pt>
                <c:pt idx="5">
                  <c:v>2356</c:v>
                </c:pt>
                <c:pt idx="6">
                  <c:v>2353</c:v>
                </c:pt>
                <c:pt idx="7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9-444B-99A2-A9DB0E4E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67521"/>
        <c:axId val="108750239"/>
      </c:lineChart>
      <c:catAx>
        <c:axId val="1117464349"/>
        <c:scaling>
          <c:orientation val="minMax"/>
          <c:max val="7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1339085"/>
        <c:crosses val="autoZero"/>
        <c:auto val="1"/>
        <c:lblAlgn val="ctr"/>
        <c:lblOffset val="100"/>
        <c:noMultiLvlLbl val="1"/>
      </c:catAx>
      <c:valAx>
        <c:axId val="1291339085"/>
        <c:scaling>
          <c:orientation val="minMax"/>
          <c:max val="7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Compressor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7464349"/>
        <c:crosses val="autoZero"/>
        <c:crossBetween val="between"/>
      </c:valAx>
      <c:catAx>
        <c:axId val="110667521"/>
        <c:scaling>
          <c:orientation val="minMax"/>
          <c:max val="700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750239"/>
        <c:crosses val="autoZero"/>
        <c:auto val="1"/>
        <c:lblAlgn val="ctr"/>
        <c:lblOffset val="100"/>
        <c:noMultiLvlLbl val="1"/>
      </c:catAx>
      <c:valAx>
        <c:axId val="108750239"/>
        <c:scaling>
          <c:orientation val="minMax"/>
          <c:max val="32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Pump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66752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Levelized Cost of CO2 Compression and Pumping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'Cópia de Custo O&amp;M compressão'!$K$4</c:f>
              <c:strCache>
                <c:ptCount val="1"/>
                <c:pt idx="0">
                  <c:v>Total Lev Cost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compressão'!$K$5:$K$12</c:f>
              <c:numCache>
                <c:formatCode>0.00</c:formatCode>
                <c:ptCount val="8"/>
                <c:pt idx="0">
                  <c:v>17.680233474657534</c:v>
                </c:pt>
                <c:pt idx="1">
                  <c:v>11.777040431013699</c:v>
                </c:pt>
                <c:pt idx="2">
                  <c:v>10.036269477017841</c:v>
                </c:pt>
                <c:pt idx="3">
                  <c:v>10.249472980119457</c:v>
                </c:pt>
                <c:pt idx="4">
                  <c:v>10.336480315659076</c:v>
                </c:pt>
                <c:pt idx="5">
                  <c:v>10.033976254917386</c:v>
                </c:pt>
                <c:pt idx="6">
                  <c:v>10.133275583558332</c:v>
                </c:pt>
                <c:pt idx="7">
                  <c:v>10.200125056672896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4-4F2F-B084-440D81023389}"/>
            </c:ext>
          </c:extLst>
        </c:ser>
        <c:ser>
          <c:idx val="1"/>
          <c:order val="1"/>
          <c:tx>
            <c:strRef>
              <c:f>'Cópia de Custo O&amp;M compressão'!$L$4</c:f>
              <c:strCache>
                <c:ptCount val="1"/>
                <c:pt idx="0">
                  <c:v>E_lev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compressão'!$L$5:$L$12</c:f>
              <c:numCache>
                <c:formatCode>0.00</c:formatCode>
                <c:ptCount val="8"/>
                <c:pt idx="0">
                  <c:v>8.0352480000000011</c:v>
                </c:pt>
                <c:pt idx="1">
                  <c:v>8.0344656000000008</c:v>
                </c:pt>
                <c:pt idx="2">
                  <c:v>8.034726400000002</c:v>
                </c:pt>
                <c:pt idx="3">
                  <c:v>8.0346220800000019</c:v>
                </c:pt>
                <c:pt idx="4">
                  <c:v>8.0346332571428576</c:v>
                </c:pt>
                <c:pt idx="5">
                  <c:v>8.0346394666666683</c:v>
                </c:pt>
                <c:pt idx="6">
                  <c:v>8.0346434181818189</c:v>
                </c:pt>
                <c:pt idx="7">
                  <c:v>8.0346762461538468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4-4F2F-B084-440D81023389}"/>
            </c:ext>
          </c:extLst>
        </c:ser>
        <c:ser>
          <c:idx val="2"/>
          <c:order val="2"/>
          <c:tx>
            <c:strRef>
              <c:f>'Cópia de Custo O&amp;M compressão'!$N$4</c:f>
              <c:strCache>
                <c:ptCount val="1"/>
                <c:pt idx="0">
                  <c:v>O&amp;M_lev</c:v>
                </c:pt>
              </c:strCache>
            </c:strRef>
          </c:tx>
          <c:spPr>
            <a:ln w="19050"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compressão'!$N$5:$N$12</c:f>
              <c:numCache>
                <c:formatCode>0.00</c:formatCode>
                <c:ptCount val="8"/>
                <c:pt idx="0">
                  <c:v>0.45928502260273979</c:v>
                </c:pt>
                <c:pt idx="1">
                  <c:v>0.17821784909589042</c:v>
                </c:pt>
                <c:pt idx="2">
                  <c:v>9.5311575096087606E-2</c:v>
                </c:pt>
                <c:pt idx="3">
                  <c:v>0.10546909048187877</c:v>
                </c:pt>
                <c:pt idx="4">
                  <c:v>0.1096117646912485</c:v>
                </c:pt>
                <c:pt idx="5">
                  <c:v>9.5206513726224629E-2</c:v>
                </c:pt>
                <c:pt idx="6">
                  <c:v>9.9934865017929184E-2</c:v>
                </c:pt>
                <c:pt idx="7">
                  <c:v>0.10311661002471657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4-4F2F-B084-440D81023389}"/>
            </c:ext>
          </c:extLst>
        </c:ser>
        <c:ser>
          <c:idx val="3"/>
          <c:order val="3"/>
          <c:tx>
            <c:strRef>
              <c:f>'Cópia de Custo O&amp;M compressão'!$P$4</c:f>
              <c:strCache>
                <c:ptCount val="1"/>
                <c:pt idx="0">
                  <c:v>Cap_lev</c:v>
                </c:pt>
              </c:strCache>
            </c:strRef>
          </c:tx>
          <c:spPr>
            <a:ln w="19050"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compressão'!$P$5:$P$12</c:f>
              <c:numCache>
                <c:formatCode>0.00</c:formatCode>
                <c:ptCount val="8"/>
                <c:pt idx="0">
                  <c:v>9.1857004520547942</c:v>
                </c:pt>
                <c:pt idx="1">
                  <c:v>3.564356981917808</c:v>
                </c:pt>
                <c:pt idx="2">
                  <c:v>1.9062315019217522</c:v>
                </c:pt>
                <c:pt idx="3">
                  <c:v>2.1093818096375756</c:v>
                </c:pt>
                <c:pt idx="4">
                  <c:v>2.1922352938249698</c:v>
                </c:pt>
                <c:pt idx="5">
                  <c:v>1.9041302745244926</c:v>
                </c:pt>
                <c:pt idx="6">
                  <c:v>1.9986973003585835</c:v>
                </c:pt>
                <c:pt idx="7">
                  <c:v>2.0623322004943314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4-4F2F-B084-440D8102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40156"/>
        <c:axId val="1709701891"/>
      </c:lineChart>
      <c:catAx>
        <c:axId val="181240156"/>
        <c:scaling>
          <c:orientation val="minMax"/>
          <c:max val="7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9701891"/>
        <c:crosses val="autoZero"/>
        <c:auto val="1"/>
        <c:lblAlgn val="ctr"/>
        <c:lblOffset val="100"/>
        <c:noMultiLvlLbl val="1"/>
      </c:catAx>
      <c:valAx>
        <c:axId val="1709701891"/>
        <c:scaling>
          <c:orientation val="minMax"/>
          <c:max val="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40156"/>
        <c:crosses val="autoZero"/>
        <c:crossBetween val="between"/>
        <c:majorUnit val="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Component Contribution to Total Levelized Cost of CO2 Compression and Pumping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'Cópia de Custo O&amp;M compressão'!$L$4</c:f>
              <c:strCache>
                <c:ptCount val="1"/>
                <c:pt idx="0">
                  <c:v>E_lev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compressão'!$L$5:$L$12</c:f>
              <c:numCache>
                <c:formatCode>0.00</c:formatCode>
                <c:ptCount val="8"/>
                <c:pt idx="0">
                  <c:v>8.0352480000000011</c:v>
                </c:pt>
                <c:pt idx="1">
                  <c:v>8.0344656000000008</c:v>
                </c:pt>
                <c:pt idx="2">
                  <c:v>8.034726400000002</c:v>
                </c:pt>
                <c:pt idx="3">
                  <c:v>8.0346220800000019</c:v>
                </c:pt>
                <c:pt idx="4">
                  <c:v>8.0346332571428576</c:v>
                </c:pt>
                <c:pt idx="5">
                  <c:v>8.0346394666666683</c:v>
                </c:pt>
                <c:pt idx="6">
                  <c:v>8.0346434181818189</c:v>
                </c:pt>
                <c:pt idx="7">
                  <c:v>8.0346762461538468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CF-4FF3-A8AB-DA1E0A1CA853}"/>
            </c:ext>
          </c:extLst>
        </c:ser>
        <c:ser>
          <c:idx val="1"/>
          <c:order val="1"/>
          <c:tx>
            <c:strRef>
              <c:f>'Cópia de Custo O&amp;M compressão'!$N$4</c:f>
              <c:strCache>
                <c:ptCount val="1"/>
                <c:pt idx="0">
                  <c:v>O&amp;M_lev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B0CF-4FF3-A8AB-DA1E0A1CA8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compressão'!$N$5:$N$12</c:f>
              <c:numCache>
                <c:formatCode>0.00</c:formatCode>
                <c:ptCount val="8"/>
                <c:pt idx="0">
                  <c:v>0.45928502260273979</c:v>
                </c:pt>
                <c:pt idx="1">
                  <c:v>0.17821784909589042</c:v>
                </c:pt>
                <c:pt idx="2">
                  <c:v>9.5311575096087606E-2</c:v>
                </c:pt>
                <c:pt idx="3">
                  <c:v>0.10546909048187877</c:v>
                </c:pt>
                <c:pt idx="4">
                  <c:v>0.1096117646912485</c:v>
                </c:pt>
                <c:pt idx="5">
                  <c:v>9.5206513726224629E-2</c:v>
                </c:pt>
                <c:pt idx="6">
                  <c:v>9.9934865017929184E-2</c:v>
                </c:pt>
                <c:pt idx="7">
                  <c:v>0.10311661002471657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0CF-4FF3-A8AB-DA1E0A1CA853}"/>
            </c:ext>
          </c:extLst>
        </c:ser>
        <c:ser>
          <c:idx val="2"/>
          <c:order val="2"/>
          <c:tx>
            <c:strRef>
              <c:f>'Cópia de Custo O&amp;M compressão'!$P$4</c:f>
              <c:strCache>
                <c:ptCount val="1"/>
                <c:pt idx="0">
                  <c:v>Cap_lev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B0CF-4FF3-A8AB-DA1E0A1CA8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compressão'!$P$5:$P$12</c:f>
              <c:numCache>
                <c:formatCode>0.00</c:formatCode>
                <c:ptCount val="8"/>
                <c:pt idx="0">
                  <c:v>9.1857004520547942</c:v>
                </c:pt>
                <c:pt idx="1">
                  <c:v>3.564356981917808</c:v>
                </c:pt>
                <c:pt idx="2">
                  <c:v>1.9062315019217522</c:v>
                </c:pt>
                <c:pt idx="3">
                  <c:v>2.1093818096375756</c:v>
                </c:pt>
                <c:pt idx="4">
                  <c:v>2.1922352938249698</c:v>
                </c:pt>
                <c:pt idx="5">
                  <c:v>1.9041302745244926</c:v>
                </c:pt>
                <c:pt idx="6">
                  <c:v>1.9986973003585835</c:v>
                </c:pt>
                <c:pt idx="7">
                  <c:v>2.0623322004943314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0CF-4FF3-A8AB-DA1E0A1C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924233"/>
        <c:axId val="1026014133"/>
      </c:barChart>
      <c:catAx>
        <c:axId val="366924233"/>
        <c:scaling>
          <c:orientation val="minMax"/>
          <c:max val="7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6014133"/>
        <c:crosses val="autoZero"/>
        <c:auto val="1"/>
        <c:lblAlgn val="ctr"/>
        <c:lblOffset val="100"/>
        <c:noMultiLvlLbl val="1"/>
      </c:catAx>
      <c:valAx>
        <c:axId val="1026014133"/>
        <c:scaling>
          <c:orientation val="minMax"/>
          <c:max val="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6924233"/>
        <c:crosses val="autoZero"/>
        <c:crossBetween val="between"/>
        <c:majorUnit val="2"/>
        <c:minorUnit val="0.66666666666666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r>
              <a:rPr lang="en-US" sz="1200" b="1">
                <a:solidFill>
                  <a:srgbClr val="000000"/>
                </a:solidFill>
                <a:latin typeface="+mn-lt"/>
              </a:rPr>
              <a:t>Component Contribution to Annual Cost of CO2 Compression and Pumping</a:t>
            </a:r>
          </a:p>
        </c:rich>
      </c:tx>
      <c:layout>
        <c:manualLayout>
          <c:xMode val="edge"/>
          <c:yMode val="edge"/>
          <c:x val="3.3107088989441938E-2"/>
          <c:y val="5.2277904328018231E-2"/>
        </c:manualLayout>
      </c:layout>
      <c:overlay val="0"/>
    </c:title>
    <c:autoTitleDeleted val="0"/>
    <c:plotArea>
      <c:layout>
        <c:manualLayout>
          <c:xMode val="edge"/>
          <c:yMode val="edge"/>
          <c:x val="0.14102408854166668"/>
          <c:y val="0.19752920035938903"/>
          <c:w val="0.8280592447916667"/>
          <c:h val="0.70395327942497743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'Cópia de Custo O&amp;M compressão'!$M$3:$M$4</c:f>
              <c:strCache>
                <c:ptCount val="2"/>
                <c:pt idx="0">
                  <c:v>Levelized Cost of CO2 Compression phase</c:v>
                </c:pt>
                <c:pt idx="1">
                  <c:v>E_y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E+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compressão'!$M$5:$M$12</c:f>
              <c:numCache>
                <c:formatCode>0</c:formatCode>
                <c:ptCount val="8"/>
                <c:pt idx="0">
                  <c:v>2346292.4160000002</c:v>
                </c:pt>
                <c:pt idx="1">
                  <c:v>11730319.776000001</c:v>
                </c:pt>
                <c:pt idx="2">
                  <c:v>35192101.632000007</c:v>
                </c:pt>
                <c:pt idx="3">
                  <c:v>58652741.184000008</c:v>
                </c:pt>
                <c:pt idx="4">
                  <c:v>82113951.888000011</c:v>
                </c:pt>
                <c:pt idx="5">
                  <c:v>105575162.59200002</c:v>
                </c:pt>
                <c:pt idx="6">
                  <c:v>129036373.296</c:v>
                </c:pt>
                <c:pt idx="7">
                  <c:v>152498155.15200001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98-4B32-A923-8572BEF3DAB4}"/>
            </c:ext>
          </c:extLst>
        </c:ser>
        <c:ser>
          <c:idx val="1"/>
          <c:order val="1"/>
          <c:tx>
            <c:strRef>
              <c:f>'Cópia de Custo O&amp;M compressão'!$O$3:$O$4</c:f>
              <c:strCache>
                <c:ptCount val="2"/>
                <c:pt idx="0">
                  <c:v>Levelized Cost of CO2 Compression phase</c:v>
                </c:pt>
                <c:pt idx="1">
                  <c:v>O&amp;M_y</c:v>
                </c:pt>
              </c:strCache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A98-4B32-A923-8572BEF3DAB4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8A98-4B32-A923-8572BEF3DAB4}"/>
              </c:ext>
            </c:extLst>
          </c:dPt>
          <c:dLbls>
            <c:numFmt formatCode="0.00E+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compressão'!$O$5:$O$12</c:f>
              <c:numCache>
                <c:formatCode>0</c:formatCode>
                <c:ptCount val="8"/>
                <c:pt idx="0">
                  <c:v>134111.22660000002</c:v>
                </c:pt>
                <c:pt idx="1">
                  <c:v>260198.05968000001</c:v>
                </c:pt>
                <c:pt idx="2">
                  <c:v>417464.69892086374</c:v>
                </c:pt>
                <c:pt idx="3">
                  <c:v>769924.3605177151</c:v>
                </c:pt>
                <c:pt idx="4">
                  <c:v>1120232.2351445598</c:v>
                </c:pt>
                <c:pt idx="5">
                  <c:v>1251013.5903625917</c:v>
                </c:pt>
                <c:pt idx="6">
                  <c:v>1604953.9321879428</c:v>
                </c:pt>
                <c:pt idx="7">
                  <c:v>1957153.2582691205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A98-4B32-A923-8572BEF3DAB4}"/>
            </c:ext>
          </c:extLst>
        </c:ser>
        <c:ser>
          <c:idx val="2"/>
          <c:order val="2"/>
          <c:tx>
            <c:strRef>
              <c:f>'Cópia de Custo O&amp;M compressão'!$Q$3:$Q$4</c:f>
              <c:strCache>
                <c:ptCount val="2"/>
                <c:pt idx="0">
                  <c:v>Levelized Cost of CO2 Compression phase</c:v>
                </c:pt>
                <c:pt idx="1">
                  <c:v>C_y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E+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compressão'!$Q$5:$Q$12</c:f>
              <c:numCache>
                <c:formatCode>0</c:formatCode>
                <c:ptCount val="8"/>
                <c:pt idx="0">
                  <c:v>2682224.5320000001</c:v>
                </c:pt>
                <c:pt idx="1">
                  <c:v>5203961.1935999999</c:v>
                </c:pt>
                <c:pt idx="2">
                  <c:v>8349293.9784172745</c:v>
                </c:pt>
                <c:pt idx="3">
                  <c:v>15398487.210354302</c:v>
                </c:pt>
                <c:pt idx="4">
                  <c:v>22404644.702891193</c:v>
                </c:pt>
                <c:pt idx="5">
                  <c:v>25020271.807251833</c:v>
                </c:pt>
                <c:pt idx="6">
                  <c:v>32099078.643758852</c:v>
                </c:pt>
                <c:pt idx="7">
                  <c:v>39143065.165382408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A98-4B32-A923-8572BEF3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390841"/>
        <c:axId val="1515822570"/>
      </c:barChart>
      <c:catAx>
        <c:axId val="1495390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5822570"/>
        <c:crosses val="autoZero"/>
        <c:auto val="1"/>
        <c:lblAlgn val="ctr"/>
        <c:lblOffset val="100"/>
        <c:noMultiLvlLbl val="1"/>
      </c:catAx>
      <c:valAx>
        <c:axId val="1515822570"/>
        <c:scaling>
          <c:orientation val="minMax"/>
          <c:max val="20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$ [x10^6]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539084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876790364583342"/>
          <c:y val="0.11837376460017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r>
              <a:rPr lang="en-US" sz="1400" b="0">
                <a:solidFill>
                  <a:srgbClr val="000000"/>
                </a:solidFill>
                <a:latin typeface="+mn-lt"/>
              </a:rPr>
              <a:t>Capital Cost of Compression and Pumping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'Cópia de Custo O&amp;M compressão'!$G$3:$G$5</c:f>
              <c:strCache>
                <c:ptCount val="3"/>
                <c:pt idx="0">
                  <c:v>Capital Cost of Compression and Pumping</c:v>
                </c:pt>
                <c:pt idx="1">
                  <c:v>Power [kW]</c:v>
                </c:pt>
                <c:pt idx="2">
                  <c:v>Compressor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O&amp;M compressão'!$F$6:$F$13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compressão'!$G$6:$G$13</c:f>
              <c:numCache>
                <c:formatCode>General</c:formatCode>
                <c:ptCount val="8"/>
                <c:pt idx="0">
                  <c:v>7159</c:v>
                </c:pt>
                <c:pt idx="1">
                  <c:v>2717</c:v>
                </c:pt>
                <c:pt idx="2">
                  <c:v>1403</c:v>
                </c:pt>
                <c:pt idx="3">
                  <c:v>1565</c:v>
                </c:pt>
                <c:pt idx="4">
                  <c:v>1632</c:v>
                </c:pt>
                <c:pt idx="5">
                  <c:v>1403</c:v>
                </c:pt>
                <c:pt idx="6">
                  <c:v>1478</c:v>
                </c:pt>
                <c:pt idx="7">
                  <c:v>1529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D2-4E13-BC72-D4A449540077}"/>
            </c:ext>
          </c:extLst>
        </c:ser>
        <c:ser>
          <c:idx val="1"/>
          <c:order val="1"/>
          <c:tx>
            <c:strRef>
              <c:f>'Cópia de Custo O&amp;M compressão'!$H$3:$H$5</c:f>
              <c:strCache>
                <c:ptCount val="3"/>
                <c:pt idx="0">
                  <c:v>Capital Cost of Compression and Pumping</c:v>
                </c:pt>
                <c:pt idx="1">
                  <c:v>Power [kW]</c:v>
                </c:pt>
                <c:pt idx="2">
                  <c:v>Pump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'Cópia de Custo O&amp;M compressão'!$F$6:$F$13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'Cópia de Custo O&amp;M compressão'!$H$6:$H$13</c:f>
              <c:numCache>
                <c:formatCode>General</c:formatCode>
                <c:ptCount val="8"/>
                <c:pt idx="0">
                  <c:v>3129</c:v>
                </c:pt>
                <c:pt idx="1">
                  <c:v>2497</c:v>
                </c:pt>
                <c:pt idx="2">
                  <c:v>2391</c:v>
                </c:pt>
                <c:pt idx="3">
                  <c:v>2370</c:v>
                </c:pt>
                <c:pt idx="4">
                  <c:v>2361</c:v>
                </c:pt>
                <c:pt idx="5">
                  <c:v>2356</c:v>
                </c:pt>
                <c:pt idx="6">
                  <c:v>2353</c:v>
                </c:pt>
                <c:pt idx="7">
                  <c:v>2351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D2-4E13-BC72-D4A44954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2475052"/>
        <c:axId val="309869411"/>
      </c:barChart>
      <c:catAx>
        <c:axId val="702475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9869411"/>
        <c:crosses val="autoZero"/>
        <c:auto val="1"/>
        <c:lblAlgn val="ctr"/>
        <c:lblOffset val="100"/>
        <c:noMultiLvlLbl val="1"/>
      </c:catAx>
      <c:valAx>
        <c:axId val="309869411"/>
        <c:scaling>
          <c:orientation val="minMax"/>
          <c:max val="1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2475052"/>
        <c:crosses val="autoZero"/>
        <c:crossBetween val="between"/>
        <c:majorUnit val="1000"/>
        <c:minorUnit val="1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en-US" sz="1400" b="1">
                <a:solidFill>
                  <a:srgbClr val="000000"/>
                </a:solidFill>
                <a:latin typeface="+mn-lt"/>
              </a:rPr>
              <a:t>Power Requirement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'Avaliação Forecast 14_08'!$G$48</c:f>
              <c:strCache>
                <c:ptCount val="1"/>
                <c:pt idx="0">
                  <c:v>A-1 - DBM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14_08'!$H$48:$M$48</c:f>
              <c:numCache>
                <c:formatCode>0</c:formatCode>
                <c:ptCount val="6"/>
                <c:pt idx="0">
                  <c:v>10223.289582507619</c:v>
                </c:pt>
                <c:pt idx="1">
                  <c:v>10144.158490233312</c:v>
                </c:pt>
                <c:pt idx="2">
                  <c:v>10119.527375757085</c:v>
                </c:pt>
                <c:pt idx="3">
                  <c:v>10114.666101999097</c:v>
                </c:pt>
                <c:pt idx="4">
                  <c:v>10114.034711018398</c:v>
                </c:pt>
                <c:pt idx="5">
                  <c:v>10113.979830173084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7-4EC5-AC2F-0ABE55DFAE89}"/>
            </c:ext>
          </c:extLst>
        </c:ser>
        <c:ser>
          <c:idx val="1"/>
          <c:order val="1"/>
          <c:tx>
            <c:strRef>
              <c:f>'Avaliação Forecast 14_08'!$G$49</c:f>
              <c:strCache>
                <c:ptCount val="1"/>
                <c:pt idx="0">
                  <c:v>C-1 - DBM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14_08'!$H$49:$M$49</c:f>
              <c:numCache>
                <c:formatCode>0</c:formatCode>
                <c:ptCount val="6"/>
                <c:pt idx="0">
                  <c:v>12401.828841085153</c:v>
                </c:pt>
                <c:pt idx="1">
                  <c:v>12407.627024436228</c:v>
                </c:pt>
                <c:pt idx="2">
                  <c:v>12409.21600534044</c:v>
                </c:pt>
                <c:pt idx="3">
                  <c:v>12409.604816779947</c:v>
                </c:pt>
                <c:pt idx="4">
                  <c:v>12409.68935875454</c:v>
                </c:pt>
                <c:pt idx="5">
                  <c:v>12409.705524192461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7-4EC5-AC2F-0ABE55DFAE89}"/>
            </c:ext>
          </c:extLst>
        </c:ser>
        <c:ser>
          <c:idx val="2"/>
          <c:order val="2"/>
          <c:tx>
            <c:strRef>
              <c:f>'Avaliação Forecast 14_08'!$G$50</c:f>
              <c:strCache>
                <c:ptCount val="1"/>
                <c:pt idx="0">
                  <c:v>C-2 - DBM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14_08'!$H$50:$M$50</c:f>
              <c:numCache>
                <c:formatCode>0</c:formatCode>
                <c:ptCount val="6"/>
                <c:pt idx="0">
                  <c:v>108920.5545573945</c:v>
                </c:pt>
                <c:pt idx="1">
                  <c:v>108732.11878285483</c:v>
                </c:pt>
                <c:pt idx="2">
                  <c:v>108729.86288782829</c:v>
                </c:pt>
                <c:pt idx="3">
                  <c:v>108745.38105508548</c:v>
                </c:pt>
                <c:pt idx="4">
                  <c:v>108744.21657204963</c:v>
                </c:pt>
                <c:pt idx="5">
                  <c:v>108738.56038329269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7-4EC5-AC2F-0ABE55DFAE89}"/>
            </c:ext>
          </c:extLst>
        </c:ser>
        <c:ser>
          <c:idx val="3"/>
          <c:order val="3"/>
          <c:tx>
            <c:strRef>
              <c:f>'Avaliação Forecast 14_08'!$G$51</c:f>
              <c:strCache>
                <c:ptCount val="1"/>
                <c:pt idx="0">
                  <c:v>P-1 - DBM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14_08'!$H$51:$M$51</c:f>
              <c:numCache>
                <c:formatCode>0</c:formatCode>
                <c:ptCount val="6"/>
                <c:pt idx="0">
                  <c:v>16938.955972901796</c:v>
                </c:pt>
                <c:pt idx="1">
                  <c:v>15684.499726387498</c:v>
                </c:pt>
                <c:pt idx="2">
                  <c:v>14502.775246779116</c:v>
                </c:pt>
                <c:pt idx="3">
                  <c:v>13528.783200466161</c:v>
                </c:pt>
                <c:pt idx="4">
                  <c:v>12810.111183168967</c:v>
                </c:pt>
                <c:pt idx="5">
                  <c:v>12329.829090928824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7-4EC5-AC2F-0ABE55DFAE89}"/>
            </c:ext>
          </c:extLst>
        </c:ser>
        <c:ser>
          <c:idx val="4"/>
          <c:order val="4"/>
          <c:tx>
            <c:strRef>
              <c:f>'Avaliação Forecast 14_08'!$G$52</c:f>
              <c:strCache>
                <c:ptCount val="1"/>
                <c:pt idx="0">
                  <c:v>S-1 - DBM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14_08'!$H$52:$M$52</c:f>
              <c:numCache>
                <c:formatCode>0</c:formatCode>
                <c:ptCount val="6"/>
                <c:pt idx="0">
                  <c:v>147450.51694180479</c:v>
                </c:pt>
                <c:pt idx="1">
                  <c:v>144972.72792969682</c:v>
                </c:pt>
                <c:pt idx="2">
                  <c:v>143208.09354029314</c:v>
                </c:pt>
                <c:pt idx="3">
                  <c:v>142455.62481749072</c:v>
                </c:pt>
                <c:pt idx="4">
                  <c:v>142247.88326460228</c:v>
                </c:pt>
                <c:pt idx="5">
                  <c:v>142209.64367626424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17-4EC5-AC2F-0ABE55DFAE89}"/>
            </c:ext>
          </c:extLst>
        </c:ser>
        <c:ser>
          <c:idx val="5"/>
          <c:order val="5"/>
          <c:tx>
            <c:strRef>
              <c:f>'Avaliação Forecast 14_08'!$G$53</c:f>
              <c:strCache>
                <c:ptCount val="1"/>
                <c:pt idx="0">
                  <c:v>S-2 - DBM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14_08'!$H$53:$M$53</c:f>
              <c:numCache>
                <c:formatCode>0</c:formatCode>
                <c:ptCount val="6"/>
                <c:pt idx="0">
                  <c:v>80023.657270788957</c:v>
                </c:pt>
                <c:pt idx="1">
                  <c:v>79788.896633504162</c:v>
                </c:pt>
                <c:pt idx="2">
                  <c:v>79914.700618971969</c:v>
                </c:pt>
                <c:pt idx="3">
                  <c:v>80204.236503703825</c:v>
                </c:pt>
                <c:pt idx="4">
                  <c:v>80475.830368884781</c:v>
                </c:pt>
                <c:pt idx="5">
                  <c:v>80651.78404951829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17-4EC5-AC2F-0ABE55DFAE89}"/>
            </c:ext>
          </c:extLst>
        </c:ser>
        <c:ser>
          <c:idx val="6"/>
          <c:order val="6"/>
          <c:tx>
            <c:strRef>
              <c:f>'Avaliação Forecast 14_08'!$G$57</c:f>
              <c:strCache>
                <c:ptCount val="1"/>
                <c:pt idx="0">
                  <c:v>A-1 - GBM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14_08'!$H$57:$M$57</c:f>
              <c:numCache>
                <c:formatCode>0</c:formatCode>
                <c:ptCount val="6"/>
                <c:pt idx="0">
                  <c:v>10784.961306824334</c:v>
                </c:pt>
                <c:pt idx="1">
                  <c:v>10616.76383319874</c:v>
                </c:pt>
                <c:pt idx="2">
                  <c:v>10451.189492779577</c:v>
                </c:pt>
                <c:pt idx="3">
                  <c:v>10288.197376344664</c:v>
                </c:pt>
                <c:pt idx="4">
                  <c:v>10127.747212673914</c:v>
                </c:pt>
                <c:pt idx="5">
                  <c:v>9969.7993585993208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17-4EC5-AC2F-0ABE55DFAE89}"/>
            </c:ext>
          </c:extLst>
        </c:ser>
        <c:ser>
          <c:idx val="7"/>
          <c:order val="7"/>
          <c:tx>
            <c:strRef>
              <c:f>'Avaliação Forecast 14_08'!$G$58</c:f>
              <c:strCache>
                <c:ptCount val="1"/>
                <c:pt idx="0">
                  <c:v>C-1 - GBM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14_08'!$H$58:$M$58</c:f>
              <c:numCache>
                <c:formatCode>0</c:formatCode>
                <c:ptCount val="6"/>
                <c:pt idx="0">
                  <c:v>12692.937537584059</c:v>
                </c:pt>
                <c:pt idx="1">
                  <c:v>12494.984112813016</c:v>
                </c:pt>
                <c:pt idx="2">
                  <c:v>12300.117881866285</c:v>
                </c:pt>
                <c:pt idx="3">
                  <c:v>12108.29069823811</c:v>
                </c:pt>
                <c:pt idx="4">
                  <c:v>11919.455166294259</c:v>
                </c:pt>
                <c:pt idx="5">
                  <c:v>11733.564629561815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17-4EC5-AC2F-0ABE55DFAE89}"/>
            </c:ext>
          </c:extLst>
        </c:ser>
        <c:ser>
          <c:idx val="8"/>
          <c:order val="8"/>
          <c:tx>
            <c:strRef>
              <c:f>'Avaliação Forecast 14_08'!$G$59</c:f>
              <c:strCache>
                <c:ptCount val="1"/>
                <c:pt idx="0">
                  <c:v>C-2 - GBM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14_08'!$H$59:$M$59</c:f>
              <c:numCache>
                <c:formatCode>0</c:formatCode>
                <c:ptCount val="6"/>
                <c:pt idx="0">
                  <c:v>108607.89299657509</c:v>
                </c:pt>
                <c:pt idx="1">
                  <c:v>106914.09246283892</c:v>
                </c:pt>
                <c:pt idx="2">
                  <c:v>105246.70769106003</c:v>
                </c:pt>
                <c:pt idx="3">
                  <c:v>103605.3267127299</c:v>
                </c:pt>
                <c:pt idx="4">
                  <c:v>101989.54398421801</c:v>
                </c:pt>
                <c:pt idx="5">
                  <c:v>100398.96028657249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17-4EC5-AC2F-0ABE55DFAE89}"/>
            </c:ext>
          </c:extLst>
        </c:ser>
        <c:ser>
          <c:idx val="9"/>
          <c:order val="9"/>
          <c:tx>
            <c:strRef>
              <c:f>'Avaliação Forecast 14_08'!$G$60</c:f>
              <c:strCache>
                <c:ptCount val="1"/>
                <c:pt idx="0">
                  <c:v>P-1 - GBM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14_08'!$H$60:$M$60</c:f>
              <c:numCache>
                <c:formatCode>0</c:formatCode>
                <c:ptCount val="6"/>
                <c:pt idx="0">
                  <c:v>18356.488246969715</c:v>
                </c:pt>
                <c:pt idx="1">
                  <c:v>18070.208597007084</c:v>
                </c:pt>
                <c:pt idx="2">
                  <c:v>17788.393637505927</c:v>
                </c:pt>
                <c:pt idx="3">
                  <c:v>17510.973739133835</c:v>
                </c:pt>
                <c:pt idx="4">
                  <c:v>17237.880358466558</c:v>
                </c:pt>
                <c:pt idx="5">
                  <c:v>16969.046021052683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17-4EC5-AC2F-0ABE55DFAE89}"/>
            </c:ext>
          </c:extLst>
        </c:ser>
        <c:ser>
          <c:idx val="10"/>
          <c:order val="10"/>
          <c:tx>
            <c:strRef>
              <c:f>'Avaliação Forecast 14_08'!$G$61</c:f>
              <c:strCache>
                <c:ptCount val="1"/>
                <c:pt idx="0">
                  <c:v>S-1 - GBM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14_08'!$H$61:$M$61</c:f>
              <c:numCache>
                <c:formatCode>0</c:formatCode>
                <c:ptCount val="6"/>
                <c:pt idx="0">
                  <c:v>189938.16129976141</c:v>
                </c:pt>
                <c:pt idx="1">
                  <c:v>186975.96996992358</c:v>
                </c:pt>
                <c:pt idx="2">
                  <c:v>184059.97566239309</c:v>
                </c:pt>
                <c:pt idx="3">
                  <c:v>181189.4579088974</c:v>
                </c:pt>
                <c:pt idx="4">
                  <c:v>178363.70747726772</c:v>
                </c:pt>
                <c:pt idx="5">
                  <c:v>175582.02619620576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17-4EC5-AC2F-0ABE55DFAE89}"/>
            </c:ext>
          </c:extLst>
        </c:ser>
        <c:ser>
          <c:idx val="11"/>
          <c:order val="11"/>
          <c:tx>
            <c:strRef>
              <c:f>'Avaliação Forecast 14_08'!$G$62</c:f>
              <c:strCache>
                <c:ptCount val="1"/>
                <c:pt idx="0">
                  <c:v>S-2 - GBM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14_08'!$H$62:$M$62</c:f>
              <c:numCache>
                <c:formatCode>0</c:formatCode>
                <c:ptCount val="6"/>
                <c:pt idx="0">
                  <c:v>71855.238626226492</c:v>
                </c:pt>
                <c:pt idx="1">
                  <c:v>70734.616190979708</c:v>
                </c:pt>
                <c:pt idx="2">
                  <c:v>69631.470486259263</c:v>
                </c:pt>
                <c:pt idx="3">
                  <c:v>68545.528952726541</c:v>
                </c:pt>
                <c:pt idx="4">
                  <c:v>67476.523281757312</c:v>
                </c:pt>
                <c:pt idx="5">
                  <c:v>66424.189349149805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17-4EC5-AC2F-0ABE55DF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86603"/>
        <c:axId val="126623053"/>
      </c:lineChart>
      <c:catAx>
        <c:axId val="1595986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623053"/>
        <c:crosses val="autoZero"/>
        <c:auto val="1"/>
        <c:lblAlgn val="ctr"/>
        <c:lblOffset val="100"/>
        <c:noMultiLvlLbl val="1"/>
      </c:catAx>
      <c:valAx>
        <c:axId val="126623053"/>
        <c:scaling>
          <c:orientation val="minMax"/>
          <c:max val="3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59866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r>
              <a:rPr lang="en-US" sz="1200" b="1">
                <a:solidFill>
                  <a:srgbClr val="000000"/>
                </a:solidFill>
                <a:latin typeface="+mn-lt"/>
              </a:rPr>
              <a:t>Power requeriment of Compression and Pumping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Compressor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FFB-43AA-941D-5F24128835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energia compressão'!$H$35:$H$42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energia compressão'!$I$35:$I$42</c:f>
              <c:numCache>
                <c:formatCode>General</c:formatCode>
                <c:ptCount val="8"/>
                <c:pt idx="0">
                  <c:v>3921</c:v>
                </c:pt>
                <c:pt idx="1">
                  <c:v>19605</c:v>
                </c:pt>
                <c:pt idx="2">
                  <c:v>58816</c:v>
                </c:pt>
                <c:pt idx="3">
                  <c:v>98026</c:v>
                </c:pt>
                <c:pt idx="4">
                  <c:v>137236</c:v>
                </c:pt>
                <c:pt idx="5">
                  <c:v>176447</c:v>
                </c:pt>
                <c:pt idx="6">
                  <c:v>215657</c:v>
                </c:pt>
                <c:pt idx="7">
                  <c:v>254868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FFB-43AA-941D-5F24128835A7}"/>
            </c:ext>
          </c:extLst>
        </c:ser>
        <c:ser>
          <c:idx val="1"/>
          <c:order val="1"/>
          <c:tx>
            <c:v>Pump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energia compressão'!$H$35:$H$42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energia compressão'!$J$35:$J$42</c:f>
              <c:numCache>
                <c:formatCode>General</c:formatCode>
                <c:ptCount val="8"/>
                <c:pt idx="0">
                  <c:v>187</c:v>
                </c:pt>
                <c:pt idx="1">
                  <c:v>933</c:v>
                </c:pt>
                <c:pt idx="2">
                  <c:v>2800</c:v>
                </c:pt>
                <c:pt idx="3">
                  <c:v>4666</c:v>
                </c:pt>
                <c:pt idx="4">
                  <c:v>6533</c:v>
                </c:pt>
                <c:pt idx="5">
                  <c:v>8399</c:v>
                </c:pt>
                <c:pt idx="6">
                  <c:v>10266</c:v>
                </c:pt>
                <c:pt idx="7">
                  <c:v>12133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FFB-43AA-941D-5F241288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562837"/>
        <c:axId val="797784152"/>
      </c:barChart>
      <c:catAx>
        <c:axId val="1081562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7784152"/>
        <c:crosses val="autoZero"/>
        <c:auto val="1"/>
        <c:lblAlgn val="ctr"/>
        <c:lblOffset val="100"/>
        <c:noMultiLvlLbl val="1"/>
      </c:catAx>
      <c:valAx>
        <c:axId val="797784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15628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en-US" sz="1400" b="1">
                <a:solidFill>
                  <a:srgbClr val="000000"/>
                </a:solidFill>
                <a:latin typeface="+mn-lt"/>
              </a:rPr>
              <a:t>Capital Cost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'Avaliação Forecast 14_08'!$G$120</c:f>
              <c:strCache>
                <c:ptCount val="1"/>
                <c:pt idx="0">
                  <c:v>A-1 - DBM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14_08'!$H$120:$M$120</c:f>
              <c:numCache>
                <c:formatCode>0</c:formatCode>
                <c:ptCount val="6"/>
                <c:pt idx="0">
                  <c:v>4921.2503936306139</c:v>
                </c:pt>
                <c:pt idx="1">
                  <c:v>4944.3098036826432</c:v>
                </c:pt>
                <c:pt idx="2">
                  <c:v>4951.5463988439451</c:v>
                </c:pt>
                <c:pt idx="3">
                  <c:v>4952.9779706630397</c:v>
                </c:pt>
                <c:pt idx="4">
                  <c:v>4953.1639866600426</c:v>
                </c:pt>
                <c:pt idx="5">
                  <c:v>4953.180156149765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8-41F2-B2DA-8F519CA9F053}"/>
            </c:ext>
          </c:extLst>
        </c:ser>
        <c:ser>
          <c:idx val="1"/>
          <c:order val="1"/>
          <c:tx>
            <c:strRef>
              <c:f>'Avaliação Forecast 14_08'!$G$121</c:f>
              <c:strCache>
                <c:ptCount val="1"/>
                <c:pt idx="0">
                  <c:v>C-1 - DBM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14_08'!$H$121:$M$121</c:f>
              <c:numCache>
                <c:formatCode>0</c:formatCode>
                <c:ptCount val="6"/>
                <c:pt idx="0">
                  <c:v>4381.3189718817384</c:v>
                </c:pt>
                <c:pt idx="1">
                  <c:v>4380.0871768607776</c:v>
                </c:pt>
                <c:pt idx="2">
                  <c:v>4379.7497667822727</c:v>
                </c:pt>
                <c:pt idx="3">
                  <c:v>4379.6672156630912</c:v>
                </c:pt>
                <c:pt idx="4">
                  <c:v>4379.6492665476653</c:v>
                </c:pt>
                <c:pt idx="5">
                  <c:v>4379.6458344841667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8-41F2-B2DA-8F519CA9F053}"/>
            </c:ext>
          </c:extLst>
        </c:ser>
        <c:ser>
          <c:idx val="2"/>
          <c:order val="2"/>
          <c:tx>
            <c:strRef>
              <c:f>'Avaliação Forecast 14_08'!$G$122</c:f>
              <c:strCache>
                <c:ptCount val="1"/>
                <c:pt idx="0">
                  <c:v>C-2 - DBM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14_08'!$H$122:$M$122</c:f>
              <c:numCache>
                <c:formatCode>0</c:formatCode>
                <c:ptCount val="6"/>
                <c:pt idx="0">
                  <c:v>1799.340033168819</c:v>
                </c:pt>
                <c:pt idx="1">
                  <c:v>1801.2145532526092</c:v>
                </c:pt>
                <c:pt idx="2">
                  <c:v>1801.2370259429565</c:v>
                </c:pt>
                <c:pt idx="3">
                  <c:v>1801.0824527449229</c:v>
                </c:pt>
                <c:pt idx="4">
                  <c:v>1801.0940506893141</c:v>
                </c:pt>
                <c:pt idx="5">
                  <c:v>1801.1503876695172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8-41F2-B2DA-8F519CA9F053}"/>
            </c:ext>
          </c:extLst>
        </c:ser>
        <c:ser>
          <c:idx val="3"/>
          <c:order val="3"/>
          <c:tx>
            <c:strRef>
              <c:f>'Avaliação Forecast 14_08'!$G$123</c:f>
              <c:strCache>
                <c:ptCount val="1"/>
                <c:pt idx="0">
                  <c:v>P-1 - DBM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14_08'!$H$123:$M$123</c:f>
              <c:numCache>
                <c:formatCode>0</c:formatCode>
                <c:ptCount val="6"/>
                <c:pt idx="0">
                  <c:v>3632.0733086279074</c:v>
                </c:pt>
                <c:pt idx="1">
                  <c:v>3804.1294536994601</c:v>
                </c:pt>
                <c:pt idx="2">
                  <c:v>3987.6725057607186</c:v>
                </c:pt>
                <c:pt idx="3">
                  <c:v>4157.9747541548031</c:v>
                </c:pt>
                <c:pt idx="4">
                  <c:v>4296.7734160380742</c:v>
                </c:pt>
                <c:pt idx="5">
                  <c:v>4396.6921967177987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8-41F2-B2DA-8F519CA9F053}"/>
            </c:ext>
          </c:extLst>
        </c:ser>
        <c:ser>
          <c:idx val="4"/>
          <c:order val="4"/>
          <c:tx>
            <c:strRef>
              <c:f>'Avaliação Forecast 14_08'!$G$124</c:f>
              <c:strCache>
                <c:ptCount val="1"/>
                <c:pt idx="0">
                  <c:v>S-1 - DBM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14_08'!$H$124:$M$124</c:f>
              <c:numCache>
                <c:formatCode>0</c:formatCode>
                <c:ptCount val="6"/>
                <c:pt idx="0">
                  <c:v>1913.8426557497203</c:v>
                </c:pt>
                <c:pt idx="1">
                  <c:v>1933.4467540630451</c:v>
                </c:pt>
                <c:pt idx="2">
                  <c:v>1947.7387219349432</c:v>
                </c:pt>
                <c:pt idx="3">
                  <c:v>1953.9191511013501</c:v>
                </c:pt>
                <c:pt idx="4">
                  <c:v>1955.6346624641155</c:v>
                </c:pt>
                <c:pt idx="5">
                  <c:v>1955.9508789467902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8-41F2-B2DA-8F519CA9F053}"/>
            </c:ext>
          </c:extLst>
        </c:ser>
        <c:ser>
          <c:idx val="5"/>
          <c:order val="5"/>
          <c:tx>
            <c:strRef>
              <c:f>'Avaliação Forecast 14_08'!$G$125</c:f>
              <c:strCache>
                <c:ptCount val="1"/>
                <c:pt idx="0">
                  <c:v>S-2 - DBM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14_08'!$H$125:$M$125</c:f>
              <c:numCache>
                <c:formatCode>0</c:formatCode>
                <c:ptCount val="6"/>
                <c:pt idx="0">
                  <c:v>2165.8619449046396</c:v>
                </c:pt>
                <c:pt idx="1">
                  <c:v>2169.6920750633358</c:v>
                </c:pt>
                <c:pt idx="2">
                  <c:v>2167.6373364446231</c:v>
                </c:pt>
                <c:pt idx="3">
                  <c:v>2162.9280106900646</c:v>
                </c:pt>
                <c:pt idx="4">
                  <c:v>2158.5351969354979</c:v>
                </c:pt>
                <c:pt idx="5">
                  <c:v>2155.701940042537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08-41F2-B2DA-8F519CA9F053}"/>
            </c:ext>
          </c:extLst>
        </c:ser>
        <c:ser>
          <c:idx val="6"/>
          <c:order val="6"/>
          <c:tx>
            <c:strRef>
              <c:f>'Avaliação Forecast 14_08'!$G$129</c:f>
              <c:strCache>
                <c:ptCount val="1"/>
                <c:pt idx="0">
                  <c:v>A-1 - GBM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14_08'!$H$129:$M$129</c:f>
              <c:numCache>
                <c:formatCode>0</c:formatCode>
                <c:ptCount val="6"/>
                <c:pt idx="0">
                  <c:v>4765.422924216552</c:v>
                </c:pt>
                <c:pt idx="1">
                  <c:v>4810.6995831163549</c:v>
                </c:pt>
                <c:pt idx="2">
                  <c:v>4856.4066274836932</c:v>
                </c:pt>
                <c:pt idx="3">
                  <c:v>4902.5481507575641</c:v>
                </c:pt>
                <c:pt idx="4">
                  <c:v>4949.1282853361527</c:v>
                </c:pt>
                <c:pt idx="5">
                  <c:v>4996.1512029479172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08-41F2-B2DA-8F519CA9F053}"/>
            </c:ext>
          </c:extLst>
        </c:ser>
        <c:ser>
          <c:idx val="7"/>
          <c:order val="7"/>
          <c:tx>
            <c:strRef>
              <c:f>'Avaliação Forecast 14_08'!$G$130</c:f>
              <c:strCache>
                <c:ptCount val="1"/>
                <c:pt idx="0">
                  <c:v>C-1 - GBM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14_08'!$H$130:$M$130</c:f>
              <c:numCache>
                <c:formatCode>0</c:formatCode>
                <c:ptCount val="6"/>
                <c:pt idx="0">
                  <c:v>4320.5911690018911</c:v>
                </c:pt>
                <c:pt idx="1">
                  <c:v>4361.6395254093477</c:v>
                </c:pt>
                <c:pt idx="2">
                  <c:v>4403.0780528904425</c:v>
                </c:pt>
                <c:pt idx="3">
                  <c:v>4444.9104621605302</c:v>
                </c:pt>
                <c:pt idx="4">
                  <c:v>4487.1404992489333</c:v>
                </c:pt>
                <c:pt idx="5">
                  <c:v>4529.7719458352258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08-41F2-B2DA-8F519CA9F053}"/>
            </c:ext>
          </c:extLst>
        </c:ser>
        <c:ser>
          <c:idx val="8"/>
          <c:order val="8"/>
          <c:tx>
            <c:strRef>
              <c:f>'Avaliação Forecast 14_08'!$G$131</c:f>
              <c:strCache>
                <c:ptCount val="1"/>
                <c:pt idx="0">
                  <c:v>C-2 - GBM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14_08'!$H$131:$M$131</c:f>
              <c:numCache>
                <c:formatCode>0</c:formatCode>
                <c:ptCount val="6"/>
                <c:pt idx="0">
                  <c:v>1802.4531737644911</c:v>
                </c:pt>
                <c:pt idx="1">
                  <c:v>1819.5710571361444</c:v>
                </c:pt>
                <c:pt idx="2">
                  <c:v>1836.8515751947764</c:v>
                </c:pt>
                <c:pt idx="3">
                  <c:v>1854.2962738527049</c:v>
                </c:pt>
                <c:pt idx="4">
                  <c:v>1871.9067137251166</c:v>
                </c:pt>
                <c:pt idx="5">
                  <c:v>1889.6844702699877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08-41F2-B2DA-8F519CA9F053}"/>
            </c:ext>
          </c:extLst>
        </c:ser>
        <c:ser>
          <c:idx val="9"/>
          <c:order val="9"/>
          <c:tx>
            <c:strRef>
              <c:f>'Avaliação Forecast 14_08'!$G$132</c:f>
              <c:strCache>
                <c:ptCount val="1"/>
                <c:pt idx="0">
                  <c:v>P-1 - GBM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14_08'!$H$132:$M$132</c:f>
              <c:numCache>
                <c:formatCode>0</c:formatCode>
                <c:ptCount val="6"/>
                <c:pt idx="0">
                  <c:v>3460.6677627088993</c:v>
                </c:pt>
                <c:pt idx="1">
                  <c:v>3493.5429140478655</c:v>
                </c:pt>
                <c:pt idx="2">
                  <c:v>3526.7305109482454</c:v>
                </c:pt>
                <c:pt idx="3">
                  <c:v>3560.2335244940587</c:v>
                </c:pt>
                <c:pt idx="4">
                  <c:v>3594.054954039636</c:v>
                </c:pt>
                <c:pt idx="5">
                  <c:v>3628.197827478833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08-41F2-B2DA-8F519CA9F053}"/>
            </c:ext>
          </c:extLst>
        </c:ser>
        <c:ser>
          <c:idx val="10"/>
          <c:order val="10"/>
          <c:tx>
            <c:strRef>
              <c:f>'Avaliação Forecast 14_08'!$G$133</c:f>
              <c:strCache>
                <c:ptCount val="1"/>
                <c:pt idx="0">
                  <c:v>S-1 - GBM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14_08'!$H$133:$M$133</c:f>
              <c:numCache>
                <c:formatCode>0</c:formatCode>
                <c:ptCount val="6"/>
                <c:pt idx="0">
                  <c:v>1953.9356795168262</c:v>
                </c:pt>
                <c:pt idx="1">
                  <c:v>1972.4928026000389</c:v>
                </c:pt>
                <c:pt idx="2">
                  <c:v>1991.226241239385</c:v>
                </c:pt>
                <c:pt idx="3">
                  <c:v>2010.1376714663502</c:v>
                </c:pt>
                <c:pt idx="4">
                  <c:v>1706.8648452372968</c:v>
                </c:pt>
                <c:pt idx="5">
                  <c:v>1723.0745705946583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08-41F2-B2DA-8F519CA9F053}"/>
            </c:ext>
          </c:extLst>
        </c:ser>
        <c:ser>
          <c:idx val="11"/>
          <c:order val="11"/>
          <c:tx>
            <c:strRef>
              <c:f>'Avaliação Forecast 14_08'!$G$134</c:f>
              <c:strCache>
                <c:ptCount val="1"/>
                <c:pt idx="0">
                  <c:v>S-2 - GBM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14_08'!$H$134:$M$134</c:f>
              <c:numCache>
                <c:formatCode>0</c:formatCode>
                <c:ptCount val="6"/>
                <c:pt idx="0">
                  <c:v>2310.7448452204781</c:v>
                </c:pt>
                <c:pt idx="1">
                  <c:v>2332.6922306386309</c:v>
                </c:pt>
                <c:pt idx="2">
                  <c:v>2354.8481604947233</c:v>
                </c:pt>
                <c:pt idx="3">
                  <c:v>2377.2146173761657</c:v>
                </c:pt>
                <c:pt idx="4">
                  <c:v>2399.7936027295432</c:v>
                </c:pt>
                <c:pt idx="5">
                  <c:v>2422.5871370401196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08-41F2-B2DA-8F519CA9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91892"/>
        <c:axId val="2063208979"/>
      </c:lineChart>
      <c:catAx>
        <c:axId val="252391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3208979"/>
        <c:crosses val="autoZero"/>
        <c:auto val="1"/>
        <c:lblAlgn val="ctr"/>
        <c:lblOffset val="100"/>
        <c:noMultiLvlLbl val="1"/>
      </c:catAx>
      <c:valAx>
        <c:axId val="2063208979"/>
        <c:scaling>
          <c:orientation val="minMax"/>
          <c:max val="4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2391892"/>
        <c:crosses val="autoZero"/>
        <c:crossBetween val="between"/>
        <c:majorUnit val="200"/>
        <c:minorUnit val="18.181818181818183"/>
      </c:valAx>
    </c:plotArea>
    <c:legend>
      <c:legendPos val="r"/>
      <c:layout>
        <c:manualLayout>
          <c:xMode val="edge"/>
          <c:yMode val="edge"/>
          <c:x val="0.77545635068615759"/>
          <c:y val="0.1074103798822900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sz="1400" b="1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'Avaliação Forecast 14_08'!$G$190</c:f>
              <c:strCache>
                <c:ptCount val="1"/>
                <c:pt idx="0">
                  <c:v>A-1 - DBM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14_08'!$H$190:$M$190</c:f>
              <c:numCache>
                <c:formatCode>0</c:formatCode>
                <c:ptCount val="6"/>
                <c:pt idx="0">
                  <c:v>14769320.090703873</c:v>
                </c:pt>
                <c:pt idx="1">
                  <c:v>14696521.963537108</c:v>
                </c:pt>
                <c:pt idx="2">
                  <c:v>14673835.706757717</c:v>
                </c:pt>
                <c:pt idx="3">
                  <c:v>14669356.786615925</c:v>
                </c:pt>
                <c:pt idx="4">
                  <c:v>14668775.020321734</c:v>
                </c:pt>
                <c:pt idx="5">
                  <c:v>14668724.452488951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C-4D47-8489-49AEC9FDF4B4}"/>
            </c:ext>
          </c:extLst>
        </c:ser>
        <c:ser>
          <c:idx val="1"/>
          <c:order val="1"/>
          <c:tx>
            <c:strRef>
              <c:f>'Avaliação Forecast 14_08'!$G$191</c:f>
              <c:strCache>
                <c:ptCount val="1"/>
                <c:pt idx="0">
                  <c:v>C-1 - DBM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14_08'!$H$191:$M$191</c:f>
              <c:numCache>
                <c:formatCode>0</c:formatCode>
                <c:ptCount val="6"/>
                <c:pt idx="0">
                  <c:v>16728034.664020546</c:v>
                </c:pt>
                <c:pt idx="1">
                  <c:v>16733142.614699077</c:v>
                </c:pt>
                <c:pt idx="2">
                  <c:v>16734542.350580169</c:v>
                </c:pt>
                <c:pt idx="3">
                  <c:v>16734884.849444501</c:v>
                </c:pt>
                <c:pt idx="4">
                  <c:v>16734959.321053654</c:v>
                </c:pt>
                <c:pt idx="5">
                  <c:v>16734973.560904898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C-4D47-8489-49AEC9FDF4B4}"/>
            </c:ext>
          </c:extLst>
        </c:ser>
        <c:ser>
          <c:idx val="2"/>
          <c:order val="2"/>
          <c:tx>
            <c:strRef>
              <c:f>'Avaliação Forecast 14_08'!$G$192</c:f>
              <c:strCache>
                <c:ptCount val="1"/>
                <c:pt idx="0">
                  <c:v>C-2 - DBM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14_08'!$H$192:$M$192</c:f>
              <c:numCache>
                <c:formatCode>0</c:formatCode>
                <c:ptCount val="6"/>
                <c:pt idx="0">
                  <c:v>96997550.355952114</c:v>
                </c:pt>
                <c:pt idx="1">
                  <c:v>96865919.876551449</c:v>
                </c:pt>
                <c:pt idx="2">
                  <c:v>96864343.885627076</c:v>
                </c:pt>
                <c:pt idx="3">
                  <c:v>96875184.960653186</c:v>
                </c:pt>
                <c:pt idx="4">
                  <c:v>96874371.452434331</c:v>
                </c:pt>
                <c:pt idx="5">
                  <c:v>96870420.023584604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C-4D47-8489-49AEC9FDF4B4}"/>
            </c:ext>
          </c:extLst>
        </c:ser>
        <c:ser>
          <c:idx val="3"/>
          <c:order val="3"/>
          <c:tx>
            <c:strRef>
              <c:f>'Avaliação Forecast 14_08'!$G$193</c:f>
              <c:strCache>
                <c:ptCount val="1"/>
                <c:pt idx="0">
                  <c:v>P-1 - DBM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14_08'!$H$193:$M$193</c:f>
              <c:numCache>
                <c:formatCode>0</c:formatCode>
                <c:ptCount val="6"/>
                <c:pt idx="0">
                  <c:v>20595145.132907785</c:v>
                </c:pt>
                <c:pt idx="1">
                  <c:v>19548924.846910968</c:v>
                </c:pt>
                <c:pt idx="2">
                  <c:v>18548525.552061845</c:v>
                </c:pt>
                <c:pt idx="3">
                  <c:v>17711781.755362667</c:v>
                </c:pt>
                <c:pt idx="4">
                  <c:v>17086501.393418334</c:v>
                </c:pt>
                <c:pt idx="5">
                  <c:v>16664563.789735962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C-4D47-8489-49AEC9FDF4B4}"/>
            </c:ext>
          </c:extLst>
        </c:ser>
        <c:ser>
          <c:idx val="4"/>
          <c:order val="4"/>
          <c:tx>
            <c:strRef>
              <c:f>'Avaliação Forecast 14_08'!$G$194</c:f>
              <c:strCache>
                <c:ptCount val="1"/>
                <c:pt idx="0">
                  <c:v>S-1 - DBM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14_08'!$H$194:$M$194</c:f>
              <c:numCache>
                <c:formatCode>0</c:formatCode>
                <c:ptCount val="6"/>
                <c:pt idx="0">
                  <c:v>134306640.93840986</c:v>
                </c:pt>
                <c:pt idx="1">
                  <c:v>132554189.92069457</c:v>
                </c:pt>
                <c:pt idx="2">
                  <c:v>131304010.0039421</c:v>
                </c:pt>
                <c:pt idx="3">
                  <c:v>130770367.32431766</c:v>
                </c:pt>
                <c:pt idx="4">
                  <c:v>130622981.20580108</c:v>
                </c:pt>
                <c:pt idx="5">
                  <c:v>130595848.66892126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C-4D47-8489-49AEC9FDF4B4}"/>
            </c:ext>
          </c:extLst>
        </c:ser>
        <c:ser>
          <c:idx val="5"/>
          <c:order val="5"/>
          <c:tx>
            <c:strRef>
              <c:f>'Avaliação Forecast 14_08'!$G$195</c:f>
              <c:strCache>
                <c:ptCount val="1"/>
                <c:pt idx="0">
                  <c:v>S-2 - DBM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14_08'!$H$195:$M$195</c:f>
              <c:numCache>
                <c:formatCode>0</c:formatCode>
                <c:ptCount val="6"/>
                <c:pt idx="0">
                  <c:v>76470006.32806921</c:v>
                </c:pt>
                <c:pt idx="1">
                  <c:v>76299915.154936865</c:v>
                </c:pt>
                <c:pt idx="2">
                  <c:v>76391071.848591894</c:v>
                </c:pt>
                <c:pt idx="3">
                  <c:v>76600798.261065662</c:v>
                </c:pt>
                <c:pt idx="4">
                  <c:v>76797440.909657374</c:v>
                </c:pt>
                <c:pt idx="5">
                  <c:v>76924792.066910774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BC-4D47-8489-49AEC9FDF4B4}"/>
            </c:ext>
          </c:extLst>
        </c:ser>
        <c:ser>
          <c:idx val="6"/>
          <c:order val="6"/>
          <c:tx>
            <c:strRef>
              <c:f>'Avaliação Forecast 14_08'!$G$199</c:f>
              <c:strCache>
                <c:ptCount val="1"/>
                <c:pt idx="0">
                  <c:v>A-1 - GBM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14_08'!$H$199:$M$199</c:f>
              <c:numCache>
                <c:formatCode>0</c:formatCode>
                <c:ptCount val="6"/>
                <c:pt idx="0">
                  <c:v>15282447.298393762</c:v>
                </c:pt>
                <c:pt idx="1">
                  <c:v>15129431.785847608</c:v>
                </c:pt>
                <c:pt idx="2">
                  <c:v>14978270.381593566</c:v>
                </c:pt>
                <c:pt idx="3">
                  <c:v>14828937.494303863</c:v>
                </c:pt>
                <c:pt idx="4">
                  <c:v>14681407.910976876</c:v>
                </c:pt>
                <c:pt idx="5">
                  <c:v>14535656.79116695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BC-4D47-8489-49AEC9FDF4B4}"/>
            </c:ext>
          </c:extLst>
        </c:ser>
        <c:ser>
          <c:idx val="7"/>
          <c:order val="7"/>
          <c:tx>
            <c:strRef>
              <c:f>'Avaliação Forecast 14_08'!$G$200</c:f>
              <c:strCache>
                <c:ptCount val="1"/>
                <c:pt idx="0">
                  <c:v>C-1 - GBM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14_08'!$H$200:$M$200</c:f>
              <c:numCache>
                <c:formatCode>0</c:formatCode>
                <c:ptCount val="6"/>
                <c:pt idx="0">
                  <c:v>16983873.065926358</c:v>
                </c:pt>
                <c:pt idx="1">
                  <c:v>16810039.60820714</c:v>
                </c:pt>
                <c:pt idx="2">
                  <c:v>16638349.217579596</c:v>
                </c:pt>
                <c:pt idx="3">
                  <c:v>16468772.019497726</c:v>
                </c:pt>
                <c:pt idx="4">
                  <c:v>16301278.58314411</c:v>
                </c:pt>
                <c:pt idx="5">
                  <c:v>16135839.914648456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BC-4D47-8489-49AEC9FDF4B4}"/>
            </c:ext>
          </c:extLst>
        </c:ser>
        <c:ser>
          <c:idx val="8"/>
          <c:order val="8"/>
          <c:tx>
            <c:strRef>
              <c:f>'Avaliação Forecast 14_08'!$G$201</c:f>
              <c:strCache>
                <c:ptCount val="1"/>
                <c:pt idx="0">
                  <c:v>C-2 - GBM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14_08'!$H$201:$M$201</c:f>
              <c:numCache>
                <c:formatCode>0</c:formatCode>
                <c:ptCount val="6"/>
                <c:pt idx="0">
                  <c:v>96779129.15417017</c:v>
                </c:pt>
                <c:pt idx="1">
                  <c:v>95594655.151886657</c:v>
                </c:pt>
                <c:pt idx="2">
                  <c:v>94426625.684298158</c:v>
                </c:pt>
                <c:pt idx="3">
                  <c:v>93274796.963889658</c:v>
                </c:pt>
                <c:pt idx="4">
                  <c:v>92138928.925877273</c:v>
                </c:pt>
                <c:pt idx="5">
                  <c:v>91018785.170646548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BC-4D47-8489-49AEC9FDF4B4}"/>
            </c:ext>
          </c:extLst>
        </c:ser>
        <c:ser>
          <c:idx val="9"/>
          <c:order val="9"/>
          <c:tx>
            <c:strRef>
              <c:f>'Avaliação Forecast 14_08'!$G$202</c:f>
              <c:strCache>
                <c:ptCount val="1"/>
                <c:pt idx="0">
                  <c:v>P-1 - GBM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14_08'!$H$202:$M$202</c:f>
              <c:numCache>
                <c:formatCode>0</c:formatCode>
                <c:ptCount val="6"/>
                <c:pt idx="0">
                  <c:v>21760157.987761084</c:v>
                </c:pt>
                <c:pt idx="1">
                  <c:v>21526242.013498552</c:v>
                </c:pt>
                <c:pt idx="2">
                  <c:v>21295316.131180376</c:v>
                </c:pt>
                <c:pt idx="3">
                  <c:v>21067337.819140151</c:v>
                </c:pt>
                <c:pt idx="4">
                  <c:v>20842265.193158239</c:v>
                </c:pt>
                <c:pt idx="5">
                  <c:v>20620056.996681258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BC-4D47-8489-49AEC9FDF4B4}"/>
            </c:ext>
          </c:extLst>
        </c:ser>
        <c:ser>
          <c:idx val="10"/>
          <c:order val="10"/>
          <c:tx>
            <c:strRef>
              <c:f>'Avaliação Forecast 14_08'!$G$203</c:f>
              <c:strCache>
                <c:ptCount val="1"/>
                <c:pt idx="0">
                  <c:v>S-1 - GBM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14_08'!$H$203:$M$203</c:f>
              <c:numCache>
                <c:formatCode>0</c:formatCode>
                <c:ptCount val="6"/>
                <c:pt idx="0">
                  <c:v>174358594.37479442</c:v>
                </c:pt>
                <c:pt idx="1">
                  <c:v>172255253.21717006</c:v>
                </c:pt>
                <c:pt idx="2">
                  <c:v>170180870.2159262</c:v>
                </c:pt>
                <c:pt idx="3">
                  <c:v>168135017.77878791</c:v>
                </c:pt>
                <c:pt idx="4">
                  <c:v>155911374.95080322</c:v>
                </c:pt>
                <c:pt idx="5">
                  <c:v>153985039.50562501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BC-4D47-8489-49AEC9FDF4B4}"/>
            </c:ext>
          </c:extLst>
        </c:ser>
        <c:ser>
          <c:idx val="11"/>
          <c:order val="11"/>
          <c:tx>
            <c:strRef>
              <c:f>'Avaliação Forecast 14_08'!$G$204</c:f>
              <c:strCache>
                <c:ptCount val="1"/>
                <c:pt idx="0">
                  <c:v>S-2 - GBM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'Avaliação Forecast 14_08'!$H$189:$M$189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14_08'!$H$204:$M$204</c:f>
              <c:numCache>
                <c:formatCode>0</c:formatCode>
                <c:ptCount val="6"/>
                <c:pt idx="0">
                  <c:v>70512207.452577651</c:v>
                </c:pt>
                <c:pt idx="1">
                  <c:v>69688088.415308386</c:v>
                </c:pt>
                <c:pt idx="2">
                  <c:v>68875102.014380008</c:v>
                </c:pt>
                <c:pt idx="3">
                  <c:v>68073085.377748653</c:v>
                </c:pt>
                <c:pt idx="4">
                  <c:v>67281878.106235892</c:v>
                </c:pt>
                <c:pt idx="5">
                  <c:v>66501322.235383868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BC-4D47-8489-49AEC9FD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614579"/>
        <c:axId val="1795646473"/>
      </c:lineChart>
      <c:catAx>
        <c:axId val="1073614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5646473"/>
        <c:crosses val="autoZero"/>
        <c:auto val="1"/>
        <c:lblAlgn val="ctr"/>
        <c:lblOffset val="100"/>
        <c:noMultiLvlLbl val="1"/>
      </c:catAx>
      <c:valAx>
        <c:axId val="1795646473"/>
        <c:scaling>
          <c:orientation val="minMax"/>
          <c:max val="25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1">
                    <a:solidFill>
                      <a:srgbClr val="000000"/>
                    </a:solidFill>
                    <a:latin typeface="+mn-lt"/>
                  </a:rPr>
                  <a:t>$ (x10^6)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36145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en-US" sz="1400" b="1">
                <a:solidFill>
                  <a:srgbClr val="000000"/>
                </a:solidFill>
                <a:latin typeface="+mn-lt"/>
              </a:rPr>
              <a:t>Power Requirement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'Avaliação Forecast 27_08'!$G$48</c:f>
              <c:strCache>
                <c:ptCount val="1"/>
                <c:pt idx="0">
                  <c:v>A-1 - DBM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27_08'!$H$48:$M$48</c:f>
              <c:numCache>
                <c:formatCode>0</c:formatCode>
                <c:ptCount val="6"/>
                <c:pt idx="0">
                  <c:v>10223.289582507619</c:v>
                </c:pt>
                <c:pt idx="1">
                  <c:v>10144.158490233312</c:v>
                </c:pt>
                <c:pt idx="2">
                  <c:v>10119.527375757085</c:v>
                </c:pt>
                <c:pt idx="3">
                  <c:v>10114.666101999097</c:v>
                </c:pt>
                <c:pt idx="4">
                  <c:v>10114.034711018398</c:v>
                </c:pt>
                <c:pt idx="5">
                  <c:v>10113.979830173084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4-4903-9F38-7A4FB0ABD3F1}"/>
            </c:ext>
          </c:extLst>
        </c:ser>
        <c:ser>
          <c:idx val="1"/>
          <c:order val="1"/>
          <c:tx>
            <c:strRef>
              <c:f>'Avaliação Forecast 27_08'!$G$49</c:f>
              <c:strCache>
                <c:ptCount val="1"/>
                <c:pt idx="0">
                  <c:v>C-1 - DBM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27_08'!$H$49:$M$49</c:f>
              <c:numCache>
                <c:formatCode>0</c:formatCode>
                <c:ptCount val="6"/>
                <c:pt idx="0">
                  <c:v>12401.828841085153</c:v>
                </c:pt>
                <c:pt idx="1">
                  <c:v>12407.627024436228</c:v>
                </c:pt>
                <c:pt idx="2">
                  <c:v>12409.21600534044</c:v>
                </c:pt>
                <c:pt idx="3">
                  <c:v>12409.604816779947</c:v>
                </c:pt>
                <c:pt idx="4">
                  <c:v>12409.68935875454</c:v>
                </c:pt>
                <c:pt idx="5">
                  <c:v>12409.705524192461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4-4903-9F38-7A4FB0ABD3F1}"/>
            </c:ext>
          </c:extLst>
        </c:ser>
        <c:ser>
          <c:idx val="2"/>
          <c:order val="2"/>
          <c:tx>
            <c:strRef>
              <c:f>'Avaliação Forecast 27_08'!$G$50</c:f>
              <c:strCache>
                <c:ptCount val="1"/>
                <c:pt idx="0">
                  <c:v>C-2 - DBM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27_08'!$H$50:$M$50</c:f>
              <c:numCache>
                <c:formatCode>0</c:formatCode>
                <c:ptCount val="6"/>
                <c:pt idx="0">
                  <c:v>108920.5545573945</c:v>
                </c:pt>
                <c:pt idx="1">
                  <c:v>108732.11878285483</c:v>
                </c:pt>
                <c:pt idx="2">
                  <c:v>108729.86288782829</c:v>
                </c:pt>
                <c:pt idx="3">
                  <c:v>108745.38105508548</c:v>
                </c:pt>
                <c:pt idx="4">
                  <c:v>108744.21657204963</c:v>
                </c:pt>
                <c:pt idx="5">
                  <c:v>108738.56038329269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4-4903-9F38-7A4FB0ABD3F1}"/>
            </c:ext>
          </c:extLst>
        </c:ser>
        <c:ser>
          <c:idx val="3"/>
          <c:order val="3"/>
          <c:tx>
            <c:strRef>
              <c:f>'Avaliação Forecast 27_08'!$G$51</c:f>
              <c:strCache>
                <c:ptCount val="1"/>
                <c:pt idx="0">
                  <c:v>P-1 - DBM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27_08'!$H$51:$M$51</c:f>
              <c:numCache>
                <c:formatCode>0</c:formatCode>
                <c:ptCount val="6"/>
                <c:pt idx="0">
                  <c:v>16938.955972901796</c:v>
                </c:pt>
                <c:pt idx="1">
                  <c:v>15684.499726387498</c:v>
                </c:pt>
                <c:pt idx="2">
                  <c:v>14502.775246779116</c:v>
                </c:pt>
                <c:pt idx="3">
                  <c:v>13528.783200466161</c:v>
                </c:pt>
                <c:pt idx="4">
                  <c:v>12810.111183168967</c:v>
                </c:pt>
                <c:pt idx="5">
                  <c:v>12329.829090928824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4-4903-9F38-7A4FB0ABD3F1}"/>
            </c:ext>
          </c:extLst>
        </c:ser>
        <c:ser>
          <c:idx val="4"/>
          <c:order val="4"/>
          <c:tx>
            <c:strRef>
              <c:f>'Avaliação Forecast 27_08'!$G$52</c:f>
              <c:strCache>
                <c:ptCount val="1"/>
                <c:pt idx="0">
                  <c:v>S-1 - DBM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27_08'!$H$52:$M$52</c:f>
              <c:numCache>
                <c:formatCode>0</c:formatCode>
                <c:ptCount val="6"/>
                <c:pt idx="0">
                  <c:v>147450.51694180479</c:v>
                </c:pt>
                <c:pt idx="1">
                  <c:v>144972.72792969682</c:v>
                </c:pt>
                <c:pt idx="2">
                  <c:v>143208.09354029314</c:v>
                </c:pt>
                <c:pt idx="3">
                  <c:v>142455.62481749072</c:v>
                </c:pt>
                <c:pt idx="4">
                  <c:v>142247.88326460228</c:v>
                </c:pt>
                <c:pt idx="5">
                  <c:v>142209.64367626424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4-4903-9F38-7A4FB0ABD3F1}"/>
            </c:ext>
          </c:extLst>
        </c:ser>
        <c:ser>
          <c:idx val="5"/>
          <c:order val="5"/>
          <c:tx>
            <c:strRef>
              <c:f>'Avaliação Forecast 27_08'!$G$53</c:f>
              <c:strCache>
                <c:ptCount val="1"/>
                <c:pt idx="0">
                  <c:v>S-2 - DBM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27_08'!$H$53:$M$53</c:f>
              <c:numCache>
                <c:formatCode>0</c:formatCode>
                <c:ptCount val="6"/>
                <c:pt idx="0">
                  <c:v>80023.657270788957</c:v>
                </c:pt>
                <c:pt idx="1">
                  <c:v>79788.896633504162</c:v>
                </c:pt>
                <c:pt idx="2">
                  <c:v>79914.700618971969</c:v>
                </c:pt>
                <c:pt idx="3">
                  <c:v>80204.236503703825</c:v>
                </c:pt>
                <c:pt idx="4">
                  <c:v>80475.830368884781</c:v>
                </c:pt>
                <c:pt idx="5">
                  <c:v>80651.78404951829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44-4903-9F38-7A4FB0ABD3F1}"/>
            </c:ext>
          </c:extLst>
        </c:ser>
        <c:ser>
          <c:idx val="6"/>
          <c:order val="6"/>
          <c:tx>
            <c:strRef>
              <c:f>'Avaliação Forecast 27_08'!$G$57</c:f>
              <c:strCache>
                <c:ptCount val="1"/>
                <c:pt idx="0">
                  <c:v>A-1 - GBM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27_08'!$H$57:$M$57</c:f>
              <c:numCache>
                <c:formatCode>0</c:formatCode>
                <c:ptCount val="6"/>
                <c:pt idx="0">
                  <c:v>10784.961306824334</c:v>
                </c:pt>
                <c:pt idx="1">
                  <c:v>10616.76383319874</c:v>
                </c:pt>
                <c:pt idx="2">
                  <c:v>10451.189492779577</c:v>
                </c:pt>
                <c:pt idx="3">
                  <c:v>10288.197376344664</c:v>
                </c:pt>
                <c:pt idx="4">
                  <c:v>10127.747212673914</c:v>
                </c:pt>
                <c:pt idx="5">
                  <c:v>9969.7993585993208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44-4903-9F38-7A4FB0ABD3F1}"/>
            </c:ext>
          </c:extLst>
        </c:ser>
        <c:ser>
          <c:idx val="7"/>
          <c:order val="7"/>
          <c:tx>
            <c:strRef>
              <c:f>'Avaliação Forecast 27_08'!$G$58</c:f>
              <c:strCache>
                <c:ptCount val="1"/>
                <c:pt idx="0">
                  <c:v>C-1 - GBM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27_08'!$H$58:$M$58</c:f>
              <c:numCache>
                <c:formatCode>0</c:formatCode>
                <c:ptCount val="6"/>
                <c:pt idx="0">
                  <c:v>12692.937537584059</c:v>
                </c:pt>
                <c:pt idx="1">
                  <c:v>12494.984112813016</c:v>
                </c:pt>
                <c:pt idx="2">
                  <c:v>12300.117881866285</c:v>
                </c:pt>
                <c:pt idx="3">
                  <c:v>12108.29069823811</c:v>
                </c:pt>
                <c:pt idx="4">
                  <c:v>11919.455166294259</c:v>
                </c:pt>
                <c:pt idx="5">
                  <c:v>11733.564629561815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44-4903-9F38-7A4FB0ABD3F1}"/>
            </c:ext>
          </c:extLst>
        </c:ser>
        <c:ser>
          <c:idx val="8"/>
          <c:order val="8"/>
          <c:tx>
            <c:strRef>
              <c:f>'Avaliação Forecast 27_08'!$G$59</c:f>
              <c:strCache>
                <c:ptCount val="1"/>
                <c:pt idx="0">
                  <c:v>C-2 - GBM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27_08'!$H$59:$M$59</c:f>
              <c:numCache>
                <c:formatCode>0</c:formatCode>
                <c:ptCount val="6"/>
                <c:pt idx="0">
                  <c:v>108607.89299657509</c:v>
                </c:pt>
                <c:pt idx="1">
                  <c:v>106914.09246283892</c:v>
                </c:pt>
                <c:pt idx="2">
                  <c:v>105246.70769106003</c:v>
                </c:pt>
                <c:pt idx="3">
                  <c:v>103605.3267127299</c:v>
                </c:pt>
                <c:pt idx="4">
                  <c:v>101989.54398421801</c:v>
                </c:pt>
                <c:pt idx="5">
                  <c:v>100398.96028657249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44-4903-9F38-7A4FB0ABD3F1}"/>
            </c:ext>
          </c:extLst>
        </c:ser>
        <c:ser>
          <c:idx val="9"/>
          <c:order val="9"/>
          <c:tx>
            <c:strRef>
              <c:f>'Avaliação Forecast 27_08'!$G$60</c:f>
              <c:strCache>
                <c:ptCount val="1"/>
                <c:pt idx="0">
                  <c:v>P-1 - GBM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27_08'!$H$60:$M$60</c:f>
              <c:numCache>
                <c:formatCode>0</c:formatCode>
                <c:ptCount val="6"/>
                <c:pt idx="0">
                  <c:v>18356.488246969715</c:v>
                </c:pt>
                <c:pt idx="1">
                  <c:v>18070.208597007084</c:v>
                </c:pt>
                <c:pt idx="2">
                  <c:v>17788.393637505927</c:v>
                </c:pt>
                <c:pt idx="3">
                  <c:v>17510.973739133835</c:v>
                </c:pt>
                <c:pt idx="4">
                  <c:v>17237.880358466558</c:v>
                </c:pt>
                <c:pt idx="5">
                  <c:v>16969.046021052683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44-4903-9F38-7A4FB0ABD3F1}"/>
            </c:ext>
          </c:extLst>
        </c:ser>
        <c:ser>
          <c:idx val="10"/>
          <c:order val="10"/>
          <c:tx>
            <c:strRef>
              <c:f>'Avaliação Forecast 27_08'!$G$61</c:f>
              <c:strCache>
                <c:ptCount val="1"/>
                <c:pt idx="0">
                  <c:v>S-1 - GBM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27_08'!$H$61:$M$61</c:f>
              <c:numCache>
                <c:formatCode>0</c:formatCode>
                <c:ptCount val="6"/>
                <c:pt idx="0">
                  <c:v>189938.16129976141</c:v>
                </c:pt>
                <c:pt idx="1">
                  <c:v>186975.96996992358</c:v>
                </c:pt>
                <c:pt idx="2">
                  <c:v>184059.97566239309</c:v>
                </c:pt>
                <c:pt idx="3">
                  <c:v>181189.4579088974</c:v>
                </c:pt>
                <c:pt idx="4">
                  <c:v>178363.70747726772</c:v>
                </c:pt>
                <c:pt idx="5">
                  <c:v>175582.02619620576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44-4903-9F38-7A4FB0ABD3F1}"/>
            </c:ext>
          </c:extLst>
        </c:ser>
        <c:ser>
          <c:idx val="11"/>
          <c:order val="11"/>
          <c:tx>
            <c:strRef>
              <c:f>'Avaliação Forecast 27_08'!$G$62</c:f>
              <c:strCache>
                <c:ptCount val="1"/>
                <c:pt idx="0">
                  <c:v>S-2 - GBM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27_08'!$H$62:$M$62</c:f>
              <c:numCache>
                <c:formatCode>0</c:formatCode>
                <c:ptCount val="6"/>
                <c:pt idx="0">
                  <c:v>71855.238626226492</c:v>
                </c:pt>
                <c:pt idx="1">
                  <c:v>70734.616190979708</c:v>
                </c:pt>
                <c:pt idx="2">
                  <c:v>69631.470486259263</c:v>
                </c:pt>
                <c:pt idx="3">
                  <c:v>68545.528952726541</c:v>
                </c:pt>
                <c:pt idx="4">
                  <c:v>67476.523281757312</c:v>
                </c:pt>
                <c:pt idx="5">
                  <c:v>66424.189349149805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44-4903-9F38-7A4FB0AB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733672"/>
        <c:axId val="436532480"/>
      </c:lineChart>
      <c:catAx>
        <c:axId val="150673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6532480"/>
        <c:crosses val="autoZero"/>
        <c:auto val="1"/>
        <c:lblAlgn val="ctr"/>
        <c:lblOffset val="100"/>
        <c:noMultiLvlLbl val="1"/>
      </c:catAx>
      <c:valAx>
        <c:axId val="436532480"/>
        <c:scaling>
          <c:orientation val="minMax"/>
          <c:max val="3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67336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en-US" sz="1400" b="1">
                <a:solidFill>
                  <a:srgbClr val="000000"/>
                </a:solidFill>
                <a:latin typeface="+mn-lt"/>
              </a:rPr>
              <a:t>Capital Cost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'Avaliação Forecast 27_08'!$G$120</c:f>
              <c:strCache>
                <c:ptCount val="1"/>
                <c:pt idx="0">
                  <c:v>A-1 - DBM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27_08'!$H$120:$M$120</c:f>
              <c:numCache>
                <c:formatCode>0</c:formatCode>
                <c:ptCount val="6"/>
                <c:pt idx="0">
                  <c:v>3990.8876748225498</c:v>
                </c:pt>
                <c:pt idx="1">
                  <c:v>4139.0973846188281</c:v>
                </c:pt>
                <c:pt idx="2">
                  <c:v>4279.0439752211923</c:v>
                </c:pt>
                <c:pt idx="3">
                  <c:v>4418.5341957965038</c:v>
                </c:pt>
                <c:pt idx="4">
                  <c:v>4561.4241545343893</c:v>
                </c:pt>
                <c:pt idx="5">
                  <c:v>4708.7735263583654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F-4C57-A1FC-5077344709DC}"/>
            </c:ext>
          </c:extLst>
        </c:ser>
        <c:ser>
          <c:idx val="1"/>
          <c:order val="1"/>
          <c:tx>
            <c:strRef>
              <c:f>'Avaliação Forecast 27_08'!$G$121</c:f>
              <c:strCache>
                <c:ptCount val="1"/>
                <c:pt idx="0">
                  <c:v>C-1 - DBM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27_08'!$H$121:$M$121</c:f>
              <c:numCache>
                <c:formatCode>0</c:formatCode>
                <c:ptCount val="6"/>
                <c:pt idx="0">
                  <c:v>3553.030324768612</c:v>
                </c:pt>
                <c:pt idx="1">
                  <c:v>3666.7620149213822</c:v>
                </c:pt>
                <c:pt idx="2">
                  <c:v>3784.9068438299732</c:v>
                </c:pt>
                <c:pt idx="3">
                  <c:v>3907.0856913231278</c:v>
                </c:pt>
                <c:pt idx="4">
                  <c:v>4033.2680296115718</c:v>
                </c:pt>
                <c:pt idx="5">
                  <c:v>4163.5393242541249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F-4C57-A1FC-5077344709DC}"/>
            </c:ext>
          </c:extLst>
        </c:ser>
        <c:ser>
          <c:idx val="2"/>
          <c:order val="2"/>
          <c:tx>
            <c:strRef>
              <c:f>'Avaliação Forecast 27_08'!$G$122</c:f>
              <c:strCache>
                <c:ptCount val="1"/>
                <c:pt idx="0">
                  <c:v>C-2 - DBM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27_08'!$H$122:$M$122</c:f>
              <c:numCache>
                <c:formatCode>0</c:formatCode>
                <c:ptCount val="6"/>
                <c:pt idx="0">
                  <c:v>1459.1746785496396</c:v>
                </c:pt>
                <c:pt idx="1">
                  <c:v>1507.8752631868415</c:v>
                </c:pt>
                <c:pt idx="2">
                  <c:v>1556.5990547126976</c:v>
                </c:pt>
                <c:pt idx="3">
                  <c:v>1606.7393099745912</c:v>
                </c:pt>
                <c:pt idx="4">
                  <c:v>1658.6476703635724</c:v>
                </c:pt>
                <c:pt idx="5">
                  <c:v>1712.2755472397339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F-4C57-A1FC-5077344709DC}"/>
            </c:ext>
          </c:extLst>
        </c:ser>
        <c:ser>
          <c:idx val="3"/>
          <c:order val="3"/>
          <c:tx>
            <c:strRef>
              <c:f>'Avaliação Forecast 27_08'!$G$123</c:f>
              <c:strCache>
                <c:ptCount val="1"/>
                <c:pt idx="0">
                  <c:v>P-1 - DBM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27_08'!$H$123:$M$123</c:f>
              <c:numCache>
                <c:formatCode>0</c:formatCode>
                <c:ptCount val="6"/>
                <c:pt idx="0">
                  <c:v>2945.4296046825116</c:v>
                </c:pt>
                <c:pt idx="1">
                  <c:v>3184.6026842474821</c:v>
                </c:pt>
                <c:pt idx="2">
                  <c:v>3446.080201311343</c:v>
                </c:pt>
                <c:pt idx="3">
                  <c:v>3709.3146275456047</c:v>
                </c:pt>
                <c:pt idx="4">
                  <c:v>3956.9467312737506</c:v>
                </c:pt>
                <c:pt idx="5">
                  <c:v>4179.7445614302424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F-4C57-A1FC-5077344709DC}"/>
            </c:ext>
          </c:extLst>
        </c:ser>
        <c:ser>
          <c:idx val="4"/>
          <c:order val="4"/>
          <c:tx>
            <c:strRef>
              <c:f>'Avaliação Forecast 27_08'!$G$124</c:f>
              <c:strCache>
                <c:ptCount val="1"/>
                <c:pt idx="0">
                  <c:v>S-1 - DBM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27_08'!$H$124:$M$124</c:f>
              <c:numCache>
                <c:formatCode>0</c:formatCode>
                <c:ptCount val="6"/>
                <c:pt idx="0">
                  <c:v>1552.0305726094932</c:v>
                </c:pt>
                <c:pt idx="1">
                  <c:v>1618.5726058430819</c:v>
                </c:pt>
                <c:pt idx="2">
                  <c:v>1683.2033817448664</c:v>
                </c:pt>
                <c:pt idx="3">
                  <c:v>1743.0843900578175</c:v>
                </c:pt>
                <c:pt idx="4">
                  <c:v>1800.9658494718394</c:v>
                </c:pt>
                <c:pt idx="5">
                  <c:v>1859.4376597037194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9F-4C57-A1FC-5077344709DC}"/>
            </c:ext>
          </c:extLst>
        </c:ser>
        <c:ser>
          <c:idx val="5"/>
          <c:order val="5"/>
          <c:tx>
            <c:strRef>
              <c:f>'Avaliação Forecast 27_08'!$G$125</c:f>
              <c:strCache>
                <c:ptCount val="1"/>
                <c:pt idx="0">
                  <c:v>S-2 - DBM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27_08'!$H$125:$M$125</c:f>
              <c:numCache>
                <c:formatCode>0</c:formatCode>
                <c:ptCount val="6"/>
                <c:pt idx="0">
                  <c:v>1756.4055981533368</c:v>
                </c:pt>
                <c:pt idx="1">
                  <c:v>1816.3438679821209</c:v>
                </c:pt>
                <c:pt idx="2">
                  <c:v>1873.2361040065061</c:v>
                </c:pt>
                <c:pt idx="3">
                  <c:v>1929.5404572535974</c:v>
                </c:pt>
                <c:pt idx="4">
                  <c:v>1987.8192226689143</c:v>
                </c:pt>
                <c:pt idx="5">
                  <c:v>2049.3323291277334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9F-4C57-A1FC-5077344709DC}"/>
            </c:ext>
          </c:extLst>
        </c:ser>
        <c:ser>
          <c:idx val="6"/>
          <c:order val="6"/>
          <c:tx>
            <c:strRef>
              <c:f>'Avaliação Forecast 27_08'!$G$129</c:f>
              <c:strCache>
                <c:ptCount val="1"/>
                <c:pt idx="0">
                  <c:v>A-1 - GBM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27_08'!$H$129:$M$129</c:f>
              <c:numCache>
                <c:formatCode>0</c:formatCode>
                <c:ptCount val="6"/>
                <c:pt idx="0">
                  <c:v>3864.5193990103185</c:v>
                </c:pt>
                <c:pt idx="1">
                  <c:v>4027.2464415221061</c:v>
                </c:pt>
                <c:pt idx="2">
                  <c:v>4196.8257684932787</c:v>
                </c:pt>
                <c:pt idx="3">
                  <c:v>4373.5459311484437</c:v>
                </c:pt>
                <c:pt idx="4">
                  <c:v>4557.7076320148735</c:v>
                </c:pt>
                <c:pt idx="5">
                  <c:v>4749.6242366463457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9F-4C57-A1FC-5077344709DC}"/>
            </c:ext>
          </c:extLst>
        </c:ser>
        <c:ser>
          <c:idx val="7"/>
          <c:order val="7"/>
          <c:tx>
            <c:strRef>
              <c:f>'Avaliação Forecast 27_08'!$G$130</c:f>
              <c:strCache>
                <c:ptCount val="1"/>
                <c:pt idx="0">
                  <c:v>C-1 - GBM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27_08'!$H$130:$M$130</c:f>
              <c:numCache>
                <c:formatCode>0</c:formatCode>
                <c:ptCount val="6"/>
                <c:pt idx="0">
                  <c:v>3503.7831171187195</c:v>
                </c:pt>
                <c:pt idx="1">
                  <c:v>3651.3186812900426</c:v>
                </c:pt>
                <c:pt idx="2">
                  <c:v>3805.0667603656852</c:v>
                </c:pt>
                <c:pt idx="3">
                  <c:v>3965.2889616387292</c:v>
                </c:pt>
                <c:pt idx="4">
                  <c:v>4132.2579089219998</c:v>
                </c:pt>
                <c:pt idx="5">
                  <c:v>4306.2577064771731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9F-4C57-A1FC-5077344709DC}"/>
            </c:ext>
          </c:extLst>
        </c:ser>
        <c:ser>
          <c:idx val="8"/>
          <c:order val="8"/>
          <c:tx>
            <c:strRef>
              <c:f>'Avaliação Forecast 27_08'!$G$131</c:f>
              <c:strCache>
                <c:ptCount val="1"/>
                <c:pt idx="0">
                  <c:v>C-2 - GBM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27_08'!$H$131:$M$131</c:f>
              <c:numCache>
                <c:formatCode>0</c:formatCode>
                <c:ptCount val="6"/>
                <c:pt idx="0">
                  <c:v>1461.6992797057478</c:v>
                </c:pt>
                <c:pt idx="1">
                  <c:v>1523.2422932136603</c:v>
                </c:pt>
                <c:pt idx="2">
                  <c:v>1587.3765553419553</c:v>
                </c:pt>
                <c:pt idx="3">
                  <c:v>1654.2111722857931</c:v>
                </c:pt>
                <c:pt idx="4">
                  <c:v>1723.8598443372873</c:v>
                </c:pt>
                <c:pt idx="5">
                  <c:v>1796.4410593323889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9F-4C57-A1FC-5077344709DC}"/>
            </c:ext>
          </c:extLst>
        </c:ser>
        <c:ser>
          <c:idx val="9"/>
          <c:order val="9"/>
          <c:tx>
            <c:strRef>
              <c:f>'Avaliação Forecast 27_08'!$G$132</c:f>
              <c:strCache>
                <c:ptCount val="1"/>
                <c:pt idx="0">
                  <c:v>P-1 - GBM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27_08'!$H$132:$M$132</c:f>
              <c:numCache>
                <c:formatCode>0</c:formatCode>
                <c:ptCount val="6"/>
                <c:pt idx="0">
                  <c:v>2806.4282887791892</c:v>
                </c:pt>
                <c:pt idx="1">
                  <c:v>2924.5971455548579</c:v>
                </c:pt>
                <c:pt idx="2">
                  <c:v>3047.7418021620888</c:v>
                </c:pt>
                <c:pt idx="3">
                  <c:v>3176.0717827081808</c:v>
                </c:pt>
                <c:pt idx="4">
                  <c:v>3309.8054343108861</c:v>
                </c:pt>
                <c:pt idx="5">
                  <c:v>3449.1702986437267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9F-4C57-A1FC-5077344709DC}"/>
            </c:ext>
          </c:extLst>
        </c:ser>
        <c:ser>
          <c:idx val="10"/>
          <c:order val="10"/>
          <c:tx>
            <c:strRef>
              <c:f>'Avaliação Forecast 27_08'!$G$133</c:f>
              <c:strCache>
                <c:ptCount val="1"/>
                <c:pt idx="0">
                  <c:v>S-1 - GBM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27_08'!$H$133:$M$133</c:f>
              <c:numCache>
                <c:formatCode>0</c:formatCode>
                <c:ptCount val="6"/>
                <c:pt idx="0">
                  <c:v>1584.5440075295292</c:v>
                </c:pt>
                <c:pt idx="1">
                  <c:v>1651.2597560816846</c:v>
                </c:pt>
                <c:pt idx="2">
                  <c:v>1720.7845720413832</c:v>
                </c:pt>
                <c:pt idx="3">
                  <c:v>1793.2367339893171</c:v>
                </c:pt>
                <c:pt idx="4">
                  <c:v>1571.8709403847113</c:v>
                </c:pt>
                <c:pt idx="5">
                  <c:v>1638.0522545467684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9F-4C57-A1FC-5077344709DC}"/>
            </c:ext>
          </c:extLst>
        </c:ser>
        <c:ser>
          <c:idx val="11"/>
          <c:order val="11"/>
          <c:tx>
            <c:strRef>
              <c:f>'Avaliação Forecast 27_08'!$G$134</c:f>
              <c:strCache>
                <c:ptCount val="1"/>
                <c:pt idx="0">
                  <c:v>S-2 - GBM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27_08'!$H$47:$M$47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27_08'!$H$134:$M$134</c:f>
              <c:numCache>
                <c:formatCode>0</c:formatCode>
                <c:ptCount val="6"/>
                <c:pt idx="0">
                  <c:v>1873.8983763934725</c:v>
                </c:pt>
                <c:pt idx="1">
                  <c:v>1952.798407528096</c:v>
                </c:pt>
                <c:pt idx="2">
                  <c:v>2035.0205818687771</c:v>
                </c:pt>
                <c:pt idx="3">
                  <c:v>2120.7047840387991</c:v>
                </c:pt>
                <c:pt idx="4">
                  <c:v>2209.9967888947158</c:v>
                </c:pt>
                <c:pt idx="5">
                  <c:v>2303.0485095575646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9F-4C57-A1FC-507734470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657073"/>
        <c:axId val="828047830"/>
      </c:lineChart>
      <c:catAx>
        <c:axId val="2055657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8047830"/>
        <c:crosses val="autoZero"/>
        <c:auto val="1"/>
        <c:lblAlgn val="ctr"/>
        <c:lblOffset val="100"/>
        <c:noMultiLvlLbl val="1"/>
      </c:catAx>
      <c:valAx>
        <c:axId val="828047830"/>
        <c:scaling>
          <c:orientation val="minMax"/>
          <c:max val="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5657073"/>
        <c:crosses val="autoZero"/>
        <c:crossBetween val="between"/>
        <c:majorUnit val="200"/>
        <c:minorUnit val="18.181818181818183"/>
      </c:valAx>
    </c:plotArea>
    <c:legend>
      <c:legendPos val="r"/>
      <c:layout>
        <c:manualLayout>
          <c:xMode val="edge"/>
          <c:yMode val="edge"/>
          <c:x val="0.77545635068615759"/>
          <c:y val="0.1074103798822900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en-US" sz="1400" b="1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'Avaliação Forecast 27_08'!$G$190</c:f>
              <c:strCache>
                <c:ptCount val="1"/>
                <c:pt idx="0">
                  <c:v>A-1 - DBM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27_08'!$H$190:$M$190</c:f>
              <c:numCache>
                <c:formatCode>0</c:formatCode>
                <c:ptCount val="6"/>
                <c:pt idx="0">
                  <c:v>13081052.361025821</c:v>
                </c:pt>
                <c:pt idx="1">
                  <c:v>13246666.038018573</c:v>
                </c:pt>
                <c:pt idx="2">
                  <c:v>13465876.019972581</c:v>
                </c:pt>
                <c:pt idx="3">
                  <c:v>13709841.427496536</c:v>
                </c:pt>
                <c:pt idx="4">
                  <c:v>13965507.549205925</c:v>
                </c:pt>
                <c:pt idx="5">
                  <c:v>14229957.991466384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9-4E30-8F6B-A1CFDB08DA5A}"/>
            </c:ext>
          </c:extLst>
        </c:ser>
        <c:ser>
          <c:idx val="1"/>
          <c:order val="1"/>
          <c:tx>
            <c:strRef>
              <c:f>'Avaliação Forecast 27_08'!$G$191</c:f>
              <c:strCache>
                <c:ptCount val="1"/>
                <c:pt idx="0">
                  <c:v>C-1 - DBM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27_08'!$H$191:$M$191</c:f>
              <c:numCache>
                <c:formatCode>0</c:formatCode>
                <c:ptCount val="6"/>
                <c:pt idx="0">
                  <c:v>14904702.473249849</c:v>
                </c:pt>
                <c:pt idx="1">
                  <c:v>15162148.235922173</c:v>
                </c:pt>
                <c:pt idx="2">
                  <c:v>15424320.008751204</c:v>
                </c:pt>
                <c:pt idx="3">
                  <c:v>15693927.231407752</c:v>
                </c:pt>
                <c:pt idx="4">
                  <c:v>15971978.490914796</c:v>
                </c:pt>
                <c:pt idx="5">
                  <c:v>16258950.838602614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9-4E30-8F6B-A1CFDB08DA5A}"/>
            </c:ext>
          </c:extLst>
        </c:ser>
        <c:ser>
          <c:idx val="2"/>
          <c:order val="2"/>
          <c:tx>
            <c:strRef>
              <c:f>'Avaliação Forecast 27_08'!$G$192</c:f>
              <c:strCache>
                <c:ptCount val="1"/>
                <c:pt idx="0">
                  <c:v>C-2 - DBM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27_08'!$H$192:$M$192</c:f>
              <c:numCache>
                <c:formatCode>0</c:formatCode>
                <c:ptCount val="6"/>
                <c:pt idx="0">
                  <c:v>90420998.021677881</c:v>
                </c:pt>
                <c:pt idx="1">
                  <c:v>91204485.927279532</c:v>
                </c:pt>
                <c:pt idx="2">
                  <c:v>92142940.965875566</c:v>
                </c:pt>
                <c:pt idx="3">
                  <c:v>93123914.317562729</c:v>
                </c:pt>
                <c:pt idx="4">
                  <c:v>94124857.39674598</c:v>
                </c:pt>
                <c:pt idx="5">
                  <c:v>95155038.332617879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9-4E30-8F6B-A1CFDB08DA5A}"/>
            </c:ext>
          </c:extLst>
        </c:ser>
        <c:ser>
          <c:idx val="3"/>
          <c:order val="3"/>
          <c:tx>
            <c:strRef>
              <c:f>'Avaliação Forecast 27_08'!$G$193</c:f>
              <c:strCache>
                <c:ptCount val="1"/>
                <c:pt idx="0">
                  <c:v>P-1 - DBM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27_08'!$H$193:$M$193</c:f>
              <c:numCache>
                <c:formatCode>0</c:formatCode>
                <c:ptCount val="6"/>
                <c:pt idx="0">
                  <c:v>18530637.756947063</c:v>
                </c:pt>
                <c:pt idx="1">
                  <c:v>17824163.125253197</c:v>
                </c:pt>
                <c:pt idx="2">
                  <c:v>17154335.566702276</c:v>
                </c:pt>
                <c:pt idx="3">
                  <c:v>16634387.714275522</c:v>
                </c:pt>
                <c:pt idx="4">
                  <c:v>16313805.266784467</c:v>
                </c:pt>
                <c:pt idx="5">
                  <c:v>16189764.20023809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9-4E30-8F6B-A1CFDB08DA5A}"/>
            </c:ext>
          </c:extLst>
        </c:ser>
        <c:ser>
          <c:idx val="4"/>
          <c:order val="4"/>
          <c:tx>
            <c:strRef>
              <c:f>'Avaliação Forecast 27_08'!$G$194</c:f>
              <c:strCache>
                <c:ptCount val="1"/>
                <c:pt idx="0">
                  <c:v>S-1 - DBM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27_08'!$H$194:$M$194</c:f>
              <c:numCache>
                <c:formatCode>0</c:formatCode>
                <c:ptCount val="6"/>
                <c:pt idx="0">
                  <c:v>124837126.22007972</c:v>
                </c:pt>
                <c:pt idx="1">
                  <c:v>124451640.77129175</c:v>
                </c:pt>
                <c:pt idx="2">
                  <c:v>124579670.69462104</c:v>
                </c:pt>
                <c:pt idx="3">
                  <c:v>125439226.24717543</c:v>
                </c:pt>
                <c:pt idx="4">
                  <c:v>126717748.4580031</c:v>
                </c:pt>
                <c:pt idx="5">
                  <c:v>128159641.55186863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9-4E30-8F6B-A1CFDB08DA5A}"/>
            </c:ext>
          </c:extLst>
        </c:ser>
        <c:ser>
          <c:idx val="5"/>
          <c:order val="5"/>
          <c:tx>
            <c:strRef>
              <c:f>'Avaliação Forecast 27_08'!$G$195</c:f>
              <c:strCache>
                <c:ptCount val="1"/>
                <c:pt idx="0">
                  <c:v>S-2 - DBM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27_08'!$H$195:$M$195</c:f>
              <c:numCache>
                <c:formatCode>0</c:formatCode>
                <c:ptCount val="6"/>
                <c:pt idx="0">
                  <c:v>70654006.829209045</c:v>
                </c:pt>
                <c:pt idx="1">
                  <c:v>71295610.871184289</c:v>
                </c:pt>
                <c:pt idx="2">
                  <c:v>72215031.771085545</c:v>
                </c:pt>
                <c:pt idx="3">
                  <c:v>73278234.241486698</c:v>
                </c:pt>
                <c:pt idx="4">
                  <c:v>74358855.422582656</c:v>
                </c:pt>
                <c:pt idx="5">
                  <c:v>75402037.514125347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9-4E30-8F6B-A1CFDB08DA5A}"/>
            </c:ext>
          </c:extLst>
        </c:ser>
        <c:ser>
          <c:idx val="6"/>
          <c:order val="6"/>
          <c:tx>
            <c:strRef>
              <c:f>'Avaliação Forecast 27_08'!$G$199</c:f>
              <c:strCache>
                <c:ptCount val="1"/>
                <c:pt idx="0">
                  <c:v>A-1 - GBM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27_08'!$H$199:$M$199</c:f>
              <c:numCache>
                <c:formatCode>0</c:formatCode>
                <c:ptCount val="6"/>
                <c:pt idx="0">
                  <c:v>13557820.083649533</c:v>
                </c:pt>
                <c:pt idx="1">
                  <c:v>13653033.472131243</c:v>
                </c:pt>
                <c:pt idx="2">
                  <c:v>13754691.075189916</c:v>
                </c:pt>
                <c:pt idx="3">
                  <c:v>13862897.427808169</c:v>
                </c:pt>
                <c:pt idx="4">
                  <c:v>13977760.737035155</c:v>
                </c:pt>
                <c:pt idx="5">
                  <c:v>14099392.961851273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9-4E30-8F6B-A1CFDB08DA5A}"/>
            </c:ext>
          </c:extLst>
        </c:ser>
        <c:ser>
          <c:idx val="7"/>
          <c:order val="7"/>
          <c:tx>
            <c:strRef>
              <c:f>'Avaliação Forecast 27_08'!$G$200</c:f>
              <c:strCache>
                <c:ptCount val="1"/>
                <c:pt idx="0">
                  <c:v>C-1 - GBM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27_08'!$H$200:$M$200</c:f>
              <c:numCache>
                <c:formatCode>0</c:formatCode>
                <c:ptCount val="6"/>
                <c:pt idx="0">
                  <c:v>15143607.454988442</c:v>
                </c:pt>
                <c:pt idx="1">
                  <c:v>15234647.648154102</c:v>
                </c:pt>
                <c:pt idx="2">
                  <c:v>15332728.550367936</c:v>
                </c:pt>
                <c:pt idx="3">
                  <c:v>15437959.131261569</c:v>
                </c:pt>
                <c:pt idx="4">
                  <c:v>15550452.318509815</c:v>
                </c:pt>
                <c:pt idx="5">
                  <c:v>15670325.082416983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9-4E30-8F6B-A1CFDB08DA5A}"/>
            </c:ext>
          </c:extLst>
        </c:ser>
        <c:ser>
          <c:idx val="8"/>
          <c:order val="8"/>
          <c:tx>
            <c:strRef>
              <c:f>'Avaliação Forecast 27_08'!$G$201</c:f>
              <c:strCache>
                <c:ptCount val="1"/>
                <c:pt idx="0">
                  <c:v>C-2 - GBM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27_08'!$H$201:$M$201</c:f>
              <c:numCache>
                <c:formatCode>0</c:formatCode>
                <c:ptCount val="6"/>
                <c:pt idx="0">
                  <c:v>90210109.316792727</c:v>
                </c:pt>
                <c:pt idx="1">
                  <c:v>89971149.698276877</c:v>
                </c:pt>
                <c:pt idx="2">
                  <c:v>89766110.337204009</c:v>
                </c:pt>
                <c:pt idx="3">
                  <c:v>89595242.852410987</c:v>
                </c:pt>
                <c:pt idx="4">
                  <c:v>89458815.122132123</c:v>
                </c:pt>
                <c:pt idx="5">
                  <c:v>89357111.552318275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9-4E30-8F6B-A1CFDB08DA5A}"/>
            </c:ext>
          </c:extLst>
        </c:ser>
        <c:ser>
          <c:idx val="9"/>
          <c:order val="9"/>
          <c:tx>
            <c:strRef>
              <c:f>'Avaliação Forecast 27_08'!$G$202</c:f>
              <c:strCache>
                <c:ptCount val="1"/>
                <c:pt idx="0">
                  <c:v>P-1 - GBM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27_08'!$H$202:$M$202</c:f>
              <c:numCache>
                <c:formatCode>0</c:formatCode>
                <c:ptCount val="6"/>
                <c:pt idx="0">
                  <c:v>19628464.777294829</c:v>
                </c:pt>
                <c:pt idx="1">
                  <c:v>19701370.066221617</c:v>
                </c:pt>
                <c:pt idx="2">
                  <c:v>19782938.084464304</c:v>
                </c:pt>
                <c:pt idx="3">
                  <c:v>19873287.123611499</c:v>
                </c:pt>
                <c:pt idx="4">
                  <c:v>19972540.182844389</c:v>
                </c:pt>
                <c:pt idx="5">
                  <c:v>20080825.064969964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B9-4E30-8F6B-A1CFDB08DA5A}"/>
            </c:ext>
          </c:extLst>
        </c:ser>
        <c:ser>
          <c:idx val="10"/>
          <c:order val="10"/>
          <c:tx>
            <c:strRef>
              <c:f>'Avaliação Forecast 27_08'!$G$203</c:f>
              <c:strCache>
                <c:ptCount val="1"/>
                <c:pt idx="0">
                  <c:v>S-1 - GBM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27_08'!$H$203:$M$203</c:f>
              <c:numCache>
                <c:formatCode>0</c:formatCode>
                <c:ptCount val="6"/>
                <c:pt idx="0">
                  <c:v>161904914.8164281</c:v>
                </c:pt>
                <c:pt idx="1">
                  <c:v>161594095.48566863</c:v>
                </c:pt>
                <c:pt idx="2">
                  <c:v>161345366.26443028</c:v>
                </c:pt>
                <c:pt idx="3">
                  <c:v>161159238.79634023</c:v>
                </c:pt>
                <c:pt idx="4">
                  <c:v>151637527.58005276</c:v>
                </c:pt>
                <c:pt idx="5">
                  <c:v>151335250.18768907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B9-4E30-8F6B-A1CFDB08DA5A}"/>
            </c:ext>
          </c:extLst>
        </c:ser>
        <c:ser>
          <c:idx val="11"/>
          <c:order val="11"/>
          <c:tx>
            <c:strRef>
              <c:f>'Avaliação Forecast 27_08'!$G$204</c:f>
              <c:strCache>
                <c:ptCount val="1"/>
                <c:pt idx="0">
                  <c:v>S-2 - GBM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27_08'!$H$204:$M$204</c:f>
              <c:numCache>
                <c:formatCode>0</c:formatCode>
                <c:ptCount val="6"/>
                <c:pt idx="0">
                  <c:v>64940534.413823128</c:v>
                </c:pt>
                <c:pt idx="1">
                  <c:v>64918371.645947427</c:v>
                </c:pt>
                <c:pt idx="2">
                  <c:v>64922165.5475633</c:v>
                </c:pt>
                <c:pt idx="3">
                  <c:v>64952173.485884473</c:v>
                </c:pt>
                <c:pt idx="4">
                  <c:v>65008665.93609947</c:v>
                </c:pt>
                <c:pt idx="5">
                  <c:v>65091926.719690993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B9-4E30-8F6B-A1CFDB08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652891"/>
        <c:axId val="1488866531"/>
      </c:lineChart>
      <c:catAx>
        <c:axId val="1171652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8866531"/>
        <c:crosses val="autoZero"/>
        <c:auto val="1"/>
        <c:lblAlgn val="ctr"/>
        <c:lblOffset val="100"/>
        <c:noMultiLvlLbl val="1"/>
      </c:catAx>
      <c:valAx>
        <c:axId val="1488866531"/>
        <c:scaling>
          <c:orientation val="minMax"/>
          <c:max val="25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$ (x10^6)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16528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en-US" sz="1400" b="1">
                <a:solidFill>
                  <a:srgbClr val="000000"/>
                </a:solidFill>
                <a:latin typeface="+mn-lt"/>
              </a:rPr>
              <a:t>Annual Cost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'Avaliação Forecast 27_08'!$G$204</c:f>
              <c:strCache>
                <c:ptCount val="1"/>
                <c:pt idx="0">
                  <c:v>S-2 - GBM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27_08'!$H$204:$M$204</c:f>
              <c:numCache>
                <c:formatCode>0</c:formatCode>
                <c:ptCount val="6"/>
                <c:pt idx="0">
                  <c:v>64940534.413823128</c:v>
                </c:pt>
                <c:pt idx="1">
                  <c:v>64918371.645947427</c:v>
                </c:pt>
                <c:pt idx="2">
                  <c:v>64922165.5475633</c:v>
                </c:pt>
                <c:pt idx="3">
                  <c:v>64952173.485884473</c:v>
                </c:pt>
                <c:pt idx="4">
                  <c:v>65008665.93609947</c:v>
                </c:pt>
                <c:pt idx="5">
                  <c:v>65091926.719690993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B-4D96-95AD-A0789D180612}"/>
            </c:ext>
          </c:extLst>
        </c:ser>
        <c:ser>
          <c:idx val="1"/>
          <c:order val="1"/>
          <c:tx>
            <c:strRef>
              <c:f>'Avaliação Forecast 27_08'!$O$192</c:f>
              <c:strCache>
                <c:ptCount val="1"/>
                <c:pt idx="0">
                  <c:v>C-1 - DBM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27_08'!$P$192:$U$192</c:f>
              <c:numCache>
                <c:formatCode>0</c:formatCode>
                <c:ptCount val="6"/>
                <c:pt idx="0">
                  <c:v>1490470.247324985</c:v>
                </c:pt>
                <c:pt idx="1">
                  <c:v>1516214.8235922172</c:v>
                </c:pt>
                <c:pt idx="2">
                  <c:v>1542432.0008751205</c:v>
                </c:pt>
                <c:pt idx="3">
                  <c:v>1569392.7231407752</c:v>
                </c:pt>
                <c:pt idx="4">
                  <c:v>1597197.8490914796</c:v>
                </c:pt>
                <c:pt idx="5">
                  <c:v>1625895.0838602614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B-4D96-95AD-A0789D180612}"/>
            </c:ext>
          </c:extLst>
        </c:ser>
        <c:ser>
          <c:idx val="2"/>
          <c:order val="2"/>
          <c:tx>
            <c:strRef>
              <c:f>'Avaliação Forecast 27_08'!$O$193</c:f>
              <c:strCache>
                <c:ptCount val="1"/>
                <c:pt idx="0">
                  <c:v>C-2 - DBM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27_08'!$P$193:$U$193</c:f>
              <c:numCache>
                <c:formatCode>0</c:formatCode>
                <c:ptCount val="6"/>
                <c:pt idx="0">
                  <c:v>9042099.8021677881</c:v>
                </c:pt>
                <c:pt idx="1">
                  <c:v>9120448.5927279536</c:v>
                </c:pt>
                <c:pt idx="2">
                  <c:v>9214294.0965875573</c:v>
                </c:pt>
                <c:pt idx="3">
                  <c:v>9312391.4317562729</c:v>
                </c:pt>
                <c:pt idx="4">
                  <c:v>9412485.739674598</c:v>
                </c:pt>
                <c:pt idx="5">
                  <c:v>9515503.8332617879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B-4D96-95AD-A0789D180612}"/>
            </c:ext>
          </c:extLst>
        </c:ser>
        <c:ser>
          <c:idx val="3"/>
          <c:order val="3"/>
          <c:tx>
            <c:strRef>
              <c:f>'Avaliação Forecast 27_08'!$O$194</c:f>
              <c:strCache>
                <c:ptCount val="1"/>
                <c:pt idx="0">
                  <c:v>P-1 - DBM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27_08'!$P$194:$U$194</c:f>
              <c:numCache>
                <c:formatCode>0</c:formatCode>
                <c:ptCount val="6"/>
                <c:pt idx="0">
                  <c:v>1853063.7756947062</c:v>
                </c:pt>
                <c:pt idx="1">
                  <c:v>1782416.3125253196</c:v>
                </c:pt>
                <c:pt idx="2">
                  <c:v>1715433.5566702276</c:v>
                </c:pt>
                <c:pt idx="3">
                  <c:v>1663438.7714275522</c:v>
                </c:pt>
                <c:pt idx="4">
                  <c:v>1631380.5266784467</c:v>
                </c:pt>
                <c:pt idx="5">
                  <c:v>1618976.420023809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B-4D96-95AD-A0789D180612}"/>
            </c:ext>
          </c:extLst>
        </c:ser>
        <c:ser>
          <c:idx val="4"/>
          <c:order val="4"/>
          <c:tx>
            <c:strRef>
              <c:f>'Avaliação Forecast 27_08'!$O$195</c:f>
              <c:strCache>
                <c:ptCount val="1"/>
                <c:pt idx="0">
                  <c:v>S-1 - DBM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27_08'!$P$195:$U$195</c:f>
              <c:numCache>
                <c:formatCode>0</c:formatCode>
                <c:ptCount val="6"/>
                <c:pt idx="0">
                  <c:v>12483712.622007972</c:v>
                </c:pt>
                <c:pt idx="1">
                  <c:v>12445164.077129174</c:v>
                </c:pt>
                <c:pt idx="2">
                  <c:v>12457967.069462104</c:v>
                </c:pt>
                <c:pt idx="3">
                  <c:v>12543922.624717543</c:v>
                </c:pt>
                <c:pt idx="4">
                  <c:v>12671774.84580031</c:v>
                </c:pt>
                <c:pt idx="5">
                  <c:v>12815964.155186864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B-4D96-95AD-A0789D180612}"/>
            </c:ext>
          </c:extLst>
        </c:ser>
        <c:ser>
          <c:idx val="5"/>
          <c:order val="5"/>
          <c:tx>
            <c:strRef>
              <c:f>'Avaliação Forecast 27_08'!$O$196</c:f>
              <c:strCache>
                <c:ptCount val="1"/>
                <c:pt idx="0">
                  <c:v>S-2 - DBM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27_08'!$P$196:$U$196</c:f>
              <c:numCache>
                <c:formatCode>0</c:formatCode>
                <c:ptCount val="6"/>
                <c:pt idx="0">
                  <c:v>7065400.6829209048</c:v>
                </c:pt>
                <c:pt idx="1">
                  <c:v>7129561.0871184291</c:v>
                </c:pt>
                <c:pt idx="2">
                  <c:v>7221503.1771085542</c:v>
                </c:pt>
                <c:pt idx="3">
                  <c:v>7327823.4241486695</c:v>
                </c:pt>
                <c:pt idx="4">
                  <c:v>7435885.5422582654</c:v>
                </c:pt>
                <c:pt idx="5">
                  <c:v>7540203.7514125351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B-4D96-95AD-A0789D180612}"/>
            </c:ext>
          </c:extLst>
        </c:ser>
        <c:ser>
          <c:idx val="6"/>
          <c:order val="6"/>
          <c:tx>
            <c:strRef>
              <c:f>'Avaliação Forecast 27_08'!$O$200</c:f>
              <c:strCache>
                <c:ptCount val="1"/>
                <c:pt idx="0">
                  <c:v>A-1 - GBM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27_08'!$P$200:$U$200</c:f>
              <c:numCache>
                <c:formatCode>0</c:formatCode>
                <c:ptCount val="6"/>
                <c:pt idx="0">
                  <c:v>1355782.0083649533</c:v>
                </c:pt>
                <c:pt idx="1">
                  <c:v>1365303.3472131244</c:v>
                </c:pt>
                <c:pt idx="2">
                  <c:v>1375469.1075189917</c:v>
                </c:pt>
                <c:pt idx="3">
                  <c:v>1386289.742780817</c:v>
                </c:pt>
                <c:pt idx="4">
                  <c:v>1397776.0737035156</c:v>
                </c:pt>
                <c:pt idx="5">
                  <c:v>1409939.2961851272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9B-4D96-95AD-A0789D180612}"/>
            </c:ext>
          </c:extLst>
        </c:ser>
        <c:ser>
          <c:idx val="7"/>
          <c:order val="7"/>
          <c:tx>
            <c:strRef>
              <c:f>'Avaliação Forecast 27_08'!$O$201</c:f>
              <c:strCache>
                <c:ptCount val="1"/>
                <c:pt idx="0">
                  <c:v>C-1 - GBM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27_08'!$P$201:$U$201</c:f>
              <c:numCache>
                <c:formatCode>0</c:formatCode>
                <c:ptCount val="6"/>
                <c:pt idx="0">
                  <c:v>1514360.7454988442</c:v>
                </c:pt>
                <c:pt idx="1">
                  <c:v>1523464.7648154101</c:v>
                </c:pt>
                <c:pt idx="2">
                  <c:v>1533272.8550367937</c:v>
                </c:pt>
                <c:pt idx="3">
                  <c:v>1543795.9131261569</c:v>
                </c:pt>
                <c:pt idx="4">
                  <c:v>1555045.2318509815</c:v>
                </c:pt>
                <c:pt idx="5">
                  <c:v>1567032.5082416984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9B-4D96-95AD-A0789D180612}"/>
            </c:ext>
          </c:extLst>
        </c:ser>
        <c:ser>
          <c:idx val="8"/>
          <c:order val="8"/>
          <c:tx>
            <c:strRef>
              <c:f>'Avaliação Forecast 27_08'!$O$202</c:f>
              <c:strCache>
                <c:ptCount val="1"/>
                <c:pt idx="0">
                  <c:v>C-2 - GBM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27_08'!$P$202:$U$202</c:f>
              <c:numCache>
                <c:formatCode>0</c:formatCode>
                <c:ptCount val="6"/>
                <c:pt idx="0">
                  <c:v>9021010.931679273</c:v>
                </c:pt>
                <c:pt idx="1">
                  <c:v>8997114.9698276874</c:v>
                </c:pt>
                <c:pt idx="2">
                  <c:v>8976611.0337204002</c:v>
                </c:pt>
                <c:pt idx="3">
                  <c:v>8959524.2852410991</c:v>
                </c:pt>
                <c:pt idx="4">
                  <c:v>8945881.5122132115</c:v>
                </c:pt>
                <c:pt idx="5">
                  <c:v>8935711.1552318279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9B-4D96-95AD-A0789D180612}"/>
            </c:ext>
          </c:extLst>
        </c:ser>
        <c:ser>
          <c:idx val="9"/>
          <c:order val="9"/>
          <c:tx>
            <c:strRef>
              <c:f>'Avaliação Forecast 27_08'!$O$203</c:f>
              <c:strCache>
                <c:ptCount val="1"/>
                <c:pt idx="0">
                  <c:v>P-1 - GBM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27_08'!$P$203:$U$203</c:f>
              <c:numCache>
                <c:formatCode>0</c:formatCode>
                <c:ptCount val="6"/>
                <c:pt idx="0">
                  <c:v>1962846.477729483</c:v>
                </c:pt>
                <c:pt idx="1">
                  <c:v>1970137.0066221617</c:v>
                </c:pt>
                <c:pt idx="2">
                  <c:v>1978293.8084464304</c:v>
                </c:pt>
                <c:pt idx="3">
                  <c:v>1987328.71236115</c:v>
                </c:pt>
                <c:pt idx="4">
                  <c:v>1997254.0182844389</c:v>
                </c:pt>
                <c:pt idx="5">
                  <c:v>2008082.5064969964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9B-4D96-95AD-A0789D180612}"/>
            </c:ext>
          </c:extLst>
        </c:ser>
        <c:ser>
          <c:idx val="10"/>
          <c:order val="10"/>
          <c:tx>
            <c:strRef>
              <c:f>'Avaliação Forecast 27_08'!$O$204</c:f>
              <c:strCache>
                <c:ptCount val="1"/>
                <c:pt idx="0">
                  <c:v>S-1 - GBM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27_08'!$P$204:$U$204</c:f>
              <c:numCache>
                <c:formatCode>0</c:formatCode>
                <c:ptCount val="6"/>
                <c:pt idx="0">
                  <c:v>16190491.481642809</c:v>
                </c:pt>
                <c:pt idx="1">
                  <c:v>16159409.548566863</c:v>
                </c:pt>
                <c:pt idx="2">
                  <c:v>16134536.626443028</c:v>
                </c:pt>
                <c:pt idx="3">
                  <c:v>16115923.879634023</c:v>
                </c:pt>
                <c:pt idx="4">
                  <c:v>15163752.758005276</c:v>
                </c:pt>
                <c:pt idx="5">
                  <c:v>15133525.018768907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9B-4D96-95AD-A0789D180612}"/>
            </c:ext>
          </c:extLst>
        </c:ser>
        <c:ser>
          <c:idx val="11"/>
          <c:order val="11"/>
          <c:tx>
            <c:strRef>
              <c:f>'Avaliação Forecast 27_08'!$O$205</c:f>
              <c:strCache>
                <c:ptCount val="1"/>
                <c:pt idx="0">
                  <c:v>S-2 - GBM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'Avaliação Forecast 27_08'!$H$189:$M$189</c:f>
              <c:numCache>
                <c:formatCode>General</c:formatCode>
                <c:ptCount val="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</c:numCache>
            </c:numRef>
          </c:cat>
          <c:val>
            <c:numRef>
              <c:f>'Avaliação Forecast 27_08'!$P$205:$U$205</c:f>
              <c:numCache>
                <c:formatCode>0</c:formatCode>
                <c:ptCount val="6"/>
                <c:pt idx="0">
                  <c:v>6494053.4413823131</c:v>
                </c:pt>
                <c:pt idx="1">
                  <c:v>6491837.1645947425</c:v>
                </c:pt>
                <c:pt idx="2">
                  <c:v>6492216.5547563303</c:v>
                </c:pt>
                <c:pt idx="3">
                  <c:v>6495217.3485884471</c:v>
                </c:pt>
                <c:pt idx="4">
                  <c:v>6500866.5936099468</c:v>
                </c:pt>
                <c:pt idx="5">
                  <c:v>6509192.671969099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9B-4D96-95AD-A0789D18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372824"/>
        <c:axId val="1297395949"/>
      </c:lineChart>
      <c:catAx>
        <c:axId val="172737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7395949"/>
        <c:crosses val="autoZero"/>
        <c:auto val="1"/>
        <c:lblAlgn val="ctr"/>
        <c:lblOffset val="100"/>
        <c:noMultiLvlLbl val="1"/>
      </c:catAx>
      <c:valAx>
        <c:axId val="1297395949"/>
        <c:scaling>
          <c:orientation val="minMax"/>
          <c:max val="25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$ (x10^7)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73728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sz="1200" b="0">
                <a:solidFill>
                  <a:srgbClr val="000000"/>
                </a:solidFill>
                <a:latin typeface="+mn-lt"/>
              </a:rPr>
              <a:t>Capital Cost of Compressors e Pumps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O&amp;M compressão'!$G$3:$G$5</c:f>
              <c:strCache>
                <c:ptCount val="3"/>
                <c:pt idx="0">
                  <c:v>Capital Cost of Compression and Pumping</c:v>
                </c:pt>
                <c:pt idx="1">
                  <c:v>Power [kW]</c:v>
                </c:pt>
                <c:pt idx="2">
                  <c:v>Compressor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'Custo O&amp;M compressão'!$F$6:$F$13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compressão'!$G$6:$G$13</c:f>
              <c:numCache>
                <c:formatCode>General</c:formatCode>
                <c:ptCount val="8"/>
                <c:pt idx="0">
                  <c:v>7159</c:v>
                </c:pt>
                <c:pt idx="1">
                  <c:v>2717</c:v>
                </c:pt>
                <c:pt idx="2">
                  <c:v>1403</c:v>
                </c:pt>
                <c:pt idx="3">
                  <c:v>1565</c:v>
                </c:pt>
                <c:pt idx="4">
                  <c:v>1632</c:v>
                </c:pt>
                <c:pt idx="5">
                  <c:v>1403</c:v>
                </c:pt>
                <c:pt idx="6">
                  <c:v>1478</c:v>
                </c:pt>
                <c:pt idx="7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9-41E3-AE0F-3CAE5AE47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77990"/>
        <c:axId val="1295920727"/>
      </c:lineChart>
      <c:lineChart>
        <c:grouping val="standard"/>
        <c:varyColors val="0"/>
        <c:ser>
          <c:idx val="1"/>
          <c:order val="1"/>
          <c:tx>
            <c:strRef>
              <c:f>'Custo O&amp;M compressão'!$H$3:$H$5</c:f>
              <c:strCache>
                <c:ptCount val="3"/>
                <c:pt idx="0">
                  <c:v>Capital Cost of Compression and Pumping</c:v>
                </c:pt>
                <c:pt idx="1">
                  <c:v>Power [kW]</c:v>
                </c:pt>
                <c:pt idx="2">
                  <c:v>Pump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'Custo O&amp;M compressão'!$F$6:$F$13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compressão'!$H$6:$H$13</c:f>
              <c:numCache>
                <c:formatCode>General</c:formatCode>
                <c:ptCount val="8"/>
                <c:pt idx="0">
                  <c:v>3129</c:v>
                </c:pt>
                <c:pt idx="1">
                  <c:v>2497</c:v>
                </c:pt>
                <c:pt idx="2">
                  <c:v>2391</c:v>
                </c:pt>
                <c:pt idx="3">
                  <c:v>2370</c:v>
                </c:pt>
                <c:pt idx="4">
                  <c:v>2361</c:v>
                </c:pt>
                <c:pt idx="5">
                  <c:v>2356</c:v>
                </c:pt>
                <c:pt idx="6">
                  <c:v>2353</c:v>
                </c:pt>
                <c:pt idx="7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9-41E3-AE0F-3CAE5AE47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11187"/>
        <c:axId val="1890793753"/>
      </c:lineChart>
      <c:catAx>
        <c:axId val="2076677990"/>
        <c:scaling>
          <c:orientation val="minMax"/>
          <c:max val="7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5920727"/>
        <c:crosses val="autoZero"/>
        <c:auto val="1"/>
        <c:lblAlgn val="ctr"/>
        <c:lblOffset val="100"/>
        <c:noMultiLvlLbl val="1"/>
      </c:catAx>
      <c:valAx>
        <c:axId val="1295920727"/>
        <c:scaling>
          <c:orientation val="minMax"/>
          <c:max val="7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Compressor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6677990"/>
        <c:crosses val="autoZero"/>
        <c:crossBetween val="between"/>
      </c:valAx>
      <c:catAx>
        <c:axId val="303111187"/>
        <c:scaling>
          <c:orientation val="minMax"/>
          <c:max val="70000"/>
        </c:scaling>
        <c:delete val="1"/>
        <c:axPos val="b"/>
        <c:numFmt formatCode="General" sourceLinked="1"/>
        <c:majorTickMark val="none"/>
        <c:minorTickMark val="none"/>
        <c:tickLblPos val="nextTo"/>
        <c:crossAx val="1890793753"/>
        <c:crosses val="autoZero"/>
        <c:auto val="1"/>
        <c:lblAlgn val="ctr"/>
        <c:lblOffset val="100"/>
        <c:noMultiLvlLbl val="1"/>
      </c:catAx>
      <c:valAx>
        <c:axId val="1890793753"/>
        <c:scaling>
          <c:orientation val="minMax"/>
          <c:max val="320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Pump 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311118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sz="1200" b="0">
                <a:solidFill>
                  <a:srgbClr val="000000"/>
                </a:solidFill>
                <a:latin typeface="+mn-lt"/>
              </a:rPr>
              <a:t>Levelized Cost of CO2 Compression and Pumping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'Custo O&amp;M compressão'!$K$4</c:f>
              <c:strCache>
                <c:ptCount val="1"/>
                <c:pt idx="0">
                  <c:v>Total Lev Cost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compressão'!$K$5:$K$12</c:f>
              <c:numCache>
                <c:formatCode>0.00</c:formatCode>
                <c:ptCount val="8"/>
                <c:pt idx="0">
                  <c:v>17.680233474657534</c:v>
                </c:pt>
                <c:pt idx="1">
                  <c:v>11.777040431013699</c:v>
                </c:pt>
                <c:pt idx="2">
                  <c:v>10.036269477017841</c:v>
                </c:pt>
                <c:pt idx="3">
                  <c:v>10.249472980119457</c:v>
                </c:pt>
                <c:pt idx="4">
                  <c:v>10.336480315659076</c:v>
                </c:pt>
                <c:pt idx="5">
                  <c:v>10.033976254917386</c:v>
                </c:pt>
                <c:pt idx="6">
                  <c:v>10.133275583558332</c:v>
                </c:pt>
                <c:pt idx="7">
                  <c:v>10.200125056672896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1-4FEF-9787-38E30404EC67}"/>
            </c:ext>
          </c:extLst>
        </c:ser>
        <c:ser>
          <c:idx val="1"/>
          <c:order val="1"/>
          <c:tx>
            <c:strRef>
              <c:f>'Custo O&amp;M compressão'!$L$4</c:f>
              <c:strCache>
                <c:ptCount val="1"/>
                <c:pt idx="0">
                  <c:v>E_lev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compressão'!$L$5:$L$12</c:f>
              <c:numCache>
                <c:formatCode>0.00</c:formatCode>
                <c:ptCount val="8"/>
                <c:pt idx="0">
                  <c:v>8.0352480000000011</c:v>
                </c:pt>
                <c:pt idx="1">
                  <c:v>8.0344656000000008</c:v>
                </c:pt>
                <c:pt idx="2">
                  <c:v>8.034726400000002</c:v>
                </c:pt>
                <c:pt idx="3">
                  <c:v>8.0346220800000019</c:v>
                </c:pt>
                <c:pt idx="4">
                  <c:v>8.0346332571428576</c:v>
                </c:pt>
                <c:pt idx="5">
                  <c:v>8.0346394666666683</c:v>
                </c:pt>
                <c:pt idx="6">
                  <c:v>8.0346434181818189</c:v>
                </c:pt>
                <c:pt idx="7">
                  <c:v>8.0346762461538468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1-4FEF-9787-38E30404EC67}"/>
            </c:ext>
          </c:extLst>
        </c:ser>
        <c:ser>
          <c:idx val="2"/>
          <c:order val="2"/>
          <c:tx>
            <c:strRef>
              <c:f>'Custo O&amp;M compressão'!$N$4</c:f>
              <c:strCache>
                <c:ptCount val="1"/>
                <c:pt idx="0">
                  <c:v>O&amp;M_lev</c:v>
                </c:pt>
              </c:strCache>
            </c:strRef>
          </c:tx>
          <c:spPr>
            <a:ln w="19050"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compressão'!$N$5:$N$12</c:f>
              <c:numCache>
                <c:formatCode>0.00</c:formatCode>
                <c:ptCount val="8"/>
                <c:pt idx="0">
                  <c:v>0.45928502260273979</c:v>
                </c:pt>
                <c:pt idx="1">
                  <c:v>0.17821784909589042</c:v>
                </c:pt>
                <c:pt idx="2">
                  <c:v>9.5311575096087606E-2</c:v>
                </c:pt>
                <c:pt idx="3">
                  <c:v>0.10546909048187877</c:v>
                </c:pt>
                <c:pt idx="4">
                  <c:v>0.1096117646912485</c:v>
                </c:pt>
                <c:pt idx="5">
                  <c:v>9.5206513726224629E-2</c:v>
                </c:pt>
                <c:pt idx="6">
                  <c:v>9.9934865017929184E-2</c:v>
                </c:pt>
                <c:pt idx="7">
                  <c:v>0.10311661002471657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1-4FEF-9787-38E30404EC67}"/>
            </c:ext>
          </c:extLst>
        </c:ser>
        <c:ser>
          <c:idx val="3"/>
          <c:order val="3"/>
          <c:tx>
            <c:strRef>
              <c:f>'Custo O&amp;M compressão'!$P$4</c:f>
              <c:strCache>
                <c:ptCount val="1"/>
                <c:pt idx="0">
                  <c:v>Cap_lev</c:v>
                </c:pt>
              </c:strCache>
            </c:strRef>
          </c:tx>
          <c:spPr>
            <a:ln w="19050"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compressão'!$P$5:$P$12</c:f>
              <c:numCache>
                <c:formatCode>0.00</c:formatCode>
                <c:ptCount val="8"/>
                <c:pt idx="0">
                  <c:v>9.1857004520547942</c:v>
                </c:pt>
                <c:pt idx="1">
                  <c:v>3.564356981917808</c:v>
                </c:pt>
                <c:pt idx="2">
                  <c:v>1.9062315019217522</c:v>
                </c:pt>
                <c:pt idx="3">
                  <c:v>2.1093818096375756</c:v>
                </c:pt>
                <c:pt idx="4">
                  <c:v>2.1922352938249698</c:v>
                </c:pt>
                <c:pt idx="5">
                  <c:v>1.9041302745244926</c:v>
                </c:pt>
                <c:pt idx="6">
                  <c:v>1.9986973003585835</c:v>
                </c:pt>
                <c:pt idx="7">
                  <c:v>2.0623322004943314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1-4FEF-9787-38E30404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826089"/>
        <c:axId val="756965000"/>
      </c:lineChart>
      <c:catAx>
        <c:axId val="815826089"/>
        <c:scaling>
          <c:orientation val="minMax"/>
          <c:max val="7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6965000"/>
        <c:crosses val="autoZero"/>
        <c:auto val="1"/>
        <c:lblAlgn val="ctr"/>
        <c:lblOffset val="100"/>
        <c:noMultiLvlLbl val="1"/>
      </c:catAx>
      <c:valAx>
        <c:axId val="756965000"/>
        <c:scaling>
          <c:orientation val="minMax"/>
          <c:max val="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826089"/>
        <c:crosses val="autoZero"/>
        <c:crossBetween val="between"/>
        <c:majorUnit val="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sz="1200" b="0">
                <a:solidFill>
                  <a:srgbClr val="000000"/>
                </a:solidFill>
                <a:latin typeface="+mn-lt"/>
              </a:rPr>
              <a:t>Component Contribution to Total Levelized Cost of CO2 Compression and Pumping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'Custo O&amp;M compressão'!$L$4</c:f>
              <c:strCache>
                <c:ptCount val="1"/>
                <c:pt idx="0">
                  <c:v>E_lev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compressão'!$L$5:$L$12</c:f>
              <c:numCache>
                <c:formatCode>0.00</c:formatCode>
                <c:ptCount val="8"/>
                <c:pt idx="0">
                  <c:v>8.0352480000000011</c:v>
                </c:pt>
                <c:pt idx="1">
                  <c:v>8.0344656000000008</c:v>
                </c:pt>
                <c:pt idx="2">
                  <c:v>8.034726400000002</c:v>
                </c:pt>
                <c:pt idx="3">
                  <c:v>8.0346220800000019</c:v>
                </c:pt>
                <c:pt idx="4">
                  <c:v>8.0346332571428576</c:v>
                </c:pt>
                <c:pt idx="5">
                  <c:v>8.0346394666666683</c:v>
                </c:pt>
                <c:pt idx="6">
                  <c:v>8.0346434181818189</c:v>
                </c:pt>
                <c:pt idx="7">
                  <c:v>8.0346762461538468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BF-4B23-A077-730BDF314382}"/>
            </c:ext>
          </c:extLst>
        </c:ser>
        <c:ser>
          <c:idx val="1"/>
          <c:order val="1"/>
          <c:tx>
            <c:strRef>
              <c:f>'Custo O&amp;M compressão'!$N$4</c:f>
              <c:strCache>
                <c:ptCount val="1"/>
                <c:pt idx="0">
                  <c:v>O&amp;M_lev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CBF-4B23-A077-730BDF3143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compressão'!$N$5:$N$12</c:f>
              <c:numCache>
                <c:formatCode>0.00</c:formatCode>
                <c:ptCount val="8"/>
                <c:pt idx="0">
                  <c:v>0.45928502260273979</c:v>
                </c:pt>
                <c:pt idx="1">
                  <c:v>0.17821784909589042</c:v>
                </c:pt>
                <c:pt idx="2">
                  <c:v>9.5311575096087606E-2</c:v>
                </c:pt>
                <c:pt idx="3">
                  <c:v>0.10546909048187877</c:v>
                </c:pt>
                <c:pt idx="4">
                  <c:v>0.1096117646912485</c:v>
                </c:pt>
                <c:pt idx="5">
                  <c:v>9.5206513726224629E-2</c:v>
                </c:pt>
                <c:pt idx="6">
                  <c:v>9.9934865017929184E-2</c:v>
                </c:pt>
                <c:pt idx="7">
                  <c:v>0.10311661002471657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CBF-4B23-A077-730BDF314382}"/>
            </c:ext>
          </c:extLst>
        </c:ser>
        <c:ser>
          <c:idx val="2"/>
          <c:order val="2"/>
          <c:tx>
            <c:strRef>
              <c:f>'Custo O&amp;M compressão'!$P$4</c:f>
              <c:strCache>
                <c:ptCount val="1"/>
                <c:pt idx="0">
                  <c:v>Cap_lev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8CBF-4B23-A077-730BDF3143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compressão'!$P$5:$P$12</c:f>
              <c:numCache>
                <c:formatCode>0.00</c:formatCode>
                <c:ptCount val="8"/>
                <c:pt idx="0">
                  <c:v>9.1857004520547942</c:v>
                </c:pt>
                <c:pt idx="1">
                  <c:v>3.564356981917808</c:v>
                </c:pt>
                <c:pt idx="2">
                  <c:v>1.9062315019217522</c:v>
                </c:pt>
                <c:pt idx="3">
                  <c:v>2.1093818096375756</c:v>
                </c:pt>
                <c:pt idx="4">
                  <c:v>2.1922352938249698</c:v>
                </c:pt>
                <c:pt idx="5">
                  <c:v>1.9041302745244926</c:v>
                </c:pt>
                <c:pt idx="6">
                  <c:v>1.9986973003585835</c:v>
                </c:pt>
                <c:pt idx="7">
                  <c:v>2.0623322004943314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CBF-4B23-A077-730BDF31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390246"/>
        <c:axId val="40321249"/>
      </c:barChart>
      <c:catAx>
        <c:axId val="326390246"/>
        <c:scaling>
          <c:orientation val="minMax"/>
          <c:max val="7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321249"/>
        <c:crosses val="autoZero"/>
        <c:auto val="1"/>
        <c:lblAlgn val="ctr"/>
        <c:lblOffset val="100"/>
        <c:noMultiLvlLbl val="1"/>
      </c:catAx>
      <c:valAx>
        <c:axId val="40321249"/>
        <c:scaling>
          <c:orientation val="minMax"/>
          <c:max val="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$/tonnes CO2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6390246"/>
        <c:crosses val="autoZero"/>
        <c:crossBetween val="between"/>
        <c:majorUnit val="2"/>
        <c:minorUnit val="0.66666666666666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r>
              <a:rPr sz="1200" b="1">
                <a:solidFill>
                  <a:srgbClr val="000000"/>
                </a:solidFill>
                <a:latin typeface="+mn-lt"/>
              </a:rPr>
              <a:t>Component Contribution to Annual Cost of CO2 Compression and Pumping</a:t>
            </a:r>
          </a:p>
        </c:rich>
      </c:tx>
      <c:layout>
        <c:manualLayout>
          <c:xMode val="edge"/>
          <c:yMode val="edge"/>
          <c:x val="3.3107088989441938E-2"/>
          <c:y val="5.2277904328018231E-2"/>
        </c:manualLayout>
      </c:layout>
      <c:overlay val="0"/>
    </c:title>
    <c:autoTitleDeleted val="0"/>
    <c:plotArea>
      <c:layout>
        <c:manualLayout>
          <c:xMode val="edge"/>
          <c:yMode val="edge"/>
          <c:x val="0.14102408854166668"/>
          <c:y val="0.19752920035938903"/>
          <c:w val="0.8280592447916667"/>
          <c:h val="0.70395327942497743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'Custo O&amp;M compressão'!$M$3:$M$4</c:f>
              <c:strCache>
                <c:ptCount val="2"/>
                <c:pt idx="0">
                  <c:v>Levelized Cost of CO2 Compression phase</c:v>
                </c:pt>
                <c:pt idx="1">
                  <c:v>E_y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E+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compressão'!$M$5:$M$12</c:f>
              <c:numCache>
                <c:formatCode>0</c:formatCode>
                <c:ptCount val="8"/>
                <c:pt idx="0">
                  <c:v>2346292.4160000002</c:v>
                </c:pt>
                <c:pt idx="1">
                  <c:v>11730319.776000001</c:v>
                </c:pt>
                <c:pt idx="2">
                  <c:v>35192101.632000007</c:v>
                </c:pt>
                <c:pt idx="3">
                  <c:v>58652741.184000008</c:v>
                </c:pt>
                <c:pt idx="4">
                  <c:v>82113951.888000011</c:v>
                </c:pt>
                <c:pt idx="5">
                  <c:v>105575162.59200002</c:v>
                </c:pt>
                <c:pt idx="6">
                  <c:v>129036373.296</c:v>
                </c:pt>
                <c:pt idx="7">
                  <c:v>152498155.15200001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C9-4A4D-80E9-60CBBF4BC683}"/>
            </c:ext>
          </c:extLst>
        </c:ser>
        <c:ser>
          <c:idx val="1"/>
          <c:order val="1"/>
          <c:tx>
            <c:strRef>
              <c:f>'Custo O&amp;M compressão'!$O$3:$O$4</c:f>
              <c:strCache>
                <c:ptCount val="2"/>
                <c:pt idx="0">
                  <c:v>Levelized Cost of CO2 Compression phase</c:v>
                </c:pt>
                <c:pt idx="1">
                  <c:v>O&amp;M_y</c:v>
                </c:pt>
              </c:strCache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BC9-4A4D-80E9-60CBBF4BC683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BC9-4A4D-80E9-60CBBF4BC683}"/>
              </c:ext>
            </c:extLst>
          </c:dPt>
          <c:dLbls>
            <c:numFmt formatCode="0.00E+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compressão'!$O$5:$O$12</c:f>
              <c:numCache>
                <c:formatCode>0</c:formatCode>
                <c:ptCount val="8"/>
                <c:pt idx="0">
                  <c:v>134111.22660000002</c:v>
                </c:pt>
                <c:pt idx="1">
                  <c:v>260198.05968000001</c:v>
                </c:pt>
                <c:pt idx="2">
                  <c:v>417464.69892086374</c:v>
                </c:pt>
                <c:pt idx="3">
                  <c:v>769924.3605177151</c:v>
                </c:pt>
                <c:pt idx="4">
                  <c:v>1120232.2351445598</c:v>
                </c:pt>
                <c:pt idx="5">
                  <c:v>1251013.5903625917</c:v>
                </c:pt>
                <c:pt idx="6">
                  <c:v>1604953.9321879428</c:v>
                </c:pt>
                <c:pt idx="7">
                  <c:v>1957153.2582691205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BC9-4A4D-80E9-60CBBF4BC683}"/>
            </c:ext>
          </c:extLst>
        </c:ser>
        <c:ser>
          <c:idx val="2"/>
          <c:order val="2"/>
          <c:tx>
            <c:strRef>
              <c:f>'Custo O&amp;M compressão'!$Q$3:$Q$4</c:f>
              <c:strCache>
                <c:ptCount val="2"/>
                <c:pt idx="0">
                  <c:v>Levelized Cost of CO2 Compression phase</c:v>
                </c:pt>
                <c:pt idx="1">
                  <c:v>C_y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E+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O&amp;M compressão'!$J$5:$J$12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compressão'!$Q$5:$Q$12</c:f>
              <c:numCache>
                <c:formatCode>0</c:formatCode>
                <c:ptCount val="8"/>
                <c:pt idx="0">
                  <c:v>2682224.5320000001</c:v>
                </c:pt>
                <c:pt idx="1">
                  <c:v>5203961.1935999999</c:v>
                </c:pt>
                <c:pt idx="2">
                  <c:v>8349293.9784172745</c:v>
                </c:pt>
                <c:pt idx="3">
                  <c:v>15398487.210354302</c:v>
                </c:pt>
                <c:pt idx="4">
                  <c:v>22404644.702891193</c:v>
                </c:pt>
                <c:pt idx="5">
                  <c:v>25020271.807251833</c:v>
                </c:pt>
                <c:pt idx="6">
                  <c:v>32099078.643758852</c:v>
                </c:pt>
                <c:pt idx="7">
                  <c:v>39143065.165382408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BC9-4A4D-80E9-60CBBF4B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067648"/>
        <c:axId val="1664033695"/>
      </c:barChart>
      <c:catAx>
        <c:axId val="1935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4033695"/>
        <c:crosses val="autoZero"/>
        <c:auto val="1"/>
        <c:lblAlgn val="ctr"/>
        <c:lblOffset val="100"/>
        <c:noMultiLvlLbl val="1"/>
      </c:catAx>
      <c:valAx>
        <c:axId val="1664033695"/>
        <c:scaling>
          <c:orientation val="minMax"/>
          <c:max val="20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 [x10^6]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5067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876790364583342"/>
          <c:y val="0.118373764600179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r>
              <a:rPr sz="1400" b="0">
                <a:solidFill>
                  <a:srgbClr val="000000"/>
                </a:solidFill>
                <a:latin typeface="+mn-lt"/>
              </a:rPr>
              <a:t>Capital Cost of Compression and Pumping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'Custo O&amp;M compressão'!$G$3:$G$5</c:f>
              <c:strCache>
                <c:ptCount val="3"/>
                <c:pt idx="0">
                  <c:v>Capital Cost of Compression and Pumping</c:v>
                </c:pt>
                <c:pt idx="1">
                  <c:v>Power [kW]</c:v>
                </c:pt>
                <c:pt idx="2">
                  <c:v>Compressor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O&amp;M compressão'!$F$6:$F$13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compressão'!$G$6:$G$13</c:f>
              <c:numCache>
                <c:formatCode>General</c:formatCode>
                <c:ptCount val="8"/>
                <c:pt idx="0">
                  <c:v>7159</c:v>
                </c:pt>
                <c:pt idx="1">
                  <c:v>2717</c:v>
                </c:pt>
                <c:pt idx="2">
                  <c:v>1403</c:v>
                </c:pt>
                <c:pt idx="3">
                  <c:v>1565</c:v>
                </c:pt>
                <c:pt idx="4">
                  <c:v>1632</c:v>
                </c:pt>
                <c:pt idx="5">
                  <c:v>1403</c:v>
                </c:pt>
                <c:pt idx="6">
                  <c:v>1478</c:v>
                </c:pt>
                <c:pt idx="7">
                  <c:v>1529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32-43EE-8D6C-4E496A460CFB}"/>
            </c:ext>
          </c:extLst>
        </c:ser>
        <c:ser>
          <c:idx val="1"/>
          <c:order val="1"/>
          <c:tx>
            <c:strRef>
              <c:f>'Custo O&amp;M compressão'!$H$3:$H$5</c:f>
              <c:strCache>
                <c:ptCount val="3"/>
                <c:pt idx="0">
                  <c:v>Capital Cost of Compression and Pumping</c:v>
                </c:pt>
                <c:pt idx="1">
                  <c:v>Power [kW]</c:v>
                </c:pt>
                <c:pt idx="2">
                  <c:v>Pump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'Custo O&amp;M compressão'!$F$6:$F$13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15000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55000</c:v>
                </c:pt>
                <c:pt idx="7">
                  <c:v>65000</c:v>
                </c:pt>
              </c:numCache>
            </c:numRef>
          </c:cat>
          <c:val>
            <c:numRef>
              <c:f>'Custo O&amp;M compressão'!$H$6:$H$13</c:f>
              <c:numCache>
                <c:formatCode>General</c:formatCode>
                <c:ptCount val="8"/>
                <c:pt idx="0">
                  <c:v>3129</c:v>
                </c:pt>
                <c:pt idx="1">
                  <c:v>2497</c:v>
                </c:pt>
                <c:pt idx="2">
                  <c:v>2391</c:v>
                </c:pt>
                <c:pt idx="3">
                  <c:v>2370</c:v>
                </c:pt>
                <c:pt idx="4">
                  <c:v>2361</c:v>
                </c:pt>
                <c:pt idx="5">
                  <c:v>2356</c:v>
                </c:pt>
                <c:pt idx="6">
                  <c:v>2353</c:v>
                </c:pt>
                <c:pt idx="7">
                  <c:v>2351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032-43EE-8D6C-4E496A46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57812"/>
        <c:axId val="645812850"/>
      </c:barChart>
      <c:catAx>
        <c:axId val="64257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mass flow rate [tonnes/day]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812850"/>
        <c:crosses val="autoZero"/>
        <c:auto val="1"/>
        <c:lblAlgn val="ctr"/>
        <c:lblOffset val="100"/>
        <c:noMultiLvlLbl val="1"/>
      </c:catAx>
      <c:valAx>
        <c:axId val="645812850"/>
        <c:scaling>
          <c:orientation val="minMax"/>
          <c:max val="1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57812"/>
        <c:crosses val="autoZero"/>
        <c:crossBetween val="between"/>
        <c:majorUnit val="1000"/>
        <c:minorUnit val="1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sz="1400" b="1">
                <a:solidFill>
                  <a:srgbClr val="000000"/>
                </a:solidFill>
                <a:latin typeface="+mn-lt"/>
              </a:rPr>
              <a:t>Power Requirement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Avaliação!$G$48</c:f>
              <c:strCache>
                <c:ptCount val="1"/>
                <c:pt idx="0">
                  <c:v>AcelorMittal - BAU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Avaliação!$H$48:$N$48</c:f>
              <c:numCache>
                <c:formatCode>0</c:formatCode>
                <c:ptCount val="7"/>
                <c:pt idx="0">
                  <c:v>246233.32507890434</c:v>
                </c:pt>
                <c:pt idx="1">
                  <c:v>246233.32507890434</c:v>
                </c:pt>
                <c:pt idx="2">
                  <c:v>246233.32507890434</c:v>
                </c:pt>
                <c:pt idx="3">
                  <c:v>246233.32507890434</c:v>
                </c:pt>
                <c:pt idx="4">
                  <c:v>246233.32507890434</c:v>
                </c:pt>
                <c:pt idx="5">
                  <c:v>246233.32507890434</c:v>
                </c:pt>
                <c:pt idx="6">
                  <c:v>246233.32507890434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34A-BB90-893D23AB8DD4}"/>
            </c:ext>
          </c:extLst>
        </c:ser>
        <c:ser>
          <c:idx val="1"/>
          <c:order val="1"/>
          <c:tx>
            <c:strRef>
              <c:f>Avaliação!$G$49</c:f>
              <c:strCache>
                <c:ptCount val="1"/>
                <c:pt idx="0">
                  <c:v>CBA - BAU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Avaliação!$H$49:$N$49</c:f>
              <c:numCache>
                <c:formatCode>0</c:formatCode>
                <c:ptCount val="7"/>
                <c:pt idx="0">
                  <c:v>24052.354814016653</c:v>
                </c:pt>
                <c:pt idx="1">
                  <c:v>24052.354814016653</c:v>
                </c:pt>
                <c:pt idx="2">
                  <c:v>24052.354814016653</c:v>
                </c:pt>
                <c:pt idx="3">
                  <c:v>24052.354814016653</c:v>
                </c:pt>
                <c:pt idx="4">
                  <c:v>24052.354814016653</c:v>
                </c:pt>
                <c:pt idx="5">
                  <c:v>24052.354814016653</c:v>
                </c:pt>
                <c:pt idx="6">
                  <c:v>24052.354814016653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1-434A-BB90-893D23AB8DD4}"/>
            </c:ext>
          </c:extLst>
        </c:ser>
        <c:ser>
          <c:idx val="2"/>
          <c:order val="2"/>
          <c:tx>
            <c:strRef>
              <c:f>Avaliação!$G$50</c:f>
              <c:strCache>
                <c:ptCount val="1"/>
                <c:pt idx="0">
                  <c:v>Intercement - BAU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Avaliação!$H$50:$N$50</c:f>
              <c:numCache>
                <c:formatCode>0</c:formatCode>
                <c:ptCount val="7"/>
                <c:pt idx="0">
                  <c:v>12870.84003077333</c:v>
                </c:pt>
                <c:pt idx="1">
                  <c:v>12870.84003077333</c:v>
                </c:pt>
                <c:pt idx="2">
                  <c:v>12870.84003077333</c:v>
                </c:pt>
                <c:pt idx="3">
                  <c:v>12870.84003077333</c:v>
                </c:pt>
                <c:pt idx="4">
                  <c:v>12870.84003077333</c:v>
                </c:pt>
                <c:pt idx="5">
                  <c:v>12870.84003077333</c:v>
                </c:pt>
                <c:pt idx="6">
                  <c:v>12870.84003077333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1-434A-BB90-893D23AB8DD4}"/>
            </c:ext>
          </c:extLst>
        </c:ser>
        <c:ser>
          <c:idx val="3"/>
          <c:order val="3"/>
          <c:tx>
            <c:strRef>
              <c:f>Avaliação!$G$51</c:f>
              <c:strCache>
                <c:ptCount val="1"/>
                <c:pt idx="0">
                  <c:v>Suzano - BAU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Avaliação!$H$51:$N$51</c:f>
              <c:numCache>
                <c:formatCode>0</c:formatCode>
                <c:ptCount val="7"/>
                <c:pt idx="0">
                  <c:v>33357.911837954976</c:v>
                </c:pt>
                <c:pt idx="1">
                  <c:v>33357.911837954976</c:v>
                </c:pt>
                <c:pt idx="2">
                  <c:v>33357.911837954976</c:v>
                </c:pt>
                <c:pt idx="3">
                  <c:v>33357.911837954976</c:v>
                </c:pt>
                <c:pt idx="4">
                  <c:v>33357.911837954976</c:v>
                </c:pt>
                <c:pt idx="5">
                  <c:v>33357.911837954976</c:v>
                </c:pt>
                <c:pt idx="6">
                  <c:v>33357.911837954976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1-434A-BB90-893D23AB8DD4}"/>
            </c:ext>
          </c:extLst>
        </c:ser>
        <c:ser>
          <c:idx val="4"/>
          <c:order val="4"/>
          <c:tx>
            <c:strRef>
              <c:f>Avaliação!$G$52</c:f>
              <c:strCache>
                <c:ptCount val="1"/>
                <c:pt idx="0">
                  <c:v>Ternium Brasil - BAU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Avaliação!$H$52:$N$52</c:f>
              <c:numCache>
                <c:formatCode>0</c:formatCode>
                <c:ptCount val="7"/>
                <c:pt idx="0">
                  <c:v>104171.16661224456</c:v>
                </c:pt>
                <c:pt idx="1">
                  <c:v>104171.16661224456</c:v>
                </c:pt>
                <c:pt idx="2">
                  <c:v>104171.16661224456</c:v>
                </c:pt>
                <c:pt idx="3">
                  <c:v>104171.16661224456</c:v>
                </c:pt>
                <c:pt idx="4">
                  <c:v>104171.16661224456</c:v>
                </c:pt>
                <c:pt idx="5">
                  <c:v>104171.16661224456</c:v>
                </c:pt>
                <c:pt idx="6">
                  <c:v>104171.16661224456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1-434A-BB90-893D23AB8DD4}"/>
            </c:ext>
          </c:extLst>
        </c:ser>
        <c:ser>
          <c:idx val="5"/>
          <c:order val="5"/>
          <c:tx>
            <c:strRef>
              <c:f>Avaliação!$G$53</c:f>
              <c:strCache>
                <c:ptCount val="1"/>
                <c:pt idx="0">
                  <c:v>Votorantim - BAU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Avaliação!$H$53:$N$53</c:f>
              <c:numCache>
                <c:formatCode>0</c:formatCode>
                <c:ptCount val="7"/>
                <c:pt idx="0">
                  <c:v>122049.0844867118</c:v>
                </c:pt>
                <c:pt idx="1">
                  <c:v>122049.0844867118</c:v>
                </c:pt>
                <c:pt idx="2">
                  <c:v>122049.0844867118</c:v>
                </c:pt>
                <c:pt idx="3">
                  <c:v>122049.0844867118</c:v>
                </c:pt>
                <c:pt idx="4">
                  <c:v>122049.0844867118</c:v>
                </c:pt>
                <c:pt idx="5">
                  <c:v>122049.0844867118</c:v>
                </c:pt>
                <c:pt idx="6">
                  <c:v>122049.0844867118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34A-BB90-893D23AB8DD4}"/>
            </c:ext>
          </c:extLst>
        </c:ser>
        <c:ser>
          <c:idx val="6"/>
          <c:order val="6"/>
          <c:tx>
            <c:strRef>
              <c:f>Avaliação!$G$57</c:f>
              <c:strCache>
                <c:ptCount val="1"/>
                <c:pt idx="0">
                  <c:v>AcelorMittal - PL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Avaliação!$H$57:$N$57</c:f>
              <c:numCache>
                <c:formatCode>0</c:formatCode>
                <c:ptCount val="7"/>
                <c:pt idx="0">
                  <c:v>242938.08293437358</c:v>
                </c:pt>
                <c:pt idx="1">
                  <c:v>239686.93969801298</c:v>
                </c:pt>
                <c:pt idx="2">
                  <c:v>236479.30521176552</c:v>
                </c:pt>
                <c:pt idx="3">
                  <c:v>233314.59721542316</c:v>
                </c:pt>
                <c:pt idx="4">
                  <c:v>230192.24124093386</c:v>
                </c:pt>
                <c:pt idx="5">
                  <c:v>227111.67050812166</c:v>
                </c:pt>
                <c:pt idx="6">
                  <c:v>224072.32582180292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01-434A-BB90-893D23AB8DD4}"/>
            </c:ext>
          </c:extLst>
        </c:ser>
        <c:ser>
          <c:idx val="7"/>
          <c:order val="7"/>
          <c:tx>
            <c:strRef>
              <c:f>Avaliação!$G$58</c:f>
              <c:strCache>
                <c:ptCount val="1"/>
                <c:pt idx="0">
                  <c:v>CBA - PL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Avaliação!$H$58:$N$58</c:f>
              <c:numCache>
                <c:formatCode>0</c:formatCode>
                <c:ptCount val="7"/>
                <c:pt idx="0">
                  <c:v>23730.471765761682</c:v>
                </c:pt>
                <c:pt idx="1">
                  <c:v>23412.896349651463</c:v>
                </c:pt>
                <c:pt idx="2">
                  <c:v>23099.570918367222</c:v>
                </c:pt>
                <c:pt idx="3">
                  <c:v>22790.438596061173</c:v>
                </c:pt>
                <c:pt idx="4">
                  <c:v>22485.443268032293</c:v>
                </c:pt>
                <c:pt idx="5">
                  <c:v>22184.529570540162</c:v>
                </c:pt>
                <c:pt idx="6">
                  <c:v>21887.642880755153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01-434A-BB90-893D23AB8DD4}"/>
            </c:ext>
          </c:extLst>
        </c:ser>
        <c:ser>
          <c:idx val="8"/>
          <c:order val="8"/>
          <c:tx>
            <c:strRef>
              <c:f>Avaliação!$G$59</c:f>
              <c:strCache>
                <c:ptCount val="1"/>
                <c:pt idx="0">
                  <c:v>Intercement - PL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Avaliação!$H$59:$N$59</c:f>
              <c:numCache>
                <c:formatCode>0</c:formatCode>
                <c:ptCount val="7"/>
                <c:pt idx="0">
                  <c:v>12698.595046655351</c:v>
                </c:pt>
                <c:pt idx="1">
                  <c:v>12528.654826091546</c:v>
                </c:pt>
                <c:pt idx="2">
                  <c:v>12360.98884755681</c:v>
                </c:pt>
                <c:pt idx="3">
                  <c:v>12195.566675779324</c:v>
                </c:pt>
                <c:pt idx="4">
                  <c:v>12032.358282790341</c:v>
                </c:pt>
                <c:pt idx="5">
                  <c:v>11871.334042473401</c:v>
                </c:pt>
                <c:pt idx="6">
                  <c:v>11712.464725186532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01-434A-BB90-893D23AB8DD4}"/>
            </c:ext>
          </c:extLst>
        </c:ser>
        <c:ser>
          <c:idx val="9"/>
          <c:order val="9"/>
          <c:tx>
            <c:strRef>
              <c:f>Avaliação!$G$60</c:f>
              <c:strCache>
                <c:ptCount val="1"/>
                <c:pt idx="0">
                  <c:v>Suzano - PL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Avaliação!$H$60:$N$60</c:f>
              <c:numCache>
                <c:formatCode>0</c:formatCode>
                <c:ptCount val="7"/>
                <c:pt idx="0">
                  <c:v>32911.492293444906</c:v>
                </c:pt>
                <c:pt idx="1">
                  <c:v>32471.050950218902</c:v>
                </c:pt>
                <c:pt idx="2">
                  <c:v>32036.503857399202</c:v>
                </c:pt>
                <c:pt idx="3">
                  <c:v>31607.772134589155</c:v>
                </c:pt>
                <c:pt idx="4">
                  <c:v>31184.77795701694</c:v>
                </c:pt>
                <c:pt idx="5">
                  <c:v>30767.444541408524</c:v>
                </c:pt>
                <c:pt idx="6">
                  <c:v>30355.696132049747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01-434A-BB90-893D23AB8DD4}"/>
            </c:ext>
          </c:extLst>
        </c:ser>
        <c:ser>
          <c:idx val="10"/>
          <c:order val="10"/>
          <c:tx>
            <c:strRef>
              <c:f>Avaliação!$G$61</c:f>
              <c:strCache>
                <c:ptCount val="1"/>
                <c:pt idx="0">
                  <c:v>Ternium Brasil - PL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Avaliação!$H$61:$N$61</c:f>
              <c:numCache>
                <c:formatCode>0</c:formatCode>
                <c:ptCount val="7"/>
                <c:pt idx="0">
                  <c:v>102777.0855374932</c:v>
                </c:pt>
                <c:pt idx="1">
                  <c:v>101401.66089240643</c:v>
                </c:pt>
                <c:pt idx="2">
                  <c:v>100044.64300544489</c:v>
                </c:pt>
                <c:pt idx="3">
                  <c:v>98705.785546323808</c:v>
                </c:pt>
                <c:pt idx="4">
                  <c:v>97384.84548129802</c:v>
                </c:pt>
                <c:pt idx="5">
                  <c:v>96081.583029045607</c:v>
                </c:pt>
                <c:pt idx="6">
                  <c:v>94795.761617142547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01-434A-BB90-893D23AB8DD4}"/>
            </c:ext>
          </c:extLst>
        </c:ser>
        <c:ser>
          <c:idx val="11"/>
          <c:order val="11"/>
          <c:tx>
            <c:strRef>
              <c:f>Avaliação!$G$62</c:f>
              <c:strCache>
                <c:ptCount val="1"/>
                <c:pt idx="0">
                  <c:v>Votorantim - PL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Avaliação!$H$62:$N$62</c:f>
              <c:numCache>
                <c:formatCode>0</c:formatCode>
                <c:ptCount val="7"/>
                <c:pt idx="0">
                  <c:v>120415.75038470459</c:v>
                </c:pt>
                <c:pt idx="1">
                  <c:v>118804.27453997146</c:v>
                </c:pt>
                <c:pt idx="2">
                  <c:v>117214.36443219442</c:v>
                </c:pt>
                <c:pt idx="3">
                  <c:v>115645.73145573768</c:v>
                </c:pt>
                <c:pt idx="4">
                  <c:v>114098.09086725958</c:v>
                </c:pt>
                <c:pt idx="5">
                  <c:v>112571.16173402463</c:v>
                </c:pt>
                <c:pt idx="6">
                  <c:v>111064.66688290775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01-434A-BB90-893D23AB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07149"/>
        <c:axId val="393837022"/>
      </c:lineChart>
      <c:catAx>
        <c:axId val="192907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3837022"/>
        <c:crosses val="autoZero"/>
        <c:auto val="1"/>
        <c:lblAlgn val="ctr"/>
        <c:lblOffset val="100"/>
        <c:noMultiLvlLbl val="1"/>
      </c:catAx>
      <c:valAx>
        <c:axId val="393837022"/>
        <c:scaling>
          <c:orientation val="minMax"/>
          <c:max val="3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Power [kW]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9071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sz="1400" b="1">
                <a:solidFill>
                  <a:srgbClr val="000000"/>
                </a:solidFill>
                <a:latin typeface="+mn-lt"/>
              </a:rPr>
              <a:t>Capital Cost of Compression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Avaliação!$G$120</c:f>
              <c:strCache>
                <c:ptCount val="1"/>
                <c:pt idx="0">
                  <c:v>AcelorMittal - BAU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Avaliação!$H$120:$N$120</c:f>
              <c:numCache>
                <c:formatCode>0</c:formatCode>
                <c:ptCount val="7"/>
                <c:pt idx="0">
                  <c:v>1560.9549004848218</c:v>
                </c:pt>
                <c:pt idx="1">
                  <c:v>1560.9549004848218</c:v>
                </c:pt>
                <c:pt idx="2">
                  <c:v>1560.9549004848218</c:v>
                </c:pt>
                <c:pt idx="3">
                  <c:v>1560.9549004848218</c:v>
                </c:pt>
                <c:pt idx="4">
                  <c:v>1560.9549004848218</c:v>
                </c:pt>
                <c:pt idx="5">
                  <c:v>1560.9549004848218</c:v>
                </c:pt>
                <c:pt idx="6">
                  <c:v>1560.9549004848218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7-41FA-8748-EA362878E3B6}"/>
            </c:ext>
          </c:extLst>
        </c:ser>
        <c:ser>
          <c:idx val="1"/>
          <c:order val="1"/>
          <c:tx>
            <c:strRef>
              <c:f>Avaliação!$G$121</c:f>
              <c:strCache>
                <c:ptCount val="1"/>
                <c:pt idx="0">
                  <c:v>CBA - BAU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Avaliação!$H$121:$N$121</c:f>
              <c:numCache>
                <c:formatCode>0</c:formatCode>
                <c:ptCount val="7"/>
                <c:pt idx="0">
                  <c:v>2402.4778071478754</c:v>
                </c:pt>
                <c:pt idx="1">
                  <c:v>2402.4778071478754</c:v>
                </c:pt>
                <c:pt idx="2">
                  <c:v>2402.4778071478754</c:v>
                </c:pt>
                <c:pt idx="3">
                  <c:v>2402.4778071478754</c:v>
                </c:pt>
                <c:pt idx="4">
                  <c:v>2402.4778071478754</c:v>
                </c:pt>
                <c:pt idx="5">
                  <c:v>2402.4778071478754</c:v>
                </c:pt>
                <c:pt idx="6">
                  <c:v>2402.4778071478754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7-41FA-8748-EA362878E3B6}"/>
            </c:ext>
          </c:extLst>
        </c:ser>
        <c:ser>
          <c:idx val="2"/>
          <c:order val="2"/>
          <c:tx>
            <c:strRef>
              <c:f>Avaliação!$G$122</c:f>
              <c:strCache>
                <c:ptCount val="1"/>
                <c:pt idx="0">
                  <c:v>Intercement - BAU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Avaliação!$H$122:$N$122</c:f>
              <c:numCache>
                <c:formatCode>0</c:formatCode>
                <c:ptCount val="7"/>
                <c:pt idx="0">
                  <c:v>3500.2098334444181</c:v>
                </c:pt>
                <c:pt idx="1">
                  <c:v>3500.2098334444181</c:v>
                </c:pt>
                <c:pt idx="2">
                  <c:v>3500.2098334444181</c:v>
                </c:pt>
                <c:pt idx="3">
                  <c:v>3500.2098334444181</c:v>
                </c:pt>
                <c:pt idx="4">
                  <c:v>3500.2098334444181</c:v>
                </c:pt>
                <c:pt idx="5">
                  <c:v>3500.2098334444181</c:v>
                </c:pt>
                <c:pt idx="6">
                  <c:v>3500.2098334444181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7-41FA-8748-EA362878E3B6}"/>
            </c:ext>
          </c:extLst>
        </c:ser>
        <c:ser>
          <c:idx val="3"/>
          <c:order val="3"/>
          <c:tx>
            <c:strRef>
              <c:f>Avaliação!$G$123</c:f>
              <c:strCache>
                <c:ptCount val="1"/>
                <c:pt idx="0">
                  <c:v>Suzano - BAU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Avaliação!$H$123:$N$123</c:f>
              <c:numCache>
                <c:formatCode>0</c:formatCode>
                <c:ptCount val="7"/>
                <c:pt idx="0">
                  <c:v>1973.2592132385053</c:v>
                </c:pt>
                <c:pt idx="1">
                  <c:v>1973.2592132385053</c:v>
                </c:pt>
                <c:pt idx="2">
                  <c:v>1973.2592132385053</c:v>
                </c:pt>
                <c:pt idx="3">
                  <c:v>1973.2592132385053</c:v>
                </c:pt>
                <c:pt idx="4">
                  <c:v>1973.2592132385053</c:v>
                </c:pt>
                <c:pt idx="5">
                  <c:v>1973.2592132385053</c:v>
                </c:pt>
                <c:pt idx="6">
                  <c:v>1973.2592132385053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7-41FA-8748-EA362878E3B6}"/>
            </c:ext>
          </c:extLst>
        </c:ser>
        <c:ser>
          <c:idx val="4"/>
          <c:order val="4"/>
          <c:tx>
            <c:strRef>
              <c:f>Avaliação!$G$124</c:f>
              <c:strCache>
                <c:ptCount val="1"/>
                <c:pt idx="0">
                  <c:v>Ternium Brasil - BAU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Avaliação!$H$124:$N$124</c:f>
              <c:numCache>
                <c:formatCode>0</c:formatCode>
                <c:ptCount val="7"/>
                <c:pt idx="0">
                  <c:v>1509.1959326692156</c:v>
                </c:pt>
                <c:pt idx="1">
                  <c:v>1509.1959326692156</c:v>
                </c:pt>
                <c:pt idx="2">
                  <c:v>1509.1959326692156</c:v>
                </c:pt>
                <c:pt idx="3">
                  <c:v>1509.1959326692156</c:v>
                </c:pt>
                <c:pt idx="4">
                  <c:v>1509.1959326692156</c:v>
                </c:pt>
                <c:pt idx="5">
                  <c:v>1509.1959326692156</c:v>
                </c:pt>
                <c:pt idx="6">
                  <c:v>1509.1959326692156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7-41FA-8748-EA362878E3B6}"/>
            </c:ext>
          </c:extLst>
        </c:ser>
        <c:ser>
          <c:idx val="5"/>
          <c:order val="5"/>
          <c:tx>
            <c:strRef>
              <c:f>Avaliação!$G$125</c:f>
              <c:strCache>
                <c:ptCount val="1"/>
                <c:pt idx="0">
                  <c:v>Votorantim - BAU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Avaliação!$H$125:$N$125</c:f>
              <c:numCache>
                <c:formatCode>0</c:formatCode>
                <c:ptCount val="7"/>
                <c:pt idx="0">
                  <c:v>1751.0869802116629</c:v>
                </c:pt>
                <c:pt idx="1">
                  <c:v>1751.0869802116629</c:v>
                </c:pt>
                <c:pt idx="2">
                  <c:v>1751.0869802116629</c:v>
                </c:pt>
                <c:pt idx="3">
                  <c:v>1751.0869802116629</c:v>
                </c:pt>
                <c:pt idx="4">
                  <c:v>1751.0869802116629</c:v>
                </c:pt>
                <c:pt idx="5">
                  <c:v>1751.0869802116629</c:v>
                </c:pt>
                <c:pt idx="6">
                  <c:v>1751.0869802116629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97-41FA-8748-EA362878E3B6}"/>
            </c:ext>
          </c:extLst>
        </c:ser>
        <c:ser>
          <c:idx val="6"/>
          <c:order val="6"/>
          <c:tx>
            <c:strRef>
              <c:f>Avaliação!$G$129</c:f>
              <c:strCache>
                <c:ptCount val="1"/>
                <c:pt idx="0">
                  <c:v>AcelorMittal - PL</c:v>
                </c:pt>
              </c:strCache>
            </c:strRef>
          </c:tx>
          <c:spPr>
            <a:ln cmpd="sng">
              <a:solidFill>
                <a:srgbClr val="7BAAF7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Avaliação!$H$129:$N$129</c:f>
              <c:numCache>
                <c:formatCode>0</c:formatCode>
                <c:ptCount val="7"/>
                <c:pt idx="0">
                  <c:v>1573.6596844534192</c:v>
                </c:pt>
                <c:pt idx="1">
                  <c:v>1387.1575643836534</c:v>
                </c:pt>
                <c:pt idx="2">
                  <c:v>1398.4471339463926</c:v>
                </c:pt>
                <c:pt idx="3">
                  <c:v>1409.8286303590889</c:v>
                </c:pt>
                <c:pt idx="4">
                  <c:v>1421.3028025814613</c:v>
                </c:pt>
                <c:pt idx="5">
                  <c:v>1432.8704056794095</c:v>
                </c:pt>
                <c:pt idx="6">
                  <c:v>1444.5322008748369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97-41FA-8748-EA362878E3B6}"/>
            </c:ext>
          </c:extLst>
        </c:ser>
        <c:ser>
          <c:idx val="7"/>
          <c:order val="7"/>
          <c:tx>
            <c:strRef>
              <c:f>Avaliação!$G$130</c:f>
              <c:strCache>
                <c:ptCount val="1"/>
                <c:pt idx="0">
                  <c:v>CBA - PL</c:v>
                </c:pt>
              </c:strCache>
            </c:strRef>
          </c:tx>
          <c:spPr>
            <a:ln cmpd="sng">
              <a:solidFill>
                <a:srgbClr val="F07B72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Avaliação!$H$130:$N$130</c:f>
              <c:numCache>
                <c:formatCode>0</c:formatCode>
                <c:ptCount val="7"/>
                <c:pt idx="0">
                  <c:v>2422.0362146372313</c:v>
                </c:pt>
                <c:pt idx="1">
                  <c:v>2441.7539319909374</c:v>
                </c:pt>
                <c:pt idx="2">
                  <c:v>2461.6322576679968</c:v>
                </c:pt>
                <c:pt idx="3">
                  <c:v>2481.6725007184446</c:v>
                </c:pt>
                <c:pt idx="4">
                  <c:v>2501.8759808698205</c:v>
                </c:pt>
                <c:pt idx="5">
                  <c:v>2522.2440286143237</c:v>
                </c:pt>
                <c:pt idx="6">
                  <c:v>2542.7779852967014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97-41FA-8748-EA362878E3B6}"/>
            </c:ext>
          </c:extLst>
        </c:ser>
        <c:ser>
          <c:idx val="8"/>
          <c:order val="8"/>
          <c:tx>
            <c:strRef>
              <c:f>Avaliação!$G$131</c:f>
              <c:strCache>
                <c:ptCount val="1"/>
                <c:pt idx="0">
                  <c:v>Intercement - PL</c:v>
                </c:pt>
              </c:strCache>
            </c:strRef>
          </c:tx>
          <c:spPr>
            <a:ln cmpd="sng">
              <a:solidFill>
                <a:srgbClr val="FCD04F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Avaliação!$H$131:$N$131</c:f>
              <c:numCache>
                <c:formatCode>0</c:formatCode>
                <c:ptCount val="7"/>
                <c:pt idx="0">
                  <c:v>3528.7107223649218</c:v>
                </c:pt>
                <c:pt idx="1">
                  <c:v>3557.4438718358297</c:v>
                </c:pt>
                <c:pt idx="2">
                  <c:v>3586.4111215576281</c:v>
                </c:pt>
                <c:pt idx="3">
                  <c:v>3615.6143801353096</c:v>
                </c:pt>
                <c:pt idx="4">
                  <c:v>3645.0555717470402</c:v>
                </c:pt>
                <c:pt idx="5">
                  <c:v>3674.7366362713433</c:v>
                </c:pt>
                <c:pt idx="6">
                  <c:v>3704.6595294153317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97-41FA-8748-EA362878E3B6}"/>
            </c:ext>
          </c:extLst>
        </c:ser>
        <c:ser>
          <c:idx val="9"/>
          <c:order val="9"/>
          <c:tx>
            <c:strRef>
              <c:f>Avaliação!$G$132</c:f>
              <c:strCache>
                <c:ptCount val="1"/>
                <c:pt idx="0">
                  <c:v>Suzano - PL</c:v>
                </c:pt>
              </c:strCache>
            </c:strRef>
          </c:tx>
          <c:spPr>
            <a:ln cmpd="sng">
              <a:solidFill>
                <a:srgbClr val="71C287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Avaliação!$H$132:$N$132</c:f>
              <c:numCache>
                <c:formatCode>0</c:formatCode>
                <c:ptCount val="7"/>
                <c:pt idx="0">
                  <c:v>1989.3218506595319</c:v>
                </c:pt>
                <c:pt idx="1">
                  <c:v>2005.5151641070502</c:v>
                </c:pt>
                <c:pt idx="2">
                  <c:v>2021.8403620652725</c:v>
                </c:pt>
                <c:pt idx="3">
                  <c:v>2038.2985193135207</c:v>
                </c:pt>
                <c:pt idx="4">
                  <c:v>2054.8907193962564</c:v>
                </c:pt>
                <c:pt idx="5">
                  <c:v>2071.6180546946298</c:v>
                </c:pt>
                <c:pt idx="6">
                  <c:v>2088.4816264986011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97-41FA-8748-EA362878E3B6}"/>
            </c:ext>
          </c:extLst>
        </c:ser>
        <c:ser>
          <c:idx val="10"/>
          <c:order val="10"/>
          <c:tx>
            <c:strRef>
              <c:f>Avaliação!$G$133</c:f>
              <c:strCache>
                <c:ptCount val="1"/>
                <c:pt idx="0">
                  <c:v>Ternium Brasil - PL</c:v>
                </c:pt>
              </c:strCache>
            </c:strRef>
          </c:tx>
          <c:spPr>
            <a:ln cmpd="sng">
              <a:solidFill>
                <a:srgbClr val="FF994D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Avaliação!$H$133:$N$133</c:f>
              <c:numCache>
                <c:formatCode>0</c:formatCode>
                <c:ptCount val="7"/>
                <c:pt idx="0">
                  <c:v>1521.4792384298373</c:v>
                </c:pt>
                <c:pt idx="1">
                  <c:v>1533.8625675647618</c:v>
                </c:pt>
                <c:pt idx="2">
                  <c:v>1546.3467350457599</c:v>
                </c:pt>
                <c:pt idx="3">
                  <c:v>1558.9325624894173</c:v>
                </c:pt>
                <c:pt idx="4">
                  <c:v>1571.6208782113588</c:v>
                </c:pt>
                <c:pt idx="5">
                  <c:v>1584.412517280922</c:v>
                </c:pt>
                <c:pt idx="6">
                  <c:v>1597.3083215762506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97-41FA-8748-EA362878E3B6}"/>
            </c:ext>
          </c:extLst>
        </c:ser>
        <c:ser>
          <c:idx val="11"/>
          <c:order val="11"/>
          <c:tx>
            <c:strRef>
              <c:f>Avaliação!$G$134</c:f>
              <c:strCache>
                <c:ptCount val="1"/>
                <c:pt idx="0">
                  <c:v>Votorantim - PL</c:v>
                </c:pt>
              </c:strCache>
            </c:strRef>
          </c:tx>
          <c:spPr>
            <a:ln cmpd="sng">
              <a:solidFill>
                <a:srgbClr val="7ED1D7"/>
              </a:solidFill>
              <a:prstDash val="dash"/>
            </a:ln>
          </c:spPr>
          <c:marker>
            <c:symbol val="none"/>
          </c:marker>
          <c:cat>
            <c:numRef>
              <c:f>Avaliação!$H$47:$N$47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Avaliação!$H$134:$N$134</c:f>
              <c:numCache>
                <c:formatCode>0</c:formatCode>
                <c:ptCount val="7"/>
                <c:pt idx="0">
                  <c:v>1765.3400966840049</c:v>
                </c:pt>
                <c:pt idx="1">
                  <c:v>1394.4448162252825</c:v>
                </c:pt>
                <c:pt idx="2">
                  <c:v>1405.7937231745211</c:v>
                </c:pt>
                <c:pt idx="3">
                  <c:v>1417.2350404153797</c:v>
                </c:pt>
                <c:pt idx="4">
                  <c:v>1428.7695208490143</c:v>
                </c:pt>
                <c:pt idx="5">
                  <c:v>1440.3979235149245</c:v>
                </c:pt>
                <c:pt idx="6">
                  <c:v>1452.1210136410336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97-41FA-8748-EA362878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61571"/>
        <c:axId val="2030117985"/>
      </c:lineChart>
      <c:catAx>
        <c:axId val="1283061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117985"/>
        <c:crosses val="autoZero"/>
        <c:auto val="1"/>
        <c:lblAlgn val="ctr"/>
        <c:lblOffset val="100"/>
        <c:noMultiLvlLbl val="1"/>
      </c:catAx>
      <c:valAx>
        <c:axId val="2030117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[$/kW]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3061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11</xdr:row>
      <xdr:rowOff>200025</xdr:rowOff>
    </xdr:from>
    <xdr:ext cx="5629275" cy="33813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114300</xdr:colOff>
      <xdr:row>29</xdr:row>
      <xdr:rowOff>114300</xdr:rowOff>
    </xdr:from>
    <xdr:ext cx="5629275" cy="37052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13</xdr:row>
      <xdr:rowOff>114300</xdr:rowOff>
    </xdr:from>
    <xdr:ext cx="5000625" cy="309562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219075</xdr:colOff>
      <xdr:row>29</xdr:row>
      <xdr:rowOff>133350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609600</xdr:colOff>
      <xdr:row>13</xdr:row>
      <xdr:rowOff>114300</xdr:rowOff>
    </xdr:from>
    <xdr:ext cx="57150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609600</xdr:colOff>
      <xdr:row>31</xdr:row>
      <xdr:rowOff>190500</xdr:rowOff>
    </xdr:from>
    <xdr:ext cx="6315075" cy="41814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438150</xdr:colOff>
      <xdr:row>29</xdr:row>
      <xdr:rowOff>133350</xdr:rowOff>
    </xdr:from>
    <xdr:ext cx="5000625" cy="309562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63</xdr:row>
      <xdr:rowOff>19050</xdr:rowOff>
    </xdr:from>
    <xdr:ext cx="7981950" cy="59340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135</xdr:row>
      <xdr:rowOff>28575</xdr:rowOff>
    </xdr:from>
    <xdr:ext cx="7981950" cy="5934075"/>
    <xdr:graphicFrame macro="">
      <xdr:nvGraphicFramePr>
        <xdr:cNvPr id="9" name="Chart 9" title="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9525</xdr:colOff>
      <xdr:row>205</xdr:row>
      <xdr:rowOff>38100</xdr:rowOff>
    </xdr:from>
    <xdr:ext cx="7981950" cy="4924425"/>
    <xdr:graphicFrame macro="">
      <xdr:nvGraphicFramePr>
        <xdr:cNvPr id="10" name="Chart 10" title="Gráfic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809625</xdr:colOff>
      <xdr:row>194</xdr:row>
      <xdr:rowOff>85725</xdr:rowOff>
    </xdr:from>
    <xdr:ext cx="5715000" cy="3533775"/>
    <xdr:graphicFrame macro="">
      <xdr:nvGraphicFramePr>
        <xdr:cNvPr id="11" name="Chart 11" title="Gráfic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11</xdr:row>
      <xdr:rowOff>200025</xdr:rowOff>
    </xdr:from>
    <xdr:ext cx="5629275" cy="3381375"/>
    <xdr:graphicFrame macro="">
      <xdr:nvGraphicFramePr>
        <xdr:cNvPr id="12" name="Chart 12" title="Gráfic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495300</xdr:colOff>
      <xdr:row>30</xdr:row>
      <xdr:rowOff>142875</xdr:rowOff>
    </xdr:from>
    <xdr:ext cx="6781800" cy="4486275"/>
    <xdr:graphicFrame macro="">
      <xdr:nvGraphicFramePr>
        <xdr:cNvPr id="13" name="Chart 13" title="Gráfic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13</xdr:row>
      <xdr:rowOff>114300</xdr:rowOff>
    </xdr:from>
    <xdr:ext cx="5000625" cy="3095625"/>
    <xdr:graphicFrame macro="">
      <xdr:nvGraphicFramePr>
        <xdr:cNvPr id="14" name="Chart 14" title="Gráfico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219075</xdr:colOff>
      <xdr:row>29</xdr:row>
      <xdr:rowOff>133350</xdr:rowOff>
    </xdr:from>
    <xdr:ext cx="5715000" cy="3533775"/>
    <xdr:graphicFrame macro="">
      <xdr:nvGraphicFramePr>
        <xdr:cNvPr id="15" name="Chart 15" title="Gráfic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609600</xdr:colOff>
      <xdr:row>13</xdr:row>
      <xdr:rowOff>114300</xdr:rowOff>
    </xdr:from>
    <xdr:ext cx="5715000" cy="3533775"/>
    <xdr:graphicFrame macro="">
      <xdr:nvGraphicFramePr>
        <xdr:cNvPr id="16" name="Chart 16" title="Gráfic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609600</xdr:colOff>
      <xdr:row>31</xdr:row>
      <xdr:rowOff>190500</xdr:rowOff>
    </xdr:from>
    <xdr:ext cx="6315075" cy="4181475"/>
    <xdr:graphicFrame macro="">
      <xdr:nvGraphicFramePr>
        <xdr:cNvPr id="17" name="Chart 17" title="Gráfico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219075</xdr:colOff>
      <xdr:row>29</xdr:row>
      <xdr:rowOff>133350</xdr:rowOff>
    </xdr:from>
    <xdr:ext cx="7143750" cy="4419600"/>
    <xdr:graphicFrame macro="">
      <xdr:nvGraphicFramePr>
        <xdr:cNvPr id="18" name="Chart 18" title="Gráfico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63</xdr:row>
      <xdr:rowOff>19050</xdr:rowOff>
    </xdr:from>
    <xdr:ext cx="7010400" cy="5219700"/>
    <xdr:graphicFrame macro="">
      <xdr:nvGraphicFramePr>
        <xdr:cNvPr id="19" name="Chart 19" title="Gráfico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135</xdr:row>
      <xdr:rowOff>28575</xdr:rowOff>
    </xdr:from>
    <xdr:ext cx="7058025" cy="5219700"/>
    <xdr:graphicFrame macro="">
      <xdr:nvGraphicFramePr>
        <xdr:cNvPr id="20" name="Chart 20" title="Gráfico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9525</xdr:colOff>
      <xdr:row>204</xdr:row>
      <xdr:rowOff>95250</xdr:rowOff>
    </xdr:from>
    <xdr:ext cx="7058025" cy="5105400"/>
    <xdr:graphicFrame macro="">
      <xdr:nvGraphicFramePr>
        <xdr:cNvPr id="21" name="Chart 21" title="Gráfico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63</xdr:row>
      <xdr:rowOff>19050</xdr:rowOff>
    </xdr:from>
    <xdr:ext cx="7010400" cy="5219700"/>
    <xdr:graphicFrame macro="">
      <xdr:nvGraphicFramePr>
        <xdr:cNvPr id="22" name="Chart 22" title="Gráfico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135</xdr:row>
      <xdr:rowOff>28575</xdr:rowOff>
    </xdr:from>
    <xdr:ext cx="7058025" cy="5219700"/>
    <xdr:graphicFrame macro="">
      <xdr:nvGraphicFramePr>
        <xdr:cNvPr id="23" name="Chart 23" title="Gráfico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9525</xdr:colOff>
      <xdr:row>204</xdr:row>
      <xdr:rowOff>95250</xdr:rowOff>
    </xdr:from>
    <xdr:ext cx="7058025" cy="5105400"/>
    <xdr:graphicFrame macro="">
      <xdr:nvGraphicFramePr>
        <xdr:cNvPr id="24" name="Chart 24" title="Gráfico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476250</xdr:colOff>
      <xdr:row>205</xdr:row>
      <xdr:rowOff>123825</xdr:rowOff>
    </xdr:from>
    <xdr:ext cx="7058025" cy="5105400"/>
    <xdr:graphicFrame macro="">
      <xdr:nvGraphicFramePr>
        <xdr:cNvPr id="25" name="Chart 25" title="Gráfico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4"/>
  <sheetViews>
    <sheetView showGridLines="0" topLeftCell="A19" workbookViewId="0"/>
  </sheetViews>
  <sheetFormatPr defaultColWidth="12.6640625" defaultRowHeight="15.75" customHeight="1" x14ac:dyDescent="0.25"/>
  <cols>
    <col min="1" max="1" width="9.88671875" customWidth="1"/>
    <col min="2" max="2" width="8" customWidth="1"/>
    <col min="3" max="3" width="11.21875" customWidth="1"/>
    <col min="4" max="4" width="15.44140625" customWidth="1"/>
    <col min="5" max="5" width="16.88671875" customWidth="1"/>
    <col min="7" max="7" width="5.6640625" customWidth="1"/>
    <col min="8" max="8" width="25.6640625" customWidth="1"/>
    <col min="9" max="10" width="18.77734375" customWidth="1"/>
  </cols>
  <sheetData>
    <row r="1" spans="1:12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 spans="1:12" x14ac:dyDescent="0.25">
      <c r="A2" s="1" t="s">
        <v>4</v>
      </c>
      <c r="B2" s="2">
        <v>0.1</v>
      </c>
      <c r="C2" s="1" t="s">
        <v>5</v>
      </c>
      <c r="D2" s="1" t="s">
        <v>6</v>
      </c>
      <c r="E2" s="1" t="s">
        <v>7</v>
      </c>
    </row>
    <row r="3" spans="1:12" x14ac:dyDescent="0.25">
      <c r="A3" s="1" t="s">
        <v>8</v>
      </c>
      <c r="B3" s="2">
        <v>15</v>
      </c>
      <c r="C3" s="1" t="s">
        <v>5</v>
      </c>
      <c r="D3" s="1" t="s">
        <v>9</v>
      </c>
      <c r="E3" s="1" t="s">
        <v>10</v>
      </c>
    </row>
    <row r="4" spans="1:12" x14ac:dyDescent="0.25">
      <c r="A4" s="1" t="s">
        <v>11</v>
      </c>
      <c r="B4" s="2">
        <v>7.38</v>
      </c>
      <c r="C4" s="1" t="s">
        <v>5</v>
      </c>
      <c r="D4" s="1" t="s">
        <v>12</v>
      </c>
      <c r="E4" s="1" t="s">
        <v>7</v>
      </c>
      <c r="G4" s="1"/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 x14ac:dyDescent="0.25">
      <c r="A5" s="1" t="s">
        <v>18</v>
      </c>
      <c r="B5" s="2">
        <v>4</v>
      </c>
      <c r="C5" s="4" t="s">
        <v>19</v>
      </c>
      <c r="D5" s="1" t="s">
        <v>20</v>
      </c>
      <c r="E5" s="1" t="s">
        <v>21</v>
      </c>
      <c r="G5" s="1"/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</row>
    <row r="6" spans="1:12" x14ac:dyDescent="0.25">
      <c r="A6" s="1" t="s">
        <v>27</v>
      </c>
      <c r="B6" s="2">
        <v>44.01</v>
      </c>
      <c r="C6" s="1" t="s">
        <v>28</v>
      </c>
      <c r="D6" s="1" t="s">
        <v>29</v>
      </c>
      <c r="E6" s="1" t="s">
        <v>30</v>
      </c>
      <c r="H6" s="3" t="s">
        <v>31</v>
      </c>
      <c r="I6" s="3" t="s">
        <v>32</v>
      </c>
      <c r="J6" s="3" t="s">
        <v>33</v>
      </c>
      <c r="K6" s="3" t="s">
        <v>34</v>
      </c>
      <c r="L6" s="3" t="s">
        <v>35</v>
      </c>
    </row>
    <row r="7" spans="1:12" x14ac:dyDescent="0.25">
      <c r="A7" s="1" t="s">
        <v>36</v>
      </c>
      <c r="B7" s="2">
        <v>8.3140000000000001</v>
      </c>
      <c r="C7" s="1" t="s">
        <v>37</v>
      </c>
      <c r="D7" s="1" t="s">
        <v>38</v>
      </c>
      <c r="E7" s="1" t="s">
        <v>30</v>
      </c>
      <c r="H7" s="3" t="s">
        <v>39</v>
      </c>
      <c r="I7" s="3" t="s">
        <v>40</v>
      </c>
      <c r="J7" s="3" t="s">
        <v>41</v>
      </c>
      <c r="K7" s="3" t="s">
        <v>42</v>
      </c>
      <c r="L7" s="3" t="s">
        <v>43</v>
      </c>
    </row>
    <row r="8" spans="1:12" x14ac:dyDescent="0.25">
      <c r="A8" s="1" t="s">
        <v>44</v>
      </c>
      <c r="B8" s="2">
        <v>313.14999999999998</v>
      </c>
      <c r="C8" s="1" t="s">
        <v>45</v>
      </c>
      <c r="D8" s="1" t="s">
        <v>46</v>
      </c>
      <c r="E8" s="1" t="s">
        <v>21</v>
      </c>
    </row>
    <row r="9" spans="1:12" x14ac:dyDescent="0.25">
      <c r="A9" s="1" t="s">
        <v>47</v>
      </c>
      <c r="B9" s="2">
        <v>0.82</v>
      </c>
      <c r="C9" s="4" t="s">
        <v>19</v>
      </c>
      <c r="D9" s="1" t="s">
        <v>48</v>
      </c>
      <c r="E9" s="1" t="s">
        <v>49</v>
      </c>
    </row>
    <row r="10" spans="1:12" x14ac:dyDescent="0.25">
      <c r="A10" s="1" t="s">
        <v>50</v>
      </c>
      <c r="B10" s="1">
        <v>65000</v>
      </c>
    </row>
    <row r="11" spans="1:12" x14ac:dyDescent="0.25">
      <c r="A11" s="1" t="s">
        <v>51</v>
      </c>
      <c r="B11" s="1">
        <v>630</v>
      </c>
      <c r="D11" s="5"/>
    </row>
    <row r="12" spans="1:12" x14ac:dyDescent="0.25">
      <c r="A12" s="1" t="s">
        <v>52</v>
      </c>
      <c r="B12" s="1">
        <v>0.75</v>
      </c>
      <c r="E12" s="1">
        <v>356</v>
      </c>
    </row>
    <row r="13" spans="1:12" x14ac:dyDescent="0.25">
      <c r="A13" s="1"/>
      <c r="E13" s="1"/>
      <c r="H13" s="48" t="s">
        <v>53</v>
      </c>
      <c r="I13" s="49"/>
      <c r="J13" s="50"/>
    </row>
    <row r="14" spans="1:12" x14ac:dyDescent="0.25">
      <c r="A14" s="1" t="s">
        <v>54</v>
      </c>
      <c r="E14" s="1" t="s">
        <v>55</v>
      </c>
      <c r="H14" s="6" t="s">
        <v>56</v>
      </c>
      <c r="I14" s="48" t="s">
        <v>57</v>
      </c>
      <c r="J14" s="50"/>
    </row>
    <row r="15" spans="1:12" x14ac:dyDescent="0.25">
      <c r="A15" s="1" t="s">
        <v>58</v>
      </c>
      <c r="B15" s="7">
        <f>(B4/B2)^(1/B5)</f>
        <v>2.9309883380808275</v>
      </c>
      <c r="H15" s="6"/>
      <c r="I15" s="6" t="s">
        <v>59</v>
      </c>
      <c r="J15" s="6" t="s">
        <v>60</v>
      </c>
    </row>
    <row r="16" spans="1:12" x14ac:dyDescent="0.25">
      <c r="A16" s="1"/>
      <c r="H16" s="6">
        <v>300</v>
      </c>
      <c r="I16" s="6">
        <v>1176</v>
      </c>
      <c r="J16" s="6">
        <v>56</v>
      </c>
    </row>
    <row r="17" spans="1:10" x14ac:dyDescent="0.25">
      <c r="B17" s="1" t="s">
        <v>61</v>
      </c>
      <c r="C17" s="5">
        <f>(1000/(24*3600))*($B$10*C18*$B$7*$B$8/($B$6*$B$9))*(C19/(C19-1))*($B$15^(((C19-1)/C19))-1)</f>
        <v>65321.965266114843</v>
      </c>
      <c r="D17" s="8">
        <f>((22.26+((5.981*10^-2)*$E$12)+((-3.501*10^-5)*$E$12^2)+((7.469*10^-9)*$E$12^3))/44.01)/D18</f>
        <v>1.2670022094930111</v>
      </c>
      <c r="E17" s="1" t="s">
        <v>62</v>
      </c>
      <c r="F17" s="5">
        <f>((1000*10)/(24*36))*((B10*(B3-B4))/(B11*B12))</f>
        <v>12132.569077013521</v>
      </c>
      <c r="H17" s="6">
        <v>5000</v>
      </c>
      <c r="I17" s="6">
        <v>19605</v>
      </c>
      <c r="J17" s="6">
        <v>933</v>
      </c>
    </row>
    <row r="18" spans="1:10" x14ac:dyDescent="0.25">
      <c r="B18" s="1" t="s">
        <v>63</v>
      </c>
      <c r="C18" s="1">
        <v>0.995</v>
      </c>
      <c r="D18" s="1">
        <f>((22.26+((5.981*10^-2)*$E$12)+((-3.501*10^-5)*$E$12^2)+((7.469*10^-9)*$E$12^3))/44.01)-(8.314/44.01)</f>
        <v>0.70752826860949791</v>
      </c>
      <c r="H18" s="6">
        <v>10000</v>
      </c>
      <c r="I18" s="6">
        <v>39210</v>
      </c>
      <c r="J18" s="6">
        <v>1867</v>
      </c>
    </row>
    <row r="19" spans="1:10" x14ac:dyDescent="0.25">
      <c r="A19" s="9">
        <v>1.2769999999999999</v>
      </c>
      <c r="B19" s="1" t="s">
        <v>64</v>
      </c>
      <c r="C19" s="8">
        <f>D17/C18</f>
        <v>1.2733690547668453</v>
      </c>
      <c r="D19" s="8">
        <f>D17/C18</f>
        <v>1.2733690547668453</v>
      </c>
      <c r="H19" s="6">
        <v>15000</v>
      </c>
      <c r="I19" s="6">
        <v>58816</v>
      </c>
      <c r="J19" s="6">
        <v>2800</v>
      </c>
    </row>
    <row r="20" spans="1:10" x14ac:dyDescent="0.25">
      <c r="H20" s="6">
        <v>20000</v>
      </c>
      <c r="I20" s="6">
        <v>78421</v>
      </c>
      <c r="J20" s="6">
        <v>3733</v>
      </c>
    </row>
    <row r="21" spans="1:10" x14ac:dyDescent="0.25">
      <c r="B21" s="1" t="s">
        <v>65</v>
      </c>
      <c r="C21" s="5">
        <f>(1000/(24*3600))*($B$10*C22*$B$7*$B$8/($B$6*$B$9))*(C23/(C23-1))*($B$15^(((C23-1)/C23))-1)</f>
        <v>64988.510337358908</v>
      </c>
      <c r="D21" s="8">
        <f>((22.26+((5.981*10^-2)*$E$12)+((-3.501*10^-5)*$E$12^2)+((7.469*10^-9)*$E$12^3))/44.01)/D22</f>
        <v>1.2670022094930111</v>
      </c>
      <c r="H21" s="6">
        <v>25000</v>
      </c>
      <c r="I21" s="6">
        <v>98026</v>
      </c>
      <c r="J21" s="6">
        <v>4666</v>
      </c>
    </row>
    <row r="22" spans="1:10" x14ac:dyDescent="0.25">
      <c r="B22" s="1" t="s">
        <v>63</v>
      </c>
      <c r="C22" s="1">
        <v>0.98599999999999999</v>
      </c>
      <c r="D22" s="1">
        <f>((22.26+((5.981*10^-2)*$E$12)+((-3.501*10^-5)*$E$12^2)+((7.469*10^-9)*$E$12^3))/44.01)-(8.314/44.01)</f>
        <v>0.70752826860949791</v>
      </c>
      <c r="E22" s="1" t="s">
        <v>66</v>
      </c>
      <c r="F22" s="5">
        <f>SUM(C17,C21,C25,C29)</f>
        <v>254867.76629874512</v>
      </c>
      <c r="H22" s="6">
        <v>30000</v>
      </c>
      <c r="I22" s="6">
        <v>117631</v>
      </c>
      <c r="J22" s="6">
        <v>5600</v>
      </c>
    </row>
    <row r="23" spans="1:10" x14ac:dyDescent="0.25">
      <c r="A23" s="9">
        <v>1.286</v>
      </c>
      <c r="B23" s="1" t="s">
        <v>64</v>
      </c>
      <c r="C23" s="8">
        <f>D21/C22</f>
        <v>1.2849920988772932</v>
      </c>
      <c r="D23" s="8">
        <f>D21/C22</f>
        <v>1.2849920988772932</v>
      </c>
      <c r="E23" s="1" t="s">
        <v>67</v>
      </c>
      <c r="F23" s="1">
        <f>ROUNDUP(F22/60000,0)</f>
        <v>5</v>
      </c>
      <c r="H23" s="6">
        <v>35000</v>
      </c>
      <c r="I23" s="6">
        <v>137236</v>
      </c>
      <c r="J23" s="6">
        <v>6533</v>
      </c>
    </row>
    <row r="24" spans="1:10" x14ac:dyDescent="0.25">
      <c r="H24" s="6">
        <v>40000</v>
      </c>
      <c r="I24" s="6">
        <v>156842</v>
      </c>
      <c r="J24" s="6">
        <v>7466</v>
      </c>
    </row>
    <row r="25" spans="1:10" x14ac:dyDescent="0.25">
      <c r="B25" s="1" t="s">
        <v>68</v>
      </c>
      <c r="C25" s="5">
        <f>(1000/(24*3600))*($B$10*C26*$B$7*$B$8/($B$6*$B$9))*(C27/(C27-1))*($B$15^(((C27-1)/C27))-1)</f>
        <v>63967.801358646095</v>
      </c>
      <c r="D25" s="8">
        <f>((22.26+((5.981*10^-2)*$E$12)+((-3.501*10^-5)*$E$12^2)+((7.469*10^-9)*$E$12^3))/44.01)/D26</f>
        <v>1.2670022094930111</v>
      </c>
      <c r="H25" s="6">
        <v>45000</v>
      </c>
      <c r="I25" s="6">
        <v>176447</v>
      </c>
      <c r="J25" s="6">
        <v>8399</v>
      </c>
    </row>
    <row r="26" spans="1:10" x14ac:dyDescent="0.25">
      <c r="B26" s="1" t="s">
        <v>63</v>
      </c>
      <c r="C26" s="1">
        <v>0.95899999999999996</v>
      </c>
      <c r="D26" s="1">
        <f>((22.26+((5.981*10^-2)*$E$12)+((-3.501*10^-5)*$E$12^2)+((7.469*10^-9)*$E$12^3))/44.01)-(8.314/44.01)</f>
        <v>0.70752826860949791</v>
      </c>
      <c r="H26" s="6">
        <v>50000</v>
      </c>
      <c r="I26" s="6">
        <v>196052</v>
      </c>
      <c r="J26" s="6">
        <v>9333</v>
      </c>
    </row>
    <row r="27" spans="1:10" x14ac:dyDescent="0.25">
      <c r="A27" s="9">
        <v>1.379</v>
      </c>
      <c r="B27" s="1" t="s">
        <v>64</v>
      </c>
      <c r="C27" s="8">
        <f>D25/C26</f>
        <v>1.3211701871668522</v>
      </c>
      <c r="D27" s="8">
        <f>D25/C26</f>
        <v>1.3211701871668522</v>
      </c>
      <c r="H27" s="6">
        <v>55000</v>
      </c>
      <c r="I27" s="6">
        <v>215657</v>
      </c>
      <c r="J27" s="6">
        <v>10266</v>
      </c>
    </row>
    <row r="28" spans="1:10" x14ac:dyDescent="0.25">
      <c r="H28" s="6">
        <v>60000</v>
      </c>
      <c r="I28" s="6">
        <v>235263</v>
      </c>
      <c r="J28" s="6">
        <v>11199</v>
      </c>
    </row>
    <row r="29" spans="1:10" x14ac:dyDescent="0.25">
      <c r="B29" s="1" t="s">
        <v>69</v>
      </c>
      <c r="C29" s="5">
        <f>(1000/(24*3600))*($B$10*C30*$B$7*$B$8/($B$6*$B$9))*(C31/(C31-1))*($B$15^(((C31-1)/C31))-1)</f>
        <v>60589.48933662528</v>
      </c>
      <c r="D29" s="8">
        <f>((22.26+((5.981*10^-2)*$E$12)+((-3.501*10^-5)*$E$12^2)+((7.469*10^-9)*$E$12^3))/44.01)/D30</f>
        <v>1.2670022094930111</v>
      </c>
      <c r="H29" s="6">
        <v>65000</v>
      </c>
      <c r="I29" s="6">
        <v>254868</v>
      </c>
      <c r="J29" s="6">
        <v>12133</v>
      </c>
    </row>
    <row r="30" spans="1:10" x14ac:dyDescent="0.25">
      <c r="B30" s="1" t="s">
        <v>63</v>
      </c>
      <c r="C30" s="1">
        <v>0.875</v>
      </c>
      <c r="D30" s="1">
        <f>((22.26+((5.981*10^-2)*$E$12)+((-3.501*10^-5)*$E$12^2)+((7.469*10^-9)*$E$12^3))/44.01)-(8.314/44.01)</f>
        <v>0.70752826860949791</v>
      </c>
    </row>
    <row r="31" spans="1:10" x14ac:dyDescent="0.25">
      <c r="A31" s="9">
        <v>1.704</v>
      </c>
      <c r="B31" s="1" t="s">
        <v>64</v>
      </c>
      <c r="C31" s="8">
        <f>D29/C30</f>
        <v>1.4480025251348698</v>
      </c>
      <c r="D31" s="8">
        <f>D29/C30</f>
        <v>1.4480025251348698</v>
      </c>
    </row>
    <row r="32" spans="1:10" x14ac:dyDescent="0.25">
      <c r="H32" s="48" t="s">
        <v>70</v>
      </c>
      <c r="I32" s="49"/>
      <c r="J32" s="50"/>
    </row>
    <row r="33" spans="3:10" x14ac:dyDescent="0.25">
      <c r="C33" s="5"/>
      <c r="H33" s="6" t="s">
        <v>56</v>
      </c>
      <c r="I33" s="48" t="s">
        <v>57</v>
      </c>
      <c r="J33" s="50"/>
    </row>
    <row r="34" spans="3:10" x14ac:dyDescent="0.25">
      <c r="H34" s="6"/>
      <c r="I34" s="6" t="s">
        <v>59</v>
      </c>
      <c r="J34" s="6" t="s">
        <v>60</v>
      </c>
    </row>
    <row r="35" spans="3:10" x14ac:dyDescent="0.25">
      <c r="H35" s="6">
        <v>1000</v>
      </c>
      <c r="I35" s="6">
        <v>3921</v>
      </c>
      <c r="J35" s="6">
        <v>187</v>
      </c>
    </row>
    <row r="36" spans="3:10" x14ac:dyDescent="0.25">
      <c r="H36" s="6">
        <v>5000</v>
      </c>
      <c r="I36" s="6">
        <f>I17</f>
        <v>19605</v>
      </c>
      <c r="J36" s="6">
        <v>933</v>
      </c>
    </row>
    <row r="37" spans="3:10" x14ac:dyDescent="0.25">
      <c r="H37" s="6">
        <v>15000</v>
      </c>
      <c r="I37" s="6">
        <f>I19</f>
        <v>58816</v>
      </c>
      <c r="J37" s="6">
        <v>2800</v>
      </c>
    </row>
    <row r="38" spans="3:10" x14ac:dyDescent="0.25">
      <c r="H38" s="6">
        <v>25000</v>
      </c>
      <c r="I38" s="6">
        <f>I21</f>
        <v>98026</v>
      </c>
      <c r="J38" s="6">
        <v>4666</v>
      </c>
    </row>
    <row r="39" spans="3:10" x14ac:dyDescent="0.25">
      <c r="H39" s="6">
        <v>35000</v>
      </c>
      <c r="I39" s="6">
        <f>I23</f>
        <v>137236</v>
      </c>
      <c r="J39" s="6">
        <v>6533</v>
      </c>
    </row>
    <row r="40" spans="3:10" x14ac:dyDescent="0.25">
      <c r="C40" s="5"/>
      <c r="H40" s="6">
        <v>45000</v>
      </c>
      <c r="I40" s="6">
        <f>I25</f>
        <v>176447</v>
      </c>
      <c r="J40" s="6">
        <v>8399</v>
      </c>
    </row>
    <row r="41" spans="3:10" x14ac:dyDescent="0.25">
      <c r="H41" s="6">
        <v>55000</v>
      </c>
      <c r="I41" s="6">
        <f>I27</f>
        <v>215657</v>
      </c>
      <c r="J41" s="6">
        <v>10266</v>
      </c>
    </row>
    <row r="42" spans="3:10" x14ac:dyDescent="0.25">
      <c r="H42" s="6">
        <v>65000</v>
      </c>
      <c r="I42" s="6">
        <f>I29</f>
        <v>254868</v>
      </c>
      <c r="J42" s="6">
        <v>12133</v>
      </c>
    </row>
    <row r="44" spans="3:10" x14ac:dyDescent="0.25">
      <c r="J44" s="10"/>
    </row>
  </sheetData>
  <mergeCells count="4">
    <mergeCell ref="H13:J13"/>
    <mergeCell ref="I14:J14"/>
    <mergeCell ref="H32:J32"/>
    <mergeCell ref="I33:J33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AC224"/>
  <sheetViews>
    <sheetView showGridLines="0" tabSelected="1" topLeftCell="D197" workbookViewId="0">
      <selection activeCell="O189" sqref="O189"/>
    </sheetView>
  </sheetViews>
  <sheetFormatPr defaultColWidth="12.6640625" defaultRowHeight="15.75" customHeight="1" x14ac:dyDescent="0.25"/>
  <cols>
    <col min="7" max="7" width="16.44140625" customWidth="1"/>
    <col min="14" max="14" width="6.44140625" customWidth="1"/>
    <col min="15" max="15" width="16.44140625" customWidth="1"/>
    <col min="22" max="22" width="1.88671875" customWidth="1"/>
    <col min="23" max="23" width="16.44140625" customWidth="1"/>
  </cols>
  <sheetData>
    <row r="1" spans="1:13" x14ac:dyDescent="0.25">
      <c r="A1" s="1"/>
      <c r="B1" s="2"/>
      <c r="C1" s="1"/>
      <c r="H1" s="51" t="s">
        <v>304</v>
      </c>
      <c r="I1" s="49"/>
      <c r="J1" s="49"/>
      <c r="K1" s="49"/>
      <c r="L1" s="49"/>
      <c r="M1" s="50"/>
    </row>
    <row r="2" spans="1:13" x14ac:dyDescent="0.25">
      <c r="A2" s="1" t="s">
        <v>4</v>
      </c>
      <c r="B2" s="2">
        <v>0.1</v>
      </c>
      <c r="C2" s="1" t="s">
        <v>5</v>
      </c>
      <c r="H2" s="17">
        <v>2025</v>
      </c>
      <c r="I2" s="17">
        <v>2026</v>
      </c>
      <c r="J2" s="17">
        <v>2027</v>
      </c>
      <c r="K2" s="17">
        <v>2028</v>
      </c>
      <c r="L2" s="17">
        <v>2029</v>
      </c>
      <c r="M2" s="17">
        <v>2030</v>
      </c>
    </row>
    <row r="3" spans="1:13" ht="15.75" customHeight="1" x14ac:dyDescent="0.3">
      <c r="A3" s="1" t="s">
        <v>8</v>
      </c>
      <c r="B3" s="2">
        <v>15</v>
      </c>
      <c r="C3" s="1" t="s">
        <v>5</v>
      </c>
      <c r="G3" s="15" t="s">
        <v>305</v>
      </c>
      <c r="H3" s="19">
        <v>1252184.659</v>
      </c>
      <c r="I3" s="19">
        <v>1242492.4029999999</v>
      </c>
      <c r="J3" s="19">
        <v>1239475.497</v>
      </c>
      <c r="K3" s="19">
        <v>1238880.071</v>
      </c>
      <c r="L3" s="19">
        <v>1238802.736</v>
      </c>
      <c r="M3" s="19">
        <v>1238796.014</v>
      </c>
    </row>
    <row r="4" spans="1:13" ht="15.75" customHeight="1" x14ac:dyDescent="0.3">
      <c r="A4" s="1" t="s">
        <v>11</v>
      </c>
      <c r="B4" s="2">
        <v>7.38</v>
      </c>
      <c r="C4" s="1" t="s">
        <v>5</v>
      </c>
      <c r="G4" s="15" t="s">
        <v>306</v>
      </c>
      <c r="H4" s="19">
        <v>1519019.851</v>
      </c>
      <c r="I4" s="19">
        <v>1519730.0330000001</v>
      </c>
      <c r="J4" s="19">
        <v>1519924.6569999999</v>
      </c>
      <c r="K4" s="19">
        <v>1519972.28</v>
      </c>
      <c r="L4" s="19">
        <v>1519982.635</v>
      </c>
      <c r="M4" s="19">
        <v>1519984.615</v>
      </c>
    </row>
    <row r="5" spans="1:13" ht="15.75" customHeight="1" x14ac:dyDescent="0.3">
      <c r="A5" s="1" t="s">
        <v>18</v>
      </c>
      <c r="B5" s="2">
        <v>4</v>
      </c>
      <c r="C5" s="4" t="s">
        <v>19</v>
      </c>
      <c r="G5" s="15" t="s">
        <v>307</v>
      </c>
      <c r="H5" s="19">
        <v>13340974.68</v>
      </c>
      <c r="I5" s="19">
        <v>13317894.4</v>
      </c>
      <c r="J5" s="19">
        <v>13317618.09</v>
      </c>
      <c r="K5" s="19">
        <v>13319518.810000001</v>
      </c>
      <c r="L5" s="19">
        <v>13319376.18</v>
      </c>
      <c r="M5" s="19">
        <v>13318683.390000001</v>
      </c>
    </row>
    <row r="6" spans="1:13" ht="15.75" customHeight="1" x14ac:dyDescent="0.3">
      <c r="A6" s="1" t="s">
        <v>27</v>
      </c>
      <c r="B6" s="2">
        <v>44.01</v>
      </c>
      <c r="C6" s="1" t="s">
        <v>28</v>
      </c>
      <c r="G6" s="15" t="s">
        <v>308</v>
      </c>
      <c r="H6" s="19">
        <v>2074743.226</v>
      </c>
      <c r="I6" s="19">
        <v>1921092.9890000001</v>
      </c>
      <c r="J6" s="19">
        <v>1776351.196</v>
      </c>
      <c r="K6" s="19">
        <v>1657053.206</v>
      </c>
      <c r="L6" s="19">
        <v>1569027.716</v>
      </c>
      <c r="M6" s="19">
        <v>1510201.067</v>
      </c>
    </row>
    <row r="7" spans="1:13" ht="15.75" customHeight="1" x14ac:dyDescent="0.3">
      <c r="A7" s="1" t="s">
        <v>36</v>
      </c>
      <c r="B7" s="2">
        <v>8.3140000000000001</v>
      </c>
      <c r="C7" s="1" t="s">
        <v>37</v>
      </c>
      <c r="G7" s="15" t="s">
        <v>309</v>
      </c>
      <c r="H7" s="19">
        <v>18060260.719999999</v>
      </c>
      <c r="I7" s="19">
        <v>17756772.359999999</v>
      </c>
      <c r="J7" s="19">
        <v>17540633.699999999</v>
      </c>
      <c r="K7" s="19">
        <v>17448468.670000002</v>
      </c>
      <c r="L7" s="19">
        <v>17423023.75</v>
      </c>
      <c r="M7" s="19">
        <v>17418340.030000001</v>
      </c>
    </row>
    <row r="8" spans="1:13" ht="15.75" customHeight="1" x14ac:dyDescent="0.3">
      <c r="A8" s="1" t="s">
        <v>44</v>
      </c>
      <c r="B8" s="2">
        <v>313.14999999999998</v>
      </c>
      <c r="C8" s="1" t="s">
        <v>45</v>
      </c>
      <c r="G8" s="15" t="s">
        <v>310</v>
      </c>
      <c r="H8" s="19">
        <v>9801580.5170000009</v>
      </c>
      <c r="I8" s="19">
        <v>9772826.2039999999</v>
      </c>
      <c r="J8" s="19">
        <v>9788235.1209999993</v>
      </c>
      <c r="K8" s="19">
        <v>9823698.5</v>
      </c>
      <c r="L8" s="19">
        <v>9856964.2770000007</v>
      </c>
      <c r="M8" s="19">
        <v>9878515.7060000002</v>
      </c>
    </row>
    <row r="9" spans="1:13" x14ac:dyDescent="0.25">
      <c r="A9" s="1" t="s">
        <v>47</v>
      </c>
      <c r="B9" s="2">
        <v>0.82</v>
      </c>
      <c r="C9" s="4" t="s">
        <v>19</v>
      </c>
    </row>
    <row r="10" spans="1:13" x14ac:dyDescent="0.25">
      <c r="A10" s="1" t="s">
        <v>50</v>
      </c>
      <c r="B10" s="2">
        <v>25000</v>
      </c>
      <c r="H10" s="51" t="s">
        <v>311</v>
      </c>
      <c r="I10" s="49"/>
      <c r="J10" s="49"/>
      <c r="K10" s="49"/>
      <c r="L10" s="49"/>
      <c r="M10" s="50"/>
    </row>
    <row r="11" spans="1:13" x14ac:dyDescent="0.25">
      <c r="A11" s="1" t="s">
        <v>51</v>
      </c>
      <c r="B11" s="2">
        <v>630</v>
      </c>
      <c r="H11" s="17">
        <v>2025</v>
      </c>
      <c r="I11" s="17">
        <v>2026</v>
      </c>
      <c r="J11" s="17">
        <v>2027</v>
      </c>
      <c r="K11" s="17">
        <v>2028</v>
      </c>
      <c r="L11" s="17">
        <v>2029</v>
      </c>
      <c r="M11" s="17">
        <v>2030</v>
      </c>
    </row>
    <row r="12" spans="1:13" ht="15.75" customHeight="1" x14ac:dyDescent="0.3">
      <c r="A12" s="1" t="s">
        <v>52</v>
      </c>
      <c r="B12" s="2">
        <v>0.75</v>
      </c>
      <c r="E12" s="1">
        <v>356</v>
      </c>
      <c r="G12" s="15" t="s">
        <v>312</v>
      </c>
      <c r="H12" s="20">
        <v>1.3209801979414839</v>
      </c>
      <c r="I12" s="20">
        <v>1.300378776602809</v>
      </c>
      <c r="J12" s="20">
        <v>1.280098645895011</v>
      </c>
      <c r="K12" s="20">
        <v>1.260134795111898</v>
      </c>
      <c r="L12" s="20">
        <v>1.2404822916920279</v>
      </c>
      <c r="M12" s="20">
        <v>1.2211362800000001</v>
      </c>
    </row>
    <row r="13" spans="1:13" ht="15.75" customHeight="1" x14ac:dyDescent="0.3">
      <c r="G13" s="15" t="s">
        <v>313</v>
      </c>
      <c r="H13" s="20">
        <v>1.554675873546904</v>
      </c>
      <c r="I13" s="20">
        <v>1.530429838090867</v>
      </c>
      <c r="J13" s="20">
        <v>1.506561933051167</v>
      </c>
      <c r="K13" s="20">
        <v>1.4830662612735259</v>
      </c>
      <c r="L13" s="20">
        <v>1.4599370175730659</v>
      </c>
      <c r="M13" s="20">
        <v>1.4371684872999999</v>
      </c>
    </row>
    <row r="14" spans="1:13" ht="15.75" customHeight="1" x14ac:dyDescent="0.3">
      <c r="A14" s="1" t="s">
        <v>54</v>
      </c>
      <c r="G14" s="15" t="s">
        <v>314</v>
      </c>
      <c r="H14" s="20">
        <v>13.30267878641728</v>
      </c>
      <c r="I14" s="20">
        <v>13.09521610753753</v>
      </c>
      <c r="J14" s="20">
        <v>12.890988924592021</v>
      </c>
      <c r="K14" s="20">
        <v>12.68994677822104</v>
      </c>
      <c r="L14" s="20">
        <v>12.492039996006669</v>
      </c>
      <c r="M14" s="20">
        <v>12.2972196802</v>
      </c>
    </row>
    <row r="15" spans="1:13" ht="15.75" customHeight="1" x14ac:dyDescent="0.3">
      <c r="A15" s="1" t="s">
        <v>58</v>
      </c>
      <c r="B15" s="7">
        <f>(B4/B2)^(1/B5)</f>
        <v>2.9309883380808275</v>
      </c>
      <c r="G15" s="15" t="s">
        <v>315</v>
      </c>
      <c r="H15" s="20">
        <v>2.2483675915136541</v>
      </c>
      <c r="I15" s="20">
        <v>2.2133030476626741</v>
      </c>
      <c r="J15" s="20">
        <v>2.1787853548871658</v>
      </c>
      <c r="K15" s="20">
        <v>2.1448059847402758</v>
      </c>
      <c r="L15" s="20">
        <v>2.1113565417810229</v>
      </c>
      <c r="M15" s="20">
        <v>2.0784287615000001</v>
      </c>
    </row>
    <row r="16" spans="1:13" ht="15.75" customHeight="1" x14ac:dyDescent="0.3">
      <c r="A16" s="1"/>
      <c r="G16" s="15" t="s">
        <v>316</v>
      </c>
      <c r="H16" s="20">
        <v>23.264297643018619</v>
      </c>
      <c r="I16" s="20">
        <v>22.901477974230961</v>
      </c>
      <c r="J16" s="20">
        <v>22.544316680094418</v>
      </c>
      <c r="K16" s="20">
        <v>22.192725515107309</v>
      </c>
      <c r="L16" s="20">
        <v>21.846617610005651</v>
      </c>
      <c r="M16" s="20">
        <v>21.505907450300001</v>
      </c>
    </row>
    <row r="17" spans="1:13" ht="15.75" customHeight="1" x14ac:dyDescent="0.3">
      <c r="B17" s="1" t="s">
        <v>61</v>
      </c>
      <c r="C17" s="5">
        <f>(1000/(24*3600))*($B$10*C18*$B$7*$B$8/($B$6*$B$9))*(C19/(C19-1))*($B$15^(((C19-1)/C19))-1)</f>
        <v>25123.83279465956</v>
      </c>
      <c r="D17" s="8">
        <f>((22.26+((5.981*10^-2)*$E$12)+((-3.501*10^-5)*$E$12^2)+((7.469*10^-9)*$E$12^3))/44.01)/D18</f>
        <v>1.2670022094930111</v>
      </c>
      <c r="G17" s="15" t="s">
        <v>317</v>
      </c>
      <c r="H17" s="20">
        <v>8.8010837167810383</v>
      </c>
      <c r="I17" s="20">
        <v>8.6638259182395387</v>
      </c>
      <c r="J17" s="20">
        <v>8.5287087314529924</v>
      </c>
      <c r="K17" s="20">
        <v>8.3956987723897871</v>
      </c>
      <c r="L17" s="20">
        <v>8.2647631776608605</v>
      </c>
      <c r="M17" s="20">
        <v>8.1358695963999992</v>
      </c>
    </row>
    <row r="18" spans="1:13" x14ac:dyDescent="0.25">
      <c r="B18" s="1" t="s">
        <v>63</v>
      </c>
      <c r="C18" s="1">
        <v>0.995</v>
      </c>
      <c r="D18" s="1">
        <f>((22.26+((5.981*10^-2)*$E$12)+((-3.501*10^-5)*$E$12^2)+((7.469*10^-9)*$E$12^3))/44.01)-(8.314/44.01)</f>
        <v>0.70752826860949791</v>
      </c>
    </row>
    <row r="19" spans="1:13" x14ac:dyDescent="0.25">
      <c r="A19" s="9">
        <v>1.2769999999999999</v>
      </c>
      <c r="B19" s="1" t="s">
        <v>64</v>
      </c>
      <c r="C19" s="8">
        <f>D17/C18</f>
        <v>1.2733690547668453</v>
      </c>
      <c r="D19" s="8">
        <f>D17/C18</f>
        <v>1.2733690547668453</v>
      </c>
      <c r="H19" s="51" t="s">
        <v>318</v>
      </c>
      <c r="I19" s="49"/>
      <c r="J19" s="49"/>
      <c r="K19" s="49"/>
      <c r="L19" s="49"/>
      <c r="M19" s="50"/>
    </row>
    <row r="20" spans="1:13" x14ac:dyDescent="0.25">
      <c r="H20" s="17">
        <v>2025</v>
      </c>
      <c r="I20" s="17">
        <v>2026</v>
      </c>
      <c r="J20" s="17">
        <v>2027</v>
      </c>
      <c r="K20" s="17">
        <v>2028</v>
      </c>
      <c r="L20" s="17">
        <v>2029</v>
      </c>
      <c r="M20" s="17">
        <v>2030</v>
      </c>
    </row>
    <row r="21" spans="1:13" ht="15.75" customHeight="1" x14ac:dyDescent="0.3">
      <c r="B21" s="1" t="s">
        <v>65</v>
      </c>
      <c r="C21" s="5">
        <f>(1000/(24*3600))*($B$10*C22*$B$7*$B$8/($B$6*$B$9))*(C23/(C23-1))*($B$15^(((C23-1)/C23))-1)</f>
        <v>24995.58089898419</v>
      </c>
      <c r="D21" s="8">
        <f>((22.26+((5.981*10^-2)*$E$12)+((-3.501*10^-5)*$E$12^2)+((7.469*10^-9)*$E$12^3))/44.01)/D22</f>
        <v>1.2670022094930111</v>
      </c>
      <c r="G21" s="15" t="s">
        <v>312</v>
      </c>
      <c r="H21" s="19">
        <f t="shared" ref="H21:M21" si="0">H12*10^6</f>
        <v>1320980.1979414839</v>
      </c>
      <c r="I21" s="19">
        <f t="shared" si="0"/>
        <v>1300378.7766028091</v>
      </c>
      <c r="J21" s="19">
        <f t="shared" si="0"/>
        <v>1280098.645895011</v>
      </c>
      <c r="K21" s="19">
        <f t="shared" si="0"/>
        <v>1260134.7951118979</v>
      </c>
      <c r="L21" s="19">
        <f t="shared" si="0"/>
        <v>1240482.2916920281</v>
      </c>
      <c r="M21" s="19">
        <f t="shared" si="0"/>
        <v>1221136.28</v>
      </c>
    </row>
    <row r="22" spans="1:13" ht="15.75" customHeight="1" x14ac:dyDescent="0.3">
      <c r="B22" s="1" t="s">
        <v>63</v>
      </c>
      <c r="C22" s="1">
        <v>0.98599999999999999</v>
      </c>
      <c r="D22" s="1">
        <f>((22.26+((5.981*10^-2)*$E$12)+((-3.501*10^-5)*$E$12^2)+((7.469*10^-9)*$E$12^3))/44.01)-(8.314/44.01)</f>
        <v>0.70752826860949791</v>
      </c>
      <c r="G22" s="15" t="s">
        <v>313</v>
      </c>
      <c r="H22" s="19">
        <f t="shared" ref="H22:M22" si="1">H13*10^6</f>
        <v>1554675.873546904</v>
      </c>
      <c r="I22" s="19">
        <f t="shared" si="1"/>
        <v>1530429.838090867</v>
      </c>
      <c r="J22" s="19">
        <f t="shared" si="1"/>
        <v>1506561.9330511671</v>
      </c>
      <c r="K22" s="19">
        <f t="shared" si="1"/>
        <v>1483066.2612735259</v>
      </c>
      <c r="L22" s="19">
        <f t="shared" si="1"/>
        <v>1459937.0175730658</v>
      </c>
      <c r="M22" s="19">
        <f t="shared" si="1"/>
        <v>1437168.4872999999</v>
      </c>
    </row>
    <row r="23" spans="1:13" ht="15.75" customHeight="1" x14ac:dyDescent="0.3">
      <c r="A23" s="9">
        <v>1.286</v>
      </c>
      <c r="B23" s="1" t="s">
        <v>64</v>
      </c>
      <c r="C23" s="8">
        <f>D21/C22</f>
        <v>1.2849920988772932</v>
      </c>
      <c r="D23" s="8">
        <f>D21/C22</f>
        <v>1.2849920988772932</v>
      </c>
      <c r="G23" s="15" t="s">
        <v>314</v>
      </c>
      <c r="H23" s="19">
        <f t="shared" ref="H23:M23" si="2">H14*10^6</f>
        <v>13302678.786417279</v>
      </c>
      <c r="I23" s="19">
        <f t="shared" si="2"/>
        <v>13095216.10753753</v>
      </c>
      <c r="J23" s="19">
        <f t="shared" si="2"/>
        <v>12890988.92459202</v>
      </c>
      <c r="K23" s="19">
        <f t="shared" si="2"/>
        <v>12689946.778221041</v>
      </c>
      <c r="L23" s="19">
        <f t="shared" si="2"/>
        <v>12492039.996006669</v>
      </c>
      <c r="M23" s="19">
        <f t="shared" si="2"/>
        <v>12297219.680199999</v>
      </c>
    </row>
    <row r="24" spans="1:13" ht="15.75" customHeight="1" x14ac:dyDescent="0.3">
      <c r="G24" s="15" t="s">
        <v>315</v>
      </c>
      <c r="H24" s="19">
        <f t="shared" ref="H24:M24" si="3">H15*10^6</f>
        <v>2248367.5915136542</v>
      </c>
      <c r="I24" s="19">
        <f t="shared" si="3"/>
        <v>2213303.047662674</v>
      </c>
      <c r="J24" s="19">
        <f t="shared" si="3"/>
        <v>2178785.3548871661</v>
      </c>
      <c r="K24" s="19">
        <f t="shared" si="3"/>
        <v>2144805.9847402759</v>
      </c>
      <c r="L24" s="19">
        <f t="shared" si="3"/>
        <v>2111356.5417810231</v>
      </c>
      <c r="M24" s="19">
        <f t="shared" si="3"/>
        <v>2078428.7615</v>
      </c>
    </row>
    <row r="25" spans="1:13" ht="14.4" x14ac:dyDescent="0.3">
      <c r="B25" s="1" t="s">
        <v>68</v>
      </c>
      <c r="C25" s="5">
        <f>(1000/(24*3600))*($B$10*C26*$B$7*$B$8/($B$6*$B$9))*(C27/(C27-1))*($B$15^(((C27-1)/C27))-1)</f>
        <v>24603.000522556187</v>
      </c>
      <c r="D25" s="8">
        <f>((22.26+((5.981*10^-2)*$E$12)+((-3.501*10^-5)*$E$12^2)+((7.469*10^-9)*$E$12^3))/44.01)/D26</f>
        <v>1.2670022094930111</v>
      </c>
      <c r="G25" s="15" t="s">
        <v>316</v>
      </c>
      <c r="H25" s="19">
        <f t="shared" ref="H25:M25" si="4">H16*10^6</f>
        <v>23264297.643018618</v>
      </c>
      <c r="I25" s="19">
        <f t="shared" si="4"/>
        <v>22901477.97423096</v>
      </c>
      <c r="J25" s="19">
        <f t="shared" si="4"/>
        <v>22544316.680094417</v>
      </c>
      <c r="K25" s="19">
        <f t="shared" si="4"/>
        <v>22192725.515107308</v>
      </c>
      <c r="L25" s="19">
        <f t="shared" si="4"/>
        <v>21846617.610005651</v>
      </c>
      <c r="M25" s="19">
        <f t="shared" si="4"/>
        <v>21505907.450300001</v>
      </c>
    </row>
    <row r="26" spans="1:13" ht="14.4" x14ac:dyDescent="0.3">
      <c r="B26" s="1" t="s">
        <v>63</v>
      </c>
      <c r="C26" s="1">
        <v>0.95899999999999996</v>
      </c>
      <c r="D26" s="1">
        <f>((22.26+((5.981*10^-2)*$E$12)+((-3.501*10^-5)*$E$12^2)+((7.469*10^-9)*$E$12^3))/44.01)-(8.314/44.01)</f>
        <v>0.70752826860949791</v>
      </c>
      <c r="G26" s="15" t="s">
        <v>317</v>
      </c>
      <c r="H26" s="19">
        <f t="shared" ref="H26:M26" si="5">H17*10^6</f>
        <v>8801083.7167810388</v>
      </c>
      <c r="I26" s="19">
        <f t="shared" si="5"/>
        <v>8663825.9182395395</v>
      </c>
      <c r="J26" s="19">
        <f t="shared" si="5"/>
        <v>8528708.7314529922</v>
      </c>
      <c r="K26" s="19">
        <f t="shared" si="5"/>
        <v>8395698.7723897863</v>
      </c>
      <c r="L26" s="19">
        <f t="shared" si="5"/>
        <v>8264763.1776608601</v>
      </c>
      <c r="M26" s="19">
        <f t="shared" si="5"/>
        <v>8135869.5963999992</v>
      </c>
    </row>
    <row r="27" spans="1:13" ht="13.2" x14ac:dyDescent="0.25">
      <c r="A27" s="9">
        <v>1.379</v>
      </c>
      <c r="B27" s="1" t="s">
        <v>64</v>
      </c>
      <c r="C27" s="8">
        <f>D25/C26</f>
        <v>1.3211701871668522</v>
      </c>
      <c r="D27" s="8">
        <f>D25/C26</f>
        <v>1.3211701871668522</v>
      </c>
    </row>
    <row r="28" spans="1:13" ht="13.2" x14ac:dyDescent="0.25">
      <c r="H28" s="52" t="s">
        <v>319</v>
      </c>
      <c r="I28" s="49"/>
      <c r="J28" s="49"/>
      <c r="K28" s="49"/>
      <c r="L28" s="49"/>
      <c r="M28" s="50"/>
    </row>
    <row r="29" spans="1:13" ht="13.2" x14ac:dyDescent="0.25">
      <c r="B29" s="1" t="s">
        <v>69</v>
      </c>
      <c r="C29" s="5">
        <f>(1000/(24*3600))*($B$10*C30*$B$7*$B$8/($B$6*$B$9))*(C31/(C31-1))*($B$15^(((C31-1)/C31))-1)</f>
        <v>23303.649744855873</v>
      </c>
      <c r="D29" s="8">
        <f>((22.26+((5.981*10^-2)*$E$12)+((-3.501*10^-5)*$E$12^2)+((7.469*10^-9)*$E$12^3))/44.01)/D30</f>
        <v>1.2670022094930111</v>
      </c>
      <c r="H29" s="17">
        <v>2025</v>
      </c>
      <c r="I29" s="17">
        <v>2026</v>
      </c>
      <c r="J29" s="17">
        <v>2027</v>
      </c>
      <c r="K29" s="17">
        <v>2028</v>
      </c>
      <c r="L29" s="17">
        <v>2029</v>
      </c>
      <c r="M29" s="17">
        <v>2030</v>
      </c>
    </row>
    <row r="30" spans="1:13" ht="14.4" x14ac:dyDescent="0.3">
      <c r="B30" s="1" t="s">
        <v>63</v>
      </c>
      <c r="C30" s="1">
        <v>0.875</v>
      </c>
      <c r="D30" s="1">
        <f>((22.26+((5.981*10^-2)*$E$12)+((-3.501*10^-5)*$E$12^2)+((7.469*10^-9)*$E$12^3))/44.01)-(8.314/44.01)</f>
        <v>0.70752826860949791</v>
      </c>
      <c r="G30" s="15" t="s">
        <v>305</v>
      </c>
      <c r="H30" s="19">
        <f t="shared" ref="H30:M30" si="6">H3*0.76</f>
        <v>951660.34083999996</v>
      </c>
      <c r="I30" s="19">
        <f t="shared" si="6"/>
        <v>944294.22627999994</v>
      </c>
      <c r="J30" s="19">
        <f t="shared" si="6"/>
        <v>942001.37771999999</v>
      </c>
      <c r="K30" s="19">
        <f t="shared" si="6"/>
        <v>941548.85395999998</v>
      </c>
      <c r="L30" s="19">
        <f t="shared" si="6"/>
        <v>941490.07936000009</v>
      </c>
      <c r="M30" s="19">
        <f t="shared" si="6"/>
        <v>941484.97063999996</v>
      </c>
    </row>
    <row r="31" spans="1:13" ht="14.4" x14ac:dyDescent="0.3">
      <c r="A31" s="9">
        <v>1.704</v>
      </c>
      <c r="B31" s="1" t="s">
        <v>64</v>
      </c>
      <c r="C31" s="8">
        <f>D29/C30</f>
        <v>1.4480025251348698</v>
      </c>
      <c r="D31" s="8">
        <f>D29/C30</f>
        <v>1.4480025251348698</v>
      </c>
      <c r="G31" s="15" t="s">
        <v>306</v>
      </c>
      <c r="H31" s="19">
        <f t="shared" ref="H31:M31" si="7">H4*0.76</f>
        <v>1154455.0867600001</v>
      </c>
      <c r="I31" s="19">
        <f t="shared" si="7"/>
        <v>1154994.8250800001</v>
      </c>
      <c r="J31" s="19">
        <f t="shared" si="7"/>
        <v>1155142.7393199999</v>
      </c>
      <c r="K31" s="19">
        <f t="shared" si="7"/>
        <v>1155178.9328000001</v>
      </c>
      <c r="L31" s="19">
        <f t="shared" si="7"/>
        <v>1155186.8026000001</v>
      </c>
      <c r="M31" s="19">
        <f t="shared" si="7"/>
        <v>1155188.3074</v>
      </c>
    </row>
    <row r="32" spans="1:13" ht="14.4" x14ac:dyDescent="0.3">
      <c r="G32" s="15" t="s">
        <v>307</v>
      </c>
      <c r="H32" s="19">
        <f t="shared" ref="H32:M32" si="8">H5*0.76</f>
        <v>10139140.7568</v>
      </c>
      <c r="I32" s="19">
        <f t="shared" si="8"/>
        <v>10121599.744000001</v>
      </c>
      <c r="J32" s="19">
        <f t="shared" si="8"/>
        <v>10121389.748400001</v>
      </c>
      <c r="K32" s="19">
        <f t="shared" si="8"/>
        <v>10122834.295600001</v>
      </c>
      <c r="L32" s="19">
        <f t="shared" si="8"/>
        <v>10122725.8968</v>
      </c>
      <c r="M32" s="19">
        <f t="shared" si="8"/>
        <v>10122199.376400001</v>
      </c>
    </row>
    <row r="33" spans="1:15" ht="14.4" x14ac:dyDescent="0.3">
      <c r="G33" s="15" t="s">
        <v>308</v>
      </c>
      <c r="H33" s="19">
        <f t="shared" ref="H33:M33" si="9">H6*0.76</f>
        <v>1576804.85176</v>
      </c>
      <c r="I33" s="19">
        <f t="shared" si="9"/>
        <v>1460030.6716400001</v>
      </c>
      <c r="J33" s="19">
        <f t="shared" si="9"/>
        <v>1350026.9089599999</v>
      </c>
      <c r="K33" s="19">
        <f t="shared" si="9"/>
        <v>1259360.4365600001</v>
      </c>
      <c r="L33" s="19">
        <f t="shared" si="9"/>
        <v>1192461.0641600001</v>
      </c>
      <c r="M33" s="19">
        <f t="shared" si="9"/>
        <v>1147752.8109200001</v>
      </c>
    </row>
    <row r="34" spans="1:15" ht="14.4" x14ac:dyDescent="0.3">
      <c r="G34" s="15" t="s">
        <v>309</v>
      </c>
      <c r="H34" s="19">
        <f t="shared" ref="H34:M34" si="10">H7*0.76</f>
        <v>13725798.1472</v>
      </c>
      <c r="I34" s="19">
        <f t="shared" si="10"/>
        <v>13495146.9936</v>
      </c>
      <c r="J34" s="19">
        <f t="shared" si="10"/>
        <v>13330881.612</v>
      </c>
      <c r="K34" s="19">
        <f t="shared" si="10"/>
        <v>13260836.189200001</v>
      </c>
      <c r="L34" s="19">
        <f t="shared" si="10"/>
        <v>13241498.050000001</v>
      </c>
      <c r="M34" s="19">
        <f t="shared" si="10"/>
        <v>13237938.422800001</v>
      </c>
    </row>
    <row r="35" spans="1:15" ht="14.4" x14ac:dyDescent="0.3">
      <c r="A35" s="1" t="s">
        <v>67</v>
      </c>
      <c r="B35" s="1">
        <f>ROUNDUP(H48/60000,0)</f>
        <v>1</v>
      </c>
      <c r="G35" s="15" t="s">
        <v>310</v>
      </c>
      <c r="H35" s="19">
        <f t="shared" ref="H35:M35" si="11">H8*0.76</f>
        <v>7449201.1929200012</v>
      </c>
      <c r="I35" s="19">
        <f t="shared" si="11"/>
        <v>7427347.9150400003</v>
      </c>
      <c r="J35" s="19">
        <f t="shared" si="11"/>
        <v>7439058.6919599995</v>
      </c>
      <c r="K35" s="19">
        <f t="shared" si="11"/>
        <v>7466010.8600000003</v>
      </c>
      <c r="L35" s="19">
        <f t="shared" si="11"/>
        <v>7491292.8505200008</v>
      </c>
      <c r="M35" s="19">
        <f t="shared" si="11"/>
        <v>7507671.9365600003</v>
      </c>
    </row>
    <row r="37" spans="1:15" ht="13.2" x14ac:dyDescent="0.25">
      <c r="H37" s="52" t="s">
        <v>320</v>
      </c>
      <c r="I37" s="49"/>
      <c r="J37" s="49"/>
      <c r="K37" s="49"/>
      <c r="L37" s="49"/>
      <c r="M37" s="50"/>
    </row>
    <row r="38" spans="1:15" ht="13.2" x14ac:dyDescent="0.25">
      <c r="H38" s="17">
        <v>2025</v>
      </c>
      <c r="I38" s="17">
        <v>2026</v>
      </c>
      <c r="J38" s="17">
        <v>2027</v>
      </c>
      <c r="K38" s="17">
        <v>2028</v>
      </c>
      <c r="L38" s="17">
        <v>2029</v>
      </c>
      <c r="M38" s="17">
        <v>2030</v>
      </c>
    </row>
    <row r="39" spans="1:15" ht="14.4" x14ac:dyDescent="0.3">
      <c r="G39" s="15" t="s">
        <v>312</v>
      </c>
      <c r="H39" s="19">
        <f t="shared" ref="H39:M39" si="12">H21*0.76</f>
        <v>1003944.9504355278</v>
      </c>
      <c r="I39" s="19">
        <f t="shared" si="12"/>
        <v>988287.87021813495</v>
      </c>
      <c r="J39" s="19">
        <f t="shared" si="12"/>
        <v>972874.97088020842</v>
      </c>
      <c r="K39" s="19">
        <f t="shared" si="12"/>
        <v>957702.44428504235</v>
      </c>
      <c r="L39" s="19">
        <f t="shared" si="12"/>
        <v>942766.54168594128</v>
      </c>
      <c r="M39" s="19">
        <f t="shared" si="12"/>
        <v>928063.57280000008</v>
      </c>
      <c r="N39" s="13"/>
      <c r="O39" s="5"/>
    </row>
    <row r="40" spans="1:15" ht="14.4" x14ac:dyDescent="0.3">
      <c r="G40" s="15" t="s">
        <v>313</v>
      </c>
      <c r="H40" s="19">
        <f t="shared" ref="H40:M40" si="13">H22*0.76</f>
        <v>1181553.663895647</v>
      </c>
      <c r="I40" s="19">
        <f t="shared" si="13"/>
        <v>1163126.6769490589</v>
      </c>
      <c r="J40" s="19">
        <f t="shared" si="13"/>
        <v>1144987.069118887</v>
      </c>
      <c r="K40" s="19">
        <f t="shared" si="13"/>
        <v>1127130.3585678798</v>
      </c>
      <c r="L40" s="19">
        <f t="shared" si="13"/>
        <v>1109552.13335553</v>
      </c>
      <c r="M40" s="19">
        <f t="shared" si="13"/>
        <v>1092248.0503479999</v>
      </c>
      <c r="N40" s="13"/>
      <c r="O40" s="5"/>
    </row>
    <row r="41" spans="1:15" ht="14.4" x14ac:dyDescent="0.3">
      <c r="G41" s="15" t="s">
        <v>314</v>
      </c>
      <c r="H41" s="19">
        <f t="shared" ref="H41:M41" si="14">H23*0.76</f>
        <v>10110035.877677133</v>
      </c>
      <c r="I41" s="19">
        <f t="shared" si="14"/>
        <v>9952364.2417285237</v>
      </c>
      <c r="J41" s="19">
        <f t="shared" si="14"/>
        <v>9797151.5826899353</v>
      </c>
      <c r="K41" s="19">
        <f t="shared" si="14"/>
        <v>9644359.5514479913</v>
      </c>
      <c r="L41" s="19">
        <f t="shared" si="14"/>
        <v>9493950.3969650697</v>
      </c>
      <c r="M41" s="19">
        <f t="shared" si="14"/>
        <v>9345886.956952</v>
      </c>
      <c r="N41" s="13"/>
      <c r="O41" s="5"/>
    </row>
    <row r="42" spans="1:15" ht="14.4" x14ac:dyDescent="0.3">
      <c r="G42" s="15" t="s">
        <v>315</v>
      </c>
      <c r="H42" s="19">
        <f t="shared" ref="H42:M42" si="15">H24*0.76</f>
        <v>1708759.3695503771</v>
      </c>
      <c r="I42" s="19">
        <f t="shared" si="15"/>
        <v>1682110.3162236323</v>
      </c>
      <c r="J42" s="19">
        <f t="shared" si="15"/>
        <v>1655876.8697142461</v>
      </c>
      <c r="K42" s="19">
        <f t="shared" si="15"/>
        <v>1630052.5484026098</v>
      </c>
      <c r="L42" s="19">
        <f t="shared" si="15"/>
        <v>1604630.9717535777</v>
      </c>
      <c r="M42" s="19">
        <f t="shared" si="15"/>
        <v>1579605.8587400001</v>
      </c>
      <c r="N42" s="13"/>
      <c r="O42" s="5"/>
    </row>
    <row r="43" spans="1:15" ht="14.4" x14ac:dyDescent="0.3">
      <c r="G43" s="15" t="s">
        <v>316</v>
      </c>
      <c r="H43" s="19">
        <f t="shared" ref="H43:M43" si="16">H25*0.76</f>
        <v>17680866.208694149</v>
      </c>
      <c r="I43" s="19">
        <f t="shared" si="16"/>
        <v>17405123.260415528</v>
      </c>
      <c r="J43" s="19">
        <f t="shared" si="16"/>
        <v>17133680.676871758</v>
      </c>
      <c r="K43" s="19">
        <f t="shared" si="16"/>
        <v>16866471.391481552</v>
      </c>
      <c r="L43" s="19">
        <f t="shared" si="16"/>
        <v>16603429.383604296</v>
      </c>
      <c r="M43" s="19">
        <f t="shared" si="16"/>
        <v>16344489.662228001</v>
      </c>
      <c r="N43" s="13"/>
      <c r="O43" s="5"/>
    </row>
    <row r="44" spans="1:15" ht="14.4" x14ac:dyDescent="0.3">
      <c r="G44" s="15" t="s">
        <v>317</v>
      </c>
      <c r="H44" s="19">
        <f t="shared" ref="H44:M44" si="17">H26*0.76</f>
        <v>6688823.6247535897</v>
      </c>
      <c r="I44" s="19">
        <f t="shared" si="17"/>
        <v>6584507.6978620505</v>
      </c>
      <c r="J44" s="19">
        <f t="shared" si="17"/>
        <v>6481818.6359042739</v>
      </c>
      <c r="K44" s="19">
        <f t="shared" si="17"/>
        <v>6380731.0670162374</v>
      </c>
      <c r="L44" s="19">
        <f t="shared" si="17"/>
        <v>6281220.0150222536</v>
      </c>
      <c r="M44" s="19">
        <f t="shared" si="17"/>
        <v>6183260.8932639994</v>
      </c>
      <c r="N44" s="13"/>
      <c r="O44" s="5"/>
    </row>
    <row r="46" spans="1:15" ht="13.2" x14ac:dyDescent="0.25">
      <c r="H46" s="53" t="s">
        <v>321</v>
      </c>
      <c r="I46" s="49"/>
      <c r="J46" s="49"/>
      <c r="K46" s="49"/>
      <c r="L46" s="49"/>
      <c r="M46" s="50"/>
    </row>
    <row r="47" spans="1:15" ht="13.2" x14ac:dyDescent="0.25">
      <c r="H47" s="17">
        <v>2025</v>
      </c>
      <c r="I47" s="17">
        <v>2026</v>
      </c>
      <c r="J47" s="17">
        <v>2027</v>
      </c>
      <c r="K47" s="17">
        <v>2028</v>
      </c>
      <c r="L47" s="17">
        <v>2029</v>
      </c>
      <c r="M47" s="17">
        <v>2030</v>
      </c>
    </row>
    <row r="48" spans="1:15" ht="14.4" x14ac:dyDescent="0.25">
      <c r="G48" s="15" t="s">
        <v>305</v>
      </c>
      <c r="H48" s="21">
        <f t="shared" ref="H48:M48" si="18">((1000/(24*3600))*((H30/365)*$C$18*$B$7*$B$8/($B$6*$B$9))*($C$19/($C$19-1))*($B$15^((($C$19-1)/$C$19))-1))+((1000/(24*3600))*((H30/365)*$C$22*$B$7*$B$8/($B$6*$B$9))*($C$23/($C$23-1))*($B$15^((($C$23-1)/$C$23))-1))+((1000/(24*3600))*((H30/365)*$C$26*$B$7*$B$8/($B$6*$B$9))*($C$27/($C$27-1))*($B$15^((($C$27-1)/$C$27))-1))+((1000/(24*3600))*((H30/365)*$C$30*$B$7*$B$8/($B$6*$B$9))*($C$31/($C$31-1))*($B$15^((($C$31-1)/$C$31))-1))</f>
        <v>10223.289582507619</v>
      </c>
      <c r="I48" s="21">
        <f t="shared" si="18"/>
        <v>10144.158490233312</v>
      </c>
      <c r="J48" s="21">
        <f t="shared" si="18"/>
        <v>10119.527375757085</v>
      </c>
      <c r="K48" s="21">
        <f t="shared" si="18"/>
        <v>10114.666101999097</v>
      </c>
      <c r="L48" s="21">
        <f t="shared" si="18"/>
        <v>10114.034711018398</v>
      </c>
      <c r="M48" s="21">
        <f t="shared" si="18"/>
        <v>10113.979830173084</v>
      </c>
    </row>
    <row r="49" spans="7:13" ht="14.4" x14ac:dyDescent="0.25">
      <c r="G49" s="15" t="s">
        <v>306</v>
      </c>
      <c r="H49" s="21">
        <f t="shared" ref="H49:M49" si="19">((1000/(24*3600))*((H31/365)*$C$18*$B$7*$B$8/($B$6*$B$9))*($C$19/($C$19-1))*($B$15^((($C$19-1)/$C$19))-1))+((1000/(24*3600))*((H31/365)*$C$22*$B$7*$B$8/($B$6*$B$9))*($C$23/($C$23-1))*($B$15^((($C$23-1)/$C$23))-1))+((1000/(24*3600))*((H31/365)*$C$26*$B$7*$B$8/($B$6*$B$9))*($C$27/($C$27-1))*($B$15^((($C$27-1)/$C$27))-1))+((1000/(24*3600))*((H31/365)*$C$30*$B$7*$B$8/($B$6*$B$9))*($C$31/($C$31-1))*($B$15^((($C$31-1)/$C$31))-1))</f>
        <v>12401.828841085153</v>
      </c>
      <c r="I49" s="21">
        <f t="shared" si="19"/>
        <v>12407.627024436228</v>
      </c>
      <c r="J49" s="21">
        <f t="shared" si="19"/>
        <v>12409.21600534044</v>
      </c>
      <c r="K49" s="21">
        <f t="shared" si="19"/>
        <v>12409.604816779947</v>
      </c>
      <c r="L49" s="21">
        <f t="shared" si="19"/>
        <v>12409.68935875454</v>
      </c>
      <c r="M49" s="21">
        <f t="shared" si="19"/>
        <v>12409.705524192461</v>
      </c>
    </row>
    <row r="50" spans="7:13" ht="14.4" x14ac:dyDescent="0.25">
      <c r="G50" s="15" t="s">
        <v>307</v>
      </c>
      <c r="H50" s="21">
        <f t="shared" ref="H50:M50" si="20">((1000/(24*3600))*((H32/365)*$C$18*$B$7*$B$8/($B$6*$B$9))*($C$19/($C$19-1))*($B$15^((($C$19-1)/$C$19))-1))+((1000/(24*3600))*((H32/365)*$C$22*$B$7*$B$8/($B$6*$B$9))*($C$23/($C$23-1))*($B$15^((($C$23-1)/$C$23))-1))+((1000/(24*3600))*((H32/365)*$C$26*$B$7*$B$8/($B$6*$B$9))*($C$27/($C$27-1))*($B$15^((($C$27-1)/$C$27))-1))+((1000/(24*3600))*((H32/365)*$C$30*$B$7*$B$8/($B$6*$B$9))*($C$31/($C$31-1))*($B$15^((($C$31-1)/$C$31))-1))</f>
        <v>108920.5545573945</v>
      </c>
      <c r="I50" s="21">
        <f t="shared" si="20"/>
        <v>108732.11878285483</v>
      </c>
      <c r="J50" s="21">
        <f t="shared" si="20"/>
        <v>108729.86288782829</v>
      </c>
      <c r="K50" s="21">
        <f t="shared" si="20"/>
        <v>108745.38105508548</v>
      </c>
      <c r="L50" s="21">
        <f t="shared" si="20"/>
        <v>108744.21657204963</v>
      </c>
      <c r="M50" s="21">
        <f t="shared" si="20"/>
        <v>108738.56038329269</v>
      </c>
    </row>
    <row r="51" spans="7:13" ht="14.4" x14ac:dyDescent="0.25">
      <c r="G51" s="15" t="s">
        <v>308</v>
      </c>
      <c r="H51" s="21">
        <f t="shared" ref="H51:M51" si="21">((1000/(24*3600))*((H33/365)*$C$18*$B$7*$B$8/($B$6*$B$9))*($C$19/($C$19-1))*($B$15^((($C$19-1)/$C$19))-1))+((1000/(24*3600))*((H33/365)*$C$22*$B$7*$B$8/($B$6*$B$9))*($C$23/($C$23-1))*($B$15^((($C$23-1)/$C$23))-1))+((1000/(24*3600))*((H33/365)*$C$26*$B$7*$B$8/($B$6*$B$9))*($C$27/($C$27-1))*($B$15^((($C$27-1)/$C$27))-1))+((1000/(24*3600))*((H33/365)*$C$30*$B$7*$B$8/($B$6*$B$9))*($C$31/($C$31-1))*($B$15^((($C$31-1)/$C$31))-1))</f>
        <v>16938.955972901796</v>
      </c>
      <c r="I51" s="21">
        <f t="shared" si="21"/>
        <v>15684.499726387498</v>
      </c>
      <c r="J51" s="21">
        <f t="shared" si="21"/>
        <v>14502.775246779116</v>
      </c>
      <c r="K51" s="21">
        <f t="shared" si="21"/>
        <v>13528.783200466161</v>
      </c>
      <c r="L51" s="21">
        <f t="shared" si="21"/>
        <v>12810.111183168967</v>
      </c>
      <c r="M51" s="21">
        <f t="shared" si="21"/>
        <v>12329.829090928824</v>
      </c>
    </row>
    <row r="52" spans="7:13" ht="14.4" x14ac:dyDescent="0.25">
      <c r="G52" s="15" t="s">
        <v>309</v>
      </c>
      <c r="H52" s="21">
        <f t="shared" ref="H52:M52" si="22">((1000/(24*3600))*((H34/365)*$C$18*$B$7*$B$8/($B$6*$B$9))*($C$19/($C$19-1))*($B$15^((($C$19-1)/$C$19))-1))+((1000/(24*3600))*((H34/365)*$C$22*$B$7*$B$8/($B$6*$B$9))*($C$23/($C$23-1))*($B$15^((($C$23-1)/$C$23))-1))+((1000/(24*3600))*((H34/365)*$C$26*$B$7*$B$8/($B$6*$B$9))*($C$27/($C$27-1))*($B$15^((($C$27-1)/$C$27))-1))+((1000/(24*3600))*((H34/365)*$C$30*$B$7*$B$8/($B$6*$B$9))*($C$31/($C$31-1))*($B$15^((($C$31-1)/$C$31))-1))</f>
        <v>147450.51694180479</v>
      </c>
      <c r="I52" s="21">
        <f t="shared" si="22"/>
        <v>144972.72792969682</v>
      </c>
      <c r="J52" s="21">
        <f t="shared" si="22"/>
        <v>143208.09354029314</v>
      </c>
      <c r="K52" s="21">
        <f t="shared" si="22"/>
        <v>142455.62481749072</v>
      </c>
      <c r="L52" s="21">
        <f t="shared" si="22"/>
        <v>142247.88326460228</v>
      </c>
      <c r="M52" s="21">
        <f t="shared" si="22"/>
        <v>142209.64367626424</v>
      </c>
    </row>
    <row r="53" spans="7:13" ht="14.4" x14ac:dyDescent="0.25">
      <c r="G53" s="15" t="s">
        <v>310</v>
      </c>
      <c r="H53" s="21">
        <f t="shared" ref="H53:M53" si="23">((1000/(24*3600))*((H35/365)*$C$18*$B$7*$B$8/($B$6*$B$9))*($C$19/($C$19-1))*($B$15^((($C$19-1)/$C$19))-1))+((1000/(24*3600))*((H35/365)*$C$22*$B$7*$B$8/($B$6*$B$9))*($C$23/($C$23-1))*($B$15^((($C$23-1)/$C$23))-1))+((1000/(24*3600))*((H35/365)*$C$26*$B$7*$B$8/($B$6*$B$9))*($C$27/($C$27-1))*($B$15^((($C$27-1)/$C$27))-1))+((1000/(24*3600))*((H35/365)*$C$30*$B$7*$B$8/($B$6*$B$9))*($C$31/($C$31-1))*($B$15^((($C$31-1)/$C$31))-1))</f>
        <v>80023.657270788957</v>
      </c>
      <c r="I53" s="21">
        <f t="shared" si="23"/>
        <v>79788.896633504162</v>
      </c>
      <c r="J53" s="21">
        <f t="shared" si="23"/>
        <v>79914.700618971969</v>
      </c>
      <c r="K53" s="21">
        <f t="shared" si="23"/>
        <v>80204.236503703825</v>
      </c>
      <c r="L53" s="21">
        <f t="shared" si="23"/>
        <v>80475.830368884781</v>
      </c>
      <c r="M53" s="21">
        <f t="shared" si="23"/>
        <v>80651.78404951829</v>
      </c>
    </row>
    <row r="55" spans="7:13" ht="13.2" x14ac:dyDescent="0.25">
      <c r="H55" s="53" t="s">
        <v>322</v>
      </c>
      <c r="I55" s="49"/>
      <c r="J55" s="49"/>
      <c r="K55" s="49"/>
      <c r="L55" s="49"/>
      <c r="M55" s="50"/>
    </row>
    <row r="56" spans="7:13" ht="13.2" x14ac:dyDescent="0.25">
      <c r="H56" s="17">
        <v>2025</v>
      </c>
      <c r="I56" s="17">
        <v>2026</v>
      </c>
      <c r="J56" s="17">
        <v>2027</v>
      </c>
      <c r="K56" s="17">
        <v>2028</v>
      </c>
      <c r="L56" s="17">
        <v>2029</v>
      </c>
      <c r="M56" s="17">
        <v>2030</v>
      </c>
    </row>
    <row r="57" spans="7:13" ht="14.4" x14ac:dyDescent="0.25">
      <c r="G57" s="15" t="s">
        <v>312</v>
      </c>
      <c r="H57" s="21">
        <f t="shared" ref="H57:M57" si="24">((1000/(24*3600))*((H39/365)*$C$18*$B$7*$B$8/($B$6*$B$9))*($C$19/($C$19-1))*($B$15^((($C$19-1)/$C$19))-1))+((1000/(24*3600))*((H39/365)*$C$22*$B$7*$B$8/($B$6*$B$9))*($C$23/($C$23-1))*($B$15^((($C$23-1)/$C$23))-1))+((1000/(24*3600))*((H39/365)*$C$26*$B$7*$B$8/($B$6*$B$9))*($C$27/($C$27-1))*($B$15^((($C$27-1)/$C$27))-1))+((1000/(24*3600))*((H39/365)*$C$30*$B$7*$B$8/($B$6*$B$9))*($C$31/($C$31-1))*($B$15^((($C$31-1)/$C$31))-1))</f>
        <v>10784.961306824334</v>
      </c>
      <c r="I57" s="21">
        <f t="shared" si="24"/>
        <v>10616.76383319874</v>
      </c>
      <c r="J57" s="21">
        <f t="shared" si="24"/>
        <v>10451.189492779577</v>
      </c>
      <c r="K57" s="21">
        <f t="shared" si="24"/>
        <v>10288.197376344664</v>
      </c>
      <c r="L57" s="21">
        <f t="shared" si="24"/>
        <v>10127.747212673914</v>
      </c>
      <c r="M57" s="21">
        <f t="shared" si="24"/>
        <v>9969.7993585993208</v>
      </c>
    </row>
    <row r="58" spans="7:13" ht="14.4" x14ac:dyDescent="0.25">
      <c r="G58" s="15" t="s">
        <v>313</v>
      </c>
      <c r="H58" s="21">
        <f t="shared" ref="H58:M58" si="25">((1000/(24*3600))*((H40/365)*$C$18*$B$7*$B$8/($B$6*$B$9))*($C$19/($C$19-1))*($B$15^((($C$19-1)/$C$19))-1))+((1000/(24*3600))*((H40/365)*$C$22*$B$7*$B$8/($B$6*$B$9))*($C$23/($C$23-1))*($B$15^((($C$23-1)/$C$23))-1))+((1000/(24*3600))*((H40/365)*$C$26*$B$7*$B$8/($B$6*$B$9))*($C$27/($C$27-1))*($B$15^((($C$27-1)/$C$27))-1))+((1000/(24*3600))*((H40/365)*$C$30*$B$7*$B$8/($B$6*$B$9))*($C$31/($C$31-1))*($B$15^((($C$31-1)/$C$31))-1))</f>
        <v>12692.937537584059</v>
      </c>
      <c r="I58" s="21">
        <f t="shared" si="25"/>
        <v>12494.984112813016</v>
      </c>
      <c r="J58" s="21">
        <f t="shared" si="25"/>
        <v>12300.117881866285</v>
      </c>
      <c r="K58" s="21">
        <f t="shared" si="25"/>
        <v>12108.29069823811</v>
      </c>
      <c r="L58" s="21">
        <f t="shared" si="25"/>
        <v>11919.455166294259</v>
      </c>
      <c r="M58" s="21">
        <f t="shared" si="25"/>
        <v>11733.564629561815</v>
      </c>
    </row>
    <row r="59" spans="7:13" ht="14.4" x14ac:dyDescent="0.25">
      <c r="G59" s="15" t="s">
        <v>314</v>
      </c>
      <c r="H59" s="21">
        <f t="shared" ref="H59:M59" si="26">((1000/(24*3600))*((H41/365)*$C$18*$B$7*$B$8/($B$6*$B$9))*($C$19/($C$19-1))*($B$15^((($C$19-1)/$C$19))-1))+((1000/(24*3600))*((H41/365)*$C$22*$B$7*$B$8/($B$6*$B$9))*($C$23/($C$23-1))*($B$15^((($C$23-1)/$C$23))-1))+((1000/(24*3600))*((H41/365)*$C$26*$B$7*$B$8/($B$6*$B$9))*($C$27/($C$27-1))*($B$15^((($C$27-1)/$C$27))-1))+((1000/(24*3600))*((H41/365)*$C$30*$B$7*$B$8/($B$6*$B$9))*($C$31/($C$31-1))*($B$15^((($C$31-1)/$C$31))-1))</f>
        <v>108607.89299657509</v>
      </c>
      <c r="I59" s="21">
        <f t="shared" si="26"/>
        <v>106914.09246283892</v>
      </c>
      <c r="J59" s="21">
        <f t="shared" si="26"/>
        <v>105246.70769106003</v>
      </c>
      <c r="K59" s="21">
        <f t="shared" si="26"/>
        <v>103605.3267127299</v>
      </c>
      <c r="L59" s="21">
        <f t="shared" si="26"/>
        <v>101989.54398421801</v>
      </c>
      <c r="M59" s="21">
        <f t="shared" si="26"/>
        <v>100398.96028657249</v>
      </c>
    </row>
    <row r="60" spans="7:13" ht="14.4" x14ac:dyDescent="0.25">
      <c r="G60" s="15" t="s">
        <v>315</v>
      </c>
      <c r="H60" s="21">
        <f t="shared" ref="H60:M60" si="27">((1000/(24*3600))*((H42/365)*$C$18*$B$7*$B$8/($B$6*$B$9))*($C$19/($C$19-1))*($B$15^((($C$19-1)/$C$19))-1))+((1000/(24*3600))*((H42/365)*$C$22*$B$7*$B$8/($B$6*$B$9))*($C$23/($C$23-1))*($B$15^((($C$23-1)/$C$23))-1))+((1000/(24*3600))*((H42/365)*$C$26*$B$7*$B$8/($B$6*$B$9))*($C$27/($C$27-1))*($B$15^((($C$27-1)/$C$27))-1))+((1000/(24*3600))*((H42/365)*$C$30*$B$7*$B$8/($B$6*$B$9))*($C$31/($C$31-1))*($B$15^((($C$31-1)/$C$31))-1))</f>
        <v>18356.488246969715</v>
      </c>
      <c r="I60" s="21">
        <f t="shared" si="27"/>
        <v>18070.208597007084</v>
      </c>
      <c r="J60" s="21">
        <f t="shared" si="27"/>
        <v>17788.393637505927</v>
      </c>
      <c r="K60" s="21">
        <f t="shared" si="27"/>
        <v>17510.973739133835</v>
      </c>
      <c r="L60" s="21">
        <f t="shared" si="27"/>
        <v>17237.880358466558</v>
      </c>
      <c r="M60" s="21">
        <f t="shared" si="27"/>
        <v>16969.046021052683</v>
      </c>
    </row>
    <row r="61" spans="7:13" ht="14.4" x14ac:dyDescent="0.25">
      <c r="G61" s="15" t="s">
        <v>316</v>
      </c>
      <c r="H61" s="21">
        <f t="shared" ref="H61:M61" si="28">((1000/(24*3600))*((H43/365)*$C$18*$B$7*$B$8/($B$6*$B$9))*($C$19/($C$19-1))*($B$15^((($C$19-1)/$C$19))-1))+((1000/(24*3600))*((H43/365)*$C$22*$B$7*$B$8/($B$6*$B$9))*($C$23/($C$23-1))*($B$15^((($C$23-1)/$C$23))-1))+((1000/(24*3600))*((H43/365)*$C$26*$B$7*$B$8/($B$6*$B$9))*($C$27/($C$27-1))*($B$15^((($C$27-1)/$C$27))-1))+((1000/(24*3600))*((H43/365)*$C$30*$B$7*$B$8/($B$6*$B$9))*($C$31/($C$31-1))*($B$15^((($C$31-1)/$C$31))-1))</f>
        <v>189938.16129976141</v>
      </c>
      <c r="I61" s="21">
        <f t="shared" si="28"/>
        <v>186975.96996992358</v>
      </c>
      <c r="J61" s="21">
        <f t="shared" si="28"/>
        <v>184059.97566239309</v>
      </c>
      <c r="K61" s="21">
        <f t="shared" si="28"/>
        <v>181189.4579088974</v>
      </c>
      <c r="L61" s="21">
        <f t="shared" si="28"/>
        <v>178363.70747726772</v>
      </c>
      <c r="M61" s="21">
        <f t="shared" si="28"/>
        <v>175582.02619620576</v>
      </c>
    </row>
    <row r="62" spans="7:13" ht="14.4" x14ac:dyDescent="0.25">
      <c r="G62" s="15" t="s">
        <v>317</v>
      </c>
      <c r="H62" s="21">
        <f t="shared" ref="H62:M62" si="29">((1000/(24*3600))*((H44/365)*$C$18*$B$7*$B$8/($B$6*$B$9))*($C$19/($C$19-1))*($B$15^((($C$19-1)/$C$19))-1))+((1000/(24*3600))*((H44/365)*$C$22*$B$7*$B$8/($B$6*$B$9))*($C$23/($C$23-1))*($B$15^((($C$23-1)/$C$23))-1))+((1000/(24*3600))*((H44/365)*$C$26*$B$7*$B$8/($B$6*$B$9))*($C$27/($C$27-1))*($B$15^((($C$27-1)/$C$27))-1))+((1000/(24*3600))*((H44/365)*$C$30*$B$7*$B$8/($B$6*$B$9))*($C$31/($C$31-1))*($B$15^((($C$31-1)/$C$31))-1))</f>
        <v>71855.238626226492</v>
      </c>
      <c r="I62" s="21">
        <f t="shared" si="29"/>
        <v>70734.616190979708</v>
      </c>
      <c r="J62" s="21">
        <f t="shared" si="29"/>
        <v>69631.470486259263</v>
      </c>
      <c r="K62" s="21">
        <f t="shared" si="29"/>
        <v>68545.528952726541</v>
      </c>
      <c r="L62" s="21">
        <f t="shared" si="29"/>
        <v>67476.523281757312</v>
      </c>
      <c r="M62" s="21">
        <f t="shared" si="29"/>
        <v>66424.189349149805</v>
      </c>
    </row>
    <row r="100" spans="1:13" ht="13.2" x14ac:dyDescent="0.25">
      <c r="A100" s="1" t="s">
        <v>77</v>
      </c>
      <c r="B100" s="1">
        <v>0.1275</v>
      </c>
      <c r="H100" s="51" t="s">
        <v>323</v>
      </c>
      <c r="I100" s="49"/>
      <c r="J100" s="49"/>
      <c r="K100" s="49"/>
      <c r="L100" s="49"/>
      <c r="M100" s="50"/>
    </row>
    <row r="101" spans="1:13" ht="13.2" x14ac:dyDescent="0.25">
      <c r="A101" s="1" t="s">
        <v>92</v>
      </c>
      <c r="B101" s="1">
        <v>0.05</v>
      </c>
      <c r="H101" s="17">
        <v>2025</v>
      </c>
      <c r="I101" s="17">
        <v>2026</v>
      </c>
      <c r="J101" s="17">
        <v>2027</v>
      </c>
      <c r="K101" s="17">
        <v>2028</v>
      </c>
      <c r="L101" s="17">
        <v>2029</v>
      </c>
      <c r="M101" s="17">
        <v>2030</v>
      </c>
    </row>
    <row r="102" spans="1:13" ht="14.4" x14ac:dyDescent="0.25">
      <c r="A102" s="1" t="s">
        <v>93</v>
      </c>
      <c r="B102" s="8">
        <v>8.1500000000000003E-2</v>
      </c>
      <c r="G102" s="15" t="s">
        <v>305</v>
      </c>
      <c r="H102" s="21">
        <f t="shared" ref="H102:H107" si="30">(((1000*H30/365)/(24*3600*(ROUNDUP(H48/60000,0))))*(ROUNDUP(H48/60000,0)))*(((0.13*(10^6))/(((1000*H30/365)/(24*3600*(ROUNDUP(H48/60000,0))))^0.71))+(((1.4*(10^6))*(LN($B$4/$B$2)))/(((1000*H30/365)/(24*3600*(ROUNDUP(H48/60000,0))))^0.6)))*$B$110</f>
        <v>40800000.39097143</v>
      </c>
      <c r="I102" s="21">
        <f t="shared" ref="I102:I107" si="31">(((1000*I30/365)/(24*3600*(ROUNDUP(I48/60000,0))))*(ROUNDUP(I48/60000,0)))*(((0.13*(10^6))/(((1000*I30/365)/(24*3600*(ROUNDUP(I48/60000,0))))^0.71))+(((1.4*(10^6))*(LN($B$4/$B$2)))/(((1000*I30/365)/(24*3600*(ROUNDUP(I48/60000,0))))^0.6)))*$A$113</f>
        <v>41987659.876083583</v>
      </c>
      <c r="J102" s="21">
        <f t="shared" ref="J102:J107" si="32">(((1000*J30/365)/(24*3600*(ROUNDUP(J48/60000,0))))*(ROUNDUP(J48/60000,0)))*(((0.13*(10^6))/(((1000*J30/365)/(24*3600*(ROUNDUP(J48/60000,0))))^0.71))+(((1.4*(10^6))*(LN($B$4/$B$2)))/(((1000*J30/365)/(24*3600*(ROUNDUP(J48/60000,0))))^0.6)))*$B$113</f>
        <v>43301902.649319276</v>
      </c>
      <c r="K102" s="21">
        <f t="shared" ref="K102:K107" si="33">(((1000*K30/365)/(24*3600*(ROUNDUP(K48/60000,0))))*(ROUNDUP(K48/60000,0)))*(((0.13*(10^6))/(((1000*K30/365)/(24*3600*(ROUNDUP(K48/60000,0))))^0.71))+(((1.4*(10^6))*(LN($B$4/$B$2)))/(((1000*K30/365)/(24*3600*(ROUNDUP(K48/60000,0))))^0.6)))*$C$113</f>
        <v>44691998.050746739</v>
      </c>
      <c r="L102" s="21">
        <f t="shared" ref="L102:L107" si="34">(((1000*L30/365)/(24*3600*(ROUNDUP(L48/60000,0))))*(ROUNDUP(L48/60000,0)))*(((0.13*(10^6))/(((1000*L30/365)/(24*3600*(ROUNDUP(L48/60000,0))))^0.71))+(((1.4*(10^6))*(LN($B$4/$B$2)))/(((1000*L30/365)/(24*3600*(ROUNDUP(L48/60000,0))))^0.6)))*$D$113</f>
        <v>46134402.230638564</v>
      </c>
      <c r="M102" s="21">
        <f t="shared" ref="M102:M107" si="35">(((1000*M30/365)/(24*3600*(ROUNDUP(M48/60000,0))))*(ROUNDUP(M48/60000,0)))*(((0.13*(10^6))/(((1000*M30/365)/(24*3600*(ROUNDUP(M48/60000,0))))^0.71))+(((1.4*(10^6))*(LN($B$4/$B$2)))/(((1000*M30/365)/(24*3600*(ROUNDUP(M48/60000,0))))^0.6)))*$E$113</f>
        <v>47624440.470441498</v>
      </c>
    </row>
    <row r="103" spans="1:13" ht="14.4" x14ac:dyDescent="0.25">
      <c r="A103" s="1" t="s">
        <v>71</v>
      </c>
      <c r="B103" s="1">
        <v>0.8</v>
      </c>
      <c r="G103" s="15" t="s">
        <v>306</v>
      </c>
      <c r="H103" s="21">
        <f t="shared" si="30"/>
        <v>44064073.954965517</v>
      </c>
      <c r="I103" s="21">
        <f t="shared" si="31"/>
        <v>45495815.468514778</v>
      </c>
      <c r="J103" s="21">
        <f t="shared" si="32"/>
        <v>46967726.585177474</v>
      </c>
      <c r="K103" s="21">
        <f t="shared" si="33"/>
        <v>48485389.414615497</v>
      </c>
      <c r="L103" s="21">
        <f t="shared" si="34"/>
        <v>50051603.348075613</v>
      </c>
      <c r="M103" s="21">
        <f t="shared" si="35"/>
        <v>51668296.952388965</v>
      </c>
    </row>
    <row r="104" spans="1:13" ht="14.4" x14ac:dyDescent="0.25">
      <c r="D104" s="5"/>
      <c r="G104" s="15" t="s">
        <v>307</v>
      </c>
      <c r="H104" s="21">
        <f t="shared" si="30"/>
        <v>158934115.1837346</v>
      </c>
      <c r="I104" s="21">
        <f t="shared" si="31"/>
        <v>163954472.22656015</v>
      </c>
      <c r="J104" s="21">
        <f t="shared" si="32"/>
        <v>169248801.79023474</v>
      </c>
      <c r="K104" s="21">
        <f t="shared" si="33"/>
        <v>174725478.51937202</v>
      </c>
      <c r="L104" s="21">
        <f t="shared" si="34"/>
        <v>180368341.48274189</v>
      </c>
      <c r="M104" s="21">
        <f t="shared" si="35"/>
        <v>186190377.98636332</v>
      </c>
    </row>
    <row r="105" spans="1:13" ht="14.4" x14ac:dyDescent="0.25">
      <c r="G105" s="15" t="s">
        <v>308</v>
      </c>
      <c r="H105" s="21">
        <f t="shared" si="30"/>
        <v>49892502.39499861</v>
      </c>
      <c r="I105" s="21">
        <f t="shared" si="31"/>
        <v>49948899.929732524</v>
      </c>
      <c r="J105" s="21">
        <f t="shared" si="32"/>
        <v>49977726.641993739</v>
      </c>
      <c r="K105" s="21">
        <f t="shared" si="33"/>
        <v>50182513.418382376</v>
      </c>
      <c r="L105" s="21">
        <f t="shared" si="34"/>
        <v>50688927.573493764</v>
      </c>
      <c r="M105" s="21">
        <f t="shared" si="35"/>
        <v>51535536.086174145</v>
      </c>
    </row>
    <row r="106" spans="1:13" ht="14.4" x14ac:dyDescent="0.25">
      <c r="A106" s="1" t="s">
        <v>73</v>
      </c>
      <c r="B106" s="7">
        <f>(1000*H30/365)/(24*3600*B35)</f>
        <v>30.176951447234902</v>
      </c>
      <c r="C106" s="1" t="s">
        <v>74</v>
      </c>
      <c r="G106" s="15" t="s">
        <v>309</v>
      </c>
      <c r="H106" s="21">
        <f t="shared" si="30"/>
        <v>228847710.24075508</v>
      </c>
      <c r="I106" s="21">
        <f t="shared" si="31"/>
        <v>234648886.02134952</v>
      </c>
      <c r="J106" s="21">
        <f t="shared" si="32"/>
        <v>241048347.34025657</v>
      </c>
      <c r="K106" s="21">
        <f t="shared" si="33"/>
        <v>248312175.8953011</v>
      </c>
      <c r="L106" s="21">
        <f t="shared" si="34"/>
        <v>256183579.91920549</v>
      </c>
      <c r="M106" s="21">
        <f t="shared" si="35"/>
        <v>264429967.02469262</v>
      </c>
    </row>
    <row r="107" spans="1:13" ht="14.4" x14ac:dyDescent="0.25">
      <c r="A107" s="1" t="s">
        <v>88</v>
      </c>
      <c r="B107" s="5">
        <f>(B106*B35)*(((0.13*(10^6))/(B106^0.71))+(((1.14*(10^6))*(LN($B$4/$B$2)))/(B106^0.6)))*2.107</f>
        <v>41104462.218526267</v>
      </c>
      <c r="D107" s="5">
        <f>(B107/H48)</f>
        <v>4020.6688744156613</v>
      </c>
      <c r="G107" s="15" t="s">
        <v>310</v>
      </c>
      <c r="H107" s="21">
        <f t="shared" si="30"/>
        <v>140553999.6151177</v>
      </c>
      <c r="I107" s="21">
        <f t="shared" si="31"/>
        <v>144924073.13332456</v>
      </c>
      <c r="J107" s="21">
        <f t="shared" si="32"/>
        <v>149699102.44032937</v>
      </c>
      <c r="K107" s="21">
        <f t="shared" si="33"/>
        <v>154757319.17703235</v>
      </c>
      <c r="L107" s="21">
        <f t="shared" si="34"/>
        <v>159971402.56751195</v>
      </c>
      <c r="M107" s="21">
        <f t="shared" si="35"/>
        <v>165282308.45450628</v>
      </c>
    </row>
    <row r="109" spans="1:13" ht="13.2" x14ac:dyDescent="0.25">
      <c r="A109" s="1" t="s">
        <v>324</v>
      </c>
      <c r="B109" s="1">
        <v>1.0323</v>
      </c>
      <c r="H109" s="51" t="s">
        <v>325</v>
      </c>
      <c r="I109" s="49"/>
      <c r="J109" s="49"/>
      <c r="K109" s="49"/>
      <c r="L109" s="49"/>
      <c r="M109" s="50"/>
    </row>
    <row r="110" spans="1:13" ht="13.2" x14ac:dyDescent="0.25">
      <c r="A110" s="1" t="s">
        <v>326</v>
      </c>
      <c r="B110" s="8">
        <f>800/468.2</f>
        <v>1.7086715079026058</v>
      </c>
      <c r="H110" s="17">
        <v>2025</v>
      </c>
      <c r="I110" s="17">
        <v>2026</v>
      </c>
      <c r="J110" s="17">
        <v>2027</v>
      </c>
      <c r="K110" s="17">
        <v>2028</v>
      </c>
      <c r="L110" s="17">
        <v>2029</v>
      </c>
      <c r="M110" s="17">
        <v>2030</v>
      </c>
    </row>
    <row r="111" spans="1:13" ht="14.4" x14ac:dyDescent="0.25">
      <c r="G111" s="15" t="s">
        <v>312</v>
      </c>
      <c r="H111" s="21">
        <f t="shared" ref="H111:H116" si="36">(((1000*H39/365)/(24*3600*(ROUNDUP(H57/60000,0))))*(ROUNDUP(H57/60000,0)))*(((0.13*(10^6))/(((1000*H39/365)/(24*3600*(ROUNDUP(H57/60000,0))))^0.71))+(((1.4*(10^6))*(LN($B$4/$B$2)))/(((1000*H39/365)/(24*3600*(ROUNDUP(H57/60000,0))))^0.6)))*$B$110</f>
        <v>41678692.187798314</v>
      </c>
      <c r="I111" s="21">
        <f t="shared" ref="I111:I116" si="37">(((1000*I39/365)/(24*3600*(ROUNDUP(I57/60000,0))))*(ROUNDUP(I57/60000,0)))*(((0.13*(10^6))/(((1000*I39/365)/(24*3600*(ROUNDUP(I57/60000,0))))^0.71))+(((1.4*(10^6))*(LN($B$4/$B$2)))/(((1000*I39/365)/(24*3600*(ROUNDUP(I57/60000,0))))^0.6)))*$A$113</f>
        <v>42756324.367730223</v>
      </c>
      <c r="J111" s="21">
        <f t="shared" ref="J111:J116" si="38">(((1000*J39/365)/(24*3600*(ROUNDUP(J57/60000,0))))*(ROUNDUP(J57/60000,0)))*(((0.13*(10^6))/(((1000*J39/365)/(24*3600*(ROUNDUP(J57/60000,0))))^0.71))+(((1.4*(10^6))*(LN($B$4/$B$2)))/(((1000*J39/365)/(24*3600*(ROUNDUP(J57/60000,0))))^0.6)))*$B$113</f>
        <v>43861821.374703526</v>
      </c>
      <c r="K111" s="21">
        <f t="shared" ref="K111:K116" si="39">(((1000*K39/365)/(24*3600*(ROUNDUP(K57/60000,0))))*(ROUNDUP(K57/60000,0)))*(((0.13*(10^6))/(((1000*K39/365)/(24*3600*(ROUNDUP(K57/60000,0))))^0.71))+(((1.4*(10^6))*(LN($B$4/$B$2)))/(((1000*K39/365)/(24*3600*(ROUNDUP(K57/60000,0))))^0.6)))*$C$113</f>
        <v>44995903.774164297</v>
      </c>
      <c r="L111" s="21">
        <f t="shared" ref="L111:L116" si="40">(((1000*L39/365)/(24*3600*(ROUNDUP(L57/60000,0))))*(ROUNDUP(L57/60000,0)))*(((0.13*(10^6))/(((1000*L39/365)/(24*3600*(ROUNDUP(L57/60000,0))))^0.71))+(((1.4*(10^6))*(LN($B$4/$B$2)))/(((1000*L39/365)/(24*3600*(ROUNDUP(L57/60000,0))))^0.6)))*$D$113</f>
        <v>46159310.766321257</v>
      </c>
      <c r="M111" s="21">
        <f t="shared" ref="M111:M116" si="41">(((1000*M39/365)/(24*3600*(ROUNDUP(M57/60000,0))))*(ROUNDUP(M57/60000,0)))*(((0.13*(10^6))/(((1000*M39/365)/(24*3600*(ROUNDUP(M57/60000,0))))^0.71))+(((1.4*(10^6))*(LN($B$4/$B$2)))/(((1000*M39/365)/(24*3600*(ROUNDUP(M57/60000,0))))^0.6)))*$E$113</f>
        <v>47352800.668104522</v>
      </c>
    </row>
    <row r="112" spans="1:13" ht="14.4" x14ac:dyDescent="0.25">
      <c r="A112" s="5">
        <v>2026</v>
      </c>
      <c r="B112" s="1">
        <v>2027</v>
      </c>
      <c r="C112" s="1">
        <v>2028</v>
      </c>
      <c r="D112" s="1">
        <v>2029</v>
      </c>
      <c r="E112" s="1">
        <v>2030</v>
      </c>
      <c r="G112" s="15" t="s">
        <v>313</v>
      </c>
      <c r="H112" s="21">
        <f t="shared" si="36"/>
        <v>44473300.250829481</v>
      </c>
      <c r="I112" s="21">
        <f t="shared" si="37"/>
        <v>45623168.913536452</v>
      </c>
      <c r="J112" s="21">
        <f t="shared" si="38"/>
        <v>46802769.700868979</v>
      </c>
      <c r="K112" s="21">
        <f t="shared" si="39"/>
        <v>48012871.450036481</v>
      </c>
      <c r="L112" s="21">
        <f t="shared" si="40"/>
        <v>49254262.880960643</v>
      </c>
      <c r="M112" s="21">
        <f t="shared" si="41"/>
        <v>50527753.11049854</v>
      </c>
    </row>
    <row r="113" spans="1:13" ht="14.4" x14ac:dyDescent="0.25">
      <c r="A113" s="8">
        <f>B110*B109</f>
        <v>1.76386159760786</v>
      </c>
      <c r="B113" s="8">
        <f>A113*B109</f>
        <v>1.8208343272105938</v>
      </c>
      <c r="C113" s="8">
        <f>B113*B109</f>
        <v>1.879647275979496</v>
      </c>
      <c r="D113" s="8">
        <f>C113*B109</f>
        <v>1.9403598829936337</v>
      </c>
      <c r="E113" s="8">
        <f>D113*B109</f>
        <v>2.0030335072143282</v>
      </c>
      <c r="G113" s="15" t="s">
        <v>314</v>
      </c>
      <c r="H113" s="21">
        <f t="shared" si="36"/>
        <v>158752078.96345273</v>
      </c>
      <c r="I113" s="21">
        <f t="shared" si="37"/>
        <v>162856067.37995207</v>
      </c>
      <c r="J113" s="21">
        <f t="shared" si="38"/>
        <v>167066156.31571653</v>
      </c>
      <c r="K113" s="21">
        <f t="shared" si="39"/>
        <v>171385088.95651752</v>
      </c>
      <c r="L113" s="21">
        <f t="shared" si="40"/>
        <v>175815679.41666496</v>
      </c>
      <c r="M113" s="21">
        <f t="shared" si="41"/>
        <v>180360814.57308072</v>
      </c>
    </row>
    <row r="114" spans="1:13" ht="14.4" x14ac:dyDescent="0.25">
      <c r="B114" s="7"/>
      <c r="G114" s="15" t="s">
        <v>315</v>
      </c>
      <c r="H114" s="21">
        <f t="shared" si="36"/>
        <v>51516167.898938514</v>
      </c>
      <c r="I114" s="21">
        <f t="shared" si="37"/>
        <v>52848080.482387774</v>
      </c>
      <c r="J114" s="21">
        <f t="shared" si="38"/>
        <v>54214430.882340953</v>
      </c>
      <c r="K114" s="21">
        <f t="shared" si="39"/>
        <v>55616109.580606937</v>
      </c>
      <c r="L114" s="21">
        <f t="shared" si="40"/>
        <v>57054030.086453497</v>
      </c>
      <c r="M114" s="21">
        <f t="shared" si="41"/>
        <v>58529129.53213343</v>
      </c>
    </row>
    <row r="115" spans="1:13" ht="14.4" x14ac:dyDescent="0.25">
      <c r="B115" s="7"/>
      <c r="G115" s="15" t="s">
        <v>316</v>
      </c>
      <c r="H115" s="21">
        <f t="shared" si="36"/>
        <v>300965375.28871405</v>
      </c>
      <c r="I115" s="21">
        <f t="shared" si="37"/>
        <v>308745894.5656724</v>
      </c>
      <c r="J115" s="21">
        <f t="shared" si="38"/>
        <v>316727566.45015848</v>
      </c>
      <c r="K115" s="21">
        <f t="shared" si="39"/>
        <v>324915591.73384601</v>
      </c>
      <c r="L115" s="21">
        <f t="shared" si="40"/>
        <v>280364728.60279638</v>
      </c>
      <c r="M115" s="21">
        <f t="shared" si="41"/>
        <v>287612533.86858457</v>
      </c>
    </row>
    <row r="116" spans="1:13" ht="14.4" x14ac:dyDescent="0.25">
      <c r="B116" s="7"/>
      <c r="G116" s="15" t="s">
        <v>317</v>
      </c>
      <c r="H116" s="21">
        <f t="shared" si="36"/>
        <v>134649414.99705136</v>
      </c>
      <c r="I116" s="21">
        <f t="shared" si="37"/>
        <v>138130445.85485625</v>
      </c>
      <c r="J116" s="21">
        <f t="shared" si="38"/>
        <v>141701475.5853259</v>
      </c>
      <c r="K116" s="21">
        <f t="shared" si="39"/>
        <v>145364831.17451718</v>
      </c>
      <c r="L116" s="21">
        <f t="shared" si="40"/>
        <v>149122899.77846318</v>
      </c>
      <c r="M116" s="21">
        <f t="shared" si="41"/>
        <v>152978130.27912891</v>
      </c>
    </row>
    <row r="118" spans="1:13" ht="13.2" x14ac:dyDescent="0.25">
      <c r="H118" s="55" t="s">
        <v>327</v>
      </c>
      <c r="I118" s="49"/>
      <c r="J118" s="49"/>
      <c r="K118" s="49"/>
      <c r="L118" s="49"/>
      <c r="M118" s="50"/>
    </row>
    <row r="119" spans="1:13" ht="13.2" x14ac:dyDescent="0.25">
      <c r="H119" s="17">
        <v>2025</v>
      </c>
      <c r="I119" s="17">
        <v>2026</v>
      </c>
      <c r="J119" s="17">
        <v>2027</v>
      </c>
      <c r="K119" s="17">
        <v>2028</v>
      </c>
      <c r="L119" s="17">
        <v>2029</v>
      </c>
      <c r="M119" s="17">
        <v>2030</v>
      </c>
    </row>
    <row r="120" spans="1:13" ht="14.4" x14ac:dyDescent="0.25">
      <c r="G120" s="15" t="s">
        <v>305</v>
      </c>
      <c r="H120" s="21">
        <f t="shared" ref="H120:M120" si="42">H102/H48</f>
        <v>3990.8876748225498</v>
      </c>
      <c r="I120" s="21">
        <f t="shared" si="42"/>
        <v>4139.0973846188281</v>
      </c>
      <c r="J120" s="21">
        <f t="shared" si="42"/>
        <v>4279.0439752211923</v>
      </c>
      <c r="K120" s="21">
        <f t="shared" si="42"/>
        <v>4418.5341957965038</v>
      </c>
      <c r="L120" s="21">
        <f t="shared" si="42"/>
        <v>4561.4241545343893</v>
      </c>
      <c r="M120" s="21">
        <f t="shared" si="42"/>
        <v>4708.7735263583654</v>
      </c>
    </row>
    <row r="121" spans="1:13" ht="14.4" x14ac:dyDescent="0.25">
      <c r="G121" s="15" t="s">
        <v>306</v>
      </c>
      <c r="H121" s="21">
        <f t="shared" ref="H121:M121" si="43">H103/H49</f>
        <v>3553.030324768612</v>
      </c>
      <c r="I121" s="21">
        <f t="shared" si="43"/>
        <v>3666.7620149213822</v>
      </c>
      <c r="J121" s="21">
        <f t="shared" si="43"/>
        <v>3784.9068438299732</v>
      </c>
      <c r="K121" s="21">
        <f t="shared" si="43"/>
        <v>3907.0856913231278</v>
      </c>
      <c r="L121" s="21">
        <f t="shared" si="43"/>
        <v>4033.2680296115718</v>
      </c>
      <c r="M121" s="21">
        <f t="shared" si="43"/>
        <v>4163.5393242541249</v>
      </c>
    </row>
    <row r="122" spans="1:13" ht="14.4" x14ac:dyDescent="0.25">
      <c r="G122" s="15" t="s">
        <v>307</v>
      </c>
      <c r="H122" s="21">
        <f t="shared" ref="H122:M122" si="44">H104/H50</f>
        <v>1459.1746785496396</v>
      </c>
      <c r="I122" s="21">
        <f t="shared" si="44"/>
        <v>1507.8752631868415</v>
      </c>
      <c r="J122" s="21">
        <f t="shared" si="44"/>
        <v>1556.5990547126976</v>
      </c>
      <c r="K122" s="21">
        <f t="shared" si="44"/>
        <v>1606.7393099745912</v>
      </c>
      <c r="L122" s="21">
        <f t="shared" si="44"/>
        <v>1658.6476703635724</v>
      </c>
      <c r="M122" s="21">
        <f t="shared" si="44"/>
        <v>1712.2755472397339</v>
      </c>
    </row>
    <row r="123" spans="1:13" ht="14.4" x14ac:dyDescent="0.25">
      <c r="G123" s="15" t="s">
        <v>308</v>
      </c>
      <c r="H123" s="21">
        <f t="shared" ref="H123:M123" si="45">H105/H51</f>
        <v>2945.4296046825116</v>
      </c>
      <c r="I123" s="21">
        <f t="shared" si="45"/>
        <v>3184.6026842474821</v>
      </c>
      <c r="J123" s="21">
        <f t="shared" si="45"/>
        <v>3446.080201311343</v>
      </c>
      <c r="K123" s="21">
        <f t="shared" si="45"/>
        <v>3709.3146275456047</v>
      </c>
      <c r="L123" s="21">
        <f t="shared" si="45"/>
        <v>3956.9467312737506</v>
      </c>
      <c r="M123" s="21">
        <f t="shared" si="45"/>
        <v>4179.7445614302424</v>
      </c>
    </row>
    <row r="124" spans="1:13" ht="14.4" x14ac:dyDescent="0.25">
      <c r="G124" s="15" t="s">
        <v>309</v>
      </c>
      <c r="H124" s="21">
        <f t="shared" ref="H124:M124" si="46">H106/H52</f>
        <v>1552.0305726094932</v>
      </c>
      <c r="I124" s="21">
        <f t="shared" si="46"/>
        <v>1618.5726058430819</v>
      </c>
      <c r="J124" s="21">
        <f t="shared" si="46"/>
        <v>1683.2033817448664</v>
      </c>
      <c r="K124" s="21">
        <f t="shared" si="46"/>
        <v>1743.0843900578175</v>
      </c>
      <c r="L124" s="21">
        <f t="shared" si="46"/>
        <v>1800.9658494718394</v>
      </c>
      <c r="M124" s="21">
        <f t="shared" si="46"/>
        <v>1859.4376597037194</v>
      </c>
    </row>
    <row r="125" spans="1:13" ht="14.4" x14ac:dyDescent="0.25">
      <c r="G125" s="15" t="s">
        <v>310</v>
      </c>
      <c r="H125" s="21">
        <f t="shared" ref="H125:M125" si="47">H107/H53</f>
        <v>1756.4055981533368</v>
      </c>
      <c r="I125" s="21">
        <f t="shared" si="47"/>
        <v>1816.3438679821209</v>
      </c>
      <c r="J125" s="21">
        <f t="shared" si="47"/>
        <v>1873.2361040065061</v>
      </c>
      <c r="K125" s="21">
        <f t="shared" si="47"/>
        <v>1929.5404572535974</v>
      </c>
      <c r="L125" s="21">
        <f t="shared" si="47"/>
        <v>1987.8192226689143</v>
      </c>
      <c r="M125" s="21">
        <f t="shared" si="47"/>
        <v>2049.3323291277334</v>
      </c>
    </row>
    <row r="127" spans="1:13" ht="13.2" x14ac:dyDescent="0.25">
      <c r="H127" s="55" t="s">
        <v>328</v>
      </c>
      <c r="I127" s="49"/>
      <c r="J127" s="49"/>
      <c r="K127" s="49"/>
      <c r="L127" s="49"/>
      <c r="M127" s="50"/>
    </row>
    <row r="128" spans="1:13" ht="13.2" x14ac:dyDescent="0.25">
      <c r="H128" s="17">
        <v>2025</v>
      </c>
      <c r="I128" s="17">
        <v>2026</v>
      </c>
      <c r="J128" s="17">
        <v>2027</v>
      </c>
      <c r="K128" s="17">
        <v>2028</v>
      </c>
      <c r="L128" s="17">
        <v>2029</v>
      </c>
      <c r="M128" s="17">
        <v>2030</v>
      </c>
    </row>
    <row r="129" spans="7:13" ht="14.4" x14ac:dyDescent="0.25">
      <c r="G129" s="15" t="s">
        <v>312</v>
      </c>
      <c r="H129" s="21">
        <f t="shared" ref="H129:M129" si="48">H111/H57</f>
        <v>3864.5193990103185</v>
      </c>
      <c r="I129" s="21">
        <f t="shared" si="48"/>
        <v>4027.2464415221061</v>
      </c>
      <c r="J129" s="21">
        <f t="shared" si="48"/>
        <v>4196.8257684932787</v>
      </c>
      <c r="K129" s="21">
        <f t="shared" si="48"/>
        <v>4373.5459311484437</v>
      </c>
      <c r="L129" s="21">
        <f t="shared" si="48"/>
        <v>4557.7076320148735</v>
      </c>
      <c r="M129" s="21">
        <f t="shared" si="48"/>
        <v>4749.6242366463457</v>
      </c>
    </row>
    <row r="130" spans="7:13" ht="14.4" x14ac:dyDescent="0.25">
      <c r="G130" s="15" t="s">
        <v>313</v>
      </c>
      <c r="H130" s="21">
        <f t="shared" ref="H130:M130" si="49">H112/H58</f>
        <v>3503.7831171187195</v>
      </c>
      <c r="I130" s="21">
        <f t="shared" si="49"/>
        <v>3651.3186812900426</v>
      </c>
      <c r="J130" s="21">
        <f t="shared" si="49"/>
        <v>3805.0667603656852</v>
      </c>
      <c r="K130" s="21">
        <f t="shared" si="49"/>
        <v>3965.2889616387292</v>
      </c>
      <c r="L130" s="21">
        <f t="shared" si="49"/>
        <v>4132.2579089219998</v>
      </c>
      <c r="M130" s="21">
        <f t="shared" si="49"/>
        <v>4306.2577064771731</v>
      </c>
    </row>
    <row r="131" spans="7:13" ht="14.4" x14ac:dyDescent="0.25">
      <c r="G131" s="15" t="s">
        <v>314</v>
      </c>
      <c r="H131" s="21">
        <f t="shared" ref="H131:M131" si="50">H113/H59</f>
        <v>1461.6992797057478</v>
      </c>
      <c r="I131" s="21">
        <f t="shared" si="50"/>
        <v>1523.2422932136603</v>
      </c>
      <c r="J131" s="21">
        <f t="shared" si="50"/>
        <v>1587.3765553419553</v>
      </c>
      <c r="K131" s="21">
        <f t="shared" si="50"/>
        <v>1654.2111722857931</v>
      </c>
      <c r="L131" s="21">
        <f t="shared" si="50"/>
        <v>1723.8598443372873</v>
      </c>
      <c r="M131" s="21">
        <f t="shared" si="50"/>
        <v>1796.4410593323889</v>
      </c>
    </row>
    <row r="132" spans="7:13" ht="14.4" x14ac:dyDescent="0.25">
      <c r="G132" s="15" t="s">
        <v>315</v>
      </c>
      <c r="H132" s="21">
        <f t="shared" ref="H132:M132" si="51">H114/H60</f>
        <v>2806.4282887791892</v>
      </c>
      <c r="I132" s="21">
        <f t="shared" si="51"/>
        <v>2924.5971455548579</v>
      </c>
      <c r="J132" s="21">
        <f t="shared" si="51"/>
        <v>3047.7418021620888</v>
      </c>
      <c r="K132" s="21">
        <f t="shared" si="51"/>
        <v>3176.0717827081808</v>
      </c>
      <c r="L132" s="21">
        <f t="shared" si="51"/>
        <v>3309.8054343108861</v>
      </c>
      <c r="M132" s="21">
        <f t="shared" si="51"/>
        <v>3449.1702986437267</v>
      </c>
    </row>
    <row r="133" spans="7:13" ht="14.4" x14ac:dyDescent="0.25">
      <c r="G133" s="15" t="s">
        <v>316</v>
      </c>
      <c r="H133" s="21">
        <f t="shared" ref="H133:M133" si="52">H115/H61</f>
        <v>1584.5440075295292</v>
      </c>
      <c r="I133" s="21">
        <f t="shared" si="52"/>
        <v>1651.2597560816846</v>
      </c>
      <c r="J133" s="21">
        <f t="shared" si="52"/>
        <v>1720.7845720413832</v>
      </c>
      <c r="K133" s="21">
        <f t="shared" si="52"/>
        <v>1793.2367339893171</v>
      </c>
      <c r="L133" s="21">
        <f t="shared" si="52"/>
        <v>1571.8709403847113</v>
      </c>
      <c r="M133" s="21">
        <f t="shared" si="52"/>
        <v>1638.0522545467684</v>
      </c>
    </row>
    <row r="134" spans="7:13" ht="14.4" x14ac:dyDescent="0.25">
      <c r="G134" s="15" t="s">
        <v>317</v>
      </c>
      <c r="H134" s="21">
        <f t="shared" ref="H134:M134" si="53">H116/H62</f>
        <v>1873.8983763934725</v>
      </c>
      <c r="I134" s="21">
        <f t="shared" si="53"/>
        <v>1952.798407528096</v>
      </c>
      <c r="J134" s="21">
        <f t="shared" si="53"/>
        <v>2035.0205818687771</v>
      </c>
      <c r="K134" s="21">
        <f t="shared" si="53"/>
        <v>2120.7047840387991</v>
      </c>
      <c r="L134" s="21">
        <f t="shared" si="53"/>
        <v>2209.9967888947158</v>
      </c>
      <c r="M134" s="21">
        <f t="shared" si="53"/>
        <v>2303.0485095575646</v>
      </c>
    </row>
    <row r="168" spans="7:29" ht="13.2" x14ac:dyDescent="0.25">
      <c r="H168" s="51" t="s">
        <v>329</v>
      </c>
      <c r="I168" s="49"/>
      <c r="J168" s="49"/>
      <c r="K168" s="49"/>
      <c r="L168" s="49"/>
      <c r="M168" s="50"/>
      <c r="P168" s="51" t="s">
        <v>330</v>
      </c>
      <c r="Q168" s="49"/>
      <c r="R168" s="49"/>
      <c r="S168" s="49"/>
      <c r="T168" s="49"/>
      <c r="U168" s="50"/>
      <c r="X168" s="51" t="s">
        <v>331</v>
      </c>
      <c r="Y168" s="49"/>
      <c r="Z168" s="49"/>
      <c r="AA168" s="49"/>
      <c r="AB168" s="49"/>
      <c r="AC168" s="50"/>
    </row>
    <row r="169" spans="7:29" ht="13.2" x14ac:dyDescent="0.25">
      <c r="H169" s="17">
        <v>2025</v>
      </c>
      <c r="I169" s="17">
        <v>2026</v>
      </c>
      <c r="J169" s="17">
        <v>2027</v>
      </c>
      <c r="K169" s="17">
        <v>2028</v>
      </c>
      <c r="L169" s="17">
        <v>2029</v>
      </c>
      <c r="M169" s="17">
        <v>2030</v>
      </c>
      <c r="P169" s="17">
        <v>2025</v>
      </c>
      <c r="Q169" s="17">
        <v>2026</v>
      </c>
      <c r="R169" s="17">
        <v>2027</v>
      </c>
      <c r="S169" s="17">
        <v>2028</v>
      </c>
      <c r="T169" s="17">
        <v>2029</v>
      </c>
      <c r="U169" s="17">
        <v>2030</v>
      </c>
      <c r="X169" s="17">
        <v>2025</v>
      </c>
      <c r="Y169" s="17">
        <v>2026</v>
      </c>
      <c r="Z169" s="17">
        <v>2027</v>
      </c>
      <c r="AA169" s="17">
        <v>2028</v>
      </c>
      <c r="AB169" s="17">
        <v>2029</v>
      </c>
      <c r="AC169" s="17">
        <v>2030</v>
      </c>
    </row>
    <row r="170" spans="7:29" ht="14.4" x14ac:dyDescent="0.25">
      <c r="G170" s="15" t="s">
        <v>305</v>
      </c>
      <c r="H170" s="21">
        <f>H102*$B$100</f>
        <v>5202000.0498488573</v>
      </c>
      <c r="I170" s="21">
        <f t="shared" ref="H170:M170" si="54">I102*$B$100</f>
        <v>5353426.6342006568</v>
      </c>
      <c r="J170" s="21">
        <f t="shared" si="54"/>
        <v>5520992.5877882075</v>
      </c>
      <c r="K170" s="21">
        <f t="shared" si="54"/>
        <v>5698229.7514702091</v>
      </c>
      <c r="L170" s="21">
        <f t="shared" si="54"/>
        <v>5882136.284406417</v>
      </c>
      <c r="M170" s="21">
        <f t="shared" si="54"/>
        <v>6072116.1599812908</v>
      </c>
      <c r="O170" s="15" t="s">
        <v>305</v>
      </c>
      <c r="P170" s="21">
        <f t="shared" ref="P170:U170" si="55">H102*$B$101</f>
        <v>2040000.0195485717</v>
      </c>
      <c r="Q170" s="21">
        <f t="shared" si="55"/>
        <v>2099382.9938041791</v>
      </c>
      <c r="R170" s="21">
        <f t="shared" si="55"/>
        <v>2165095.1324659637</v>
      </c>
      <c r="S170" s="21">
        <f t="shared" si="55"/>
        <v>2234599.902537337</v>
      </c>
      <c r="T170" s="21">
        <f t="shared" si="55"/>
        <v>2306720.1115319282</v>
      </c>
      <c r="U170" s="21">
        <f t="shared" si="55"/>
        <v>2381222.0235220748</v>
      </c>
      <c r="W170" s="15" t="s">
        <v>305</v>
      </c>
      <c r="X170" s="21">
        <f t="shared" ref="X170:AC170" si="56">H48*$B$102*$B$103*24*365</f>
        <v>5839052.2916283924</v>
      </c>
      <c r="Y170" s="21">
        <f t="shared" si="56"/>
        <v>5793856.4100137381</v>
      </c>
      <c r="Z170" s="21">
        <f t="shared" si="56"/>
        <v>5779788.2997184107</v>
      </c>
      <c r="AA170" s="21">
        <f t="shared" si="56"/>
        <v>5777011.7734889891</v>
      </c>
      <c r="AB170" s="21">
        <f t="shared" si="56"/>
        <v>5776651.1532675801</v>
      </c>
      <c r="AC170" s="21">
        <f t="shared" si="56"/>
        <v>5776619.8079630183</v>
      </c>
    </row>
    <row r="171" spans="7:29" ht="14.4" x14ac:dyDescent="0.25">
      <c r="G171" s="15" t="s">
        <v>306</v>
      </c>
      <c r="H171" s="21">
        <f t="shared" ref="H171:M171" si="57">H103*$B$100</f>
        <v>5618169.4292581035</v>
      </c>
      <c r="I171" s="21">
        <f t="shared" si="57"/>
        <v>5800716.472235634</v>
      </c>
      <c r="J171" s="21">
        <f t="shared" si="57"/>
        <v>5988385.1396101275</v>
      </c>
      <c r="K171" s="21">
        <f t="shared" si="57"/>
        <v>6181887.150363476</v>
      </c>
      <c r="L171" s="21">
        <f t="shared" si="57"/>
        <v>6381579.4268796407</v>
      </c>
      <c r="M171" s="21">
        <f t="shared" si="57"/>
        <v>6587707.8614295935</v>
      </c>
      <c r="O171" s="15" t="s">
        <v>306</v>
      </c>
      <c r="P171" s="21">
        <f t="shared" ref="P171:U171" si="58">H103*$B$101</f>
        <v>2203203.6977482759</v>
      </c>
      <c r="Q171" s="21">
        <f t="shared" si="58"/>
        <v>2274790.7734257388</v>
      </c>
      <c r="R171" s="21">
        <f t="shared" si="58"/>
        <v>2348386.3292588736</v>
      </c>
      <c r="S171" s="21">
        <f t="shared" si="58"/>
        <v>2424269.470730775</v>
      </c>
      <c r="T171" s="21">
        <f t="shared" si="58"/>
        <v>2502580.1674037809</v>
      </c>
      <c r="U171" s="21">
        <f t="shared" si="58"/>
        <v>2583414.8476194483</v>
      </c>
      <c r="W171" s="15" t="s">
        <v>306</v>
      </c>
      <c r="X171" s="21">
        <f t="shared" ref="X171:AC171" si="59">H49*$B$102*$B$103*24*365</f>
        <v>7083329.3462434681</v>
      </c>
      <c r="Y171" s="21">
        <f t="shared" si="59"/>
        <v>7086640.9902608013</v>
      </c>
      <c r="Z171" s="21">
        <f t="shared" si="59"/>
        <v>7087548.5398822036</v>
      </c>
      <c r="AA171" s="21">
        <f t="shared" si="59"/>
        <v>7087770.6103135012</v>
      </c>
      <c r="AB171" s="21">
        <f t="shared" si="59"/>
        <v>7087818.896631374</v>
      </c>
      <c r="AC171" s="21">
        <f t="shared" si="59"/>
        <v>7087828.1295535723</v>
      </c>
    </row>
    <row r="172" spans="7:29" ht="14.4" x14ac:dyDescent="0.25">
      <c r="G172" s="15" t="s">
        <v>307</v>
      </c>
      <c r="H172" s="21">
        <f t="shared" ref="H172:M172" si="60">H104*$B$100</f>
        <v>20264099.685926162</v>
      </c>
      <c r="I172" s="21">
        <f t="shared" si="60"/>
        <v>20904195.208886418</v>
      </c>
      <c r="J172" s="21">
        <f t="shared" si="60"/>
        <v>21579222.228254929</v>
      </c>
      <c r="K172" s="21">
        <f t="shared" si="60"/>
        <v>22277498.511219934</v>
      </c>
      <c r="L172" s="21">
        <f t="shared" si="60"/>
        <v>22996963.539049592</v>
      </c>
      <c r="M172" s="21">
        <f t="shared" si="60"/>
        <v>23739273.193261325</v>
      </c>
      <c r="O172" s="15" t="s">
        <v>307</v>
      </c>
      <c r="P172" s="21">
        <f t="shared" ref="P172:U172" si="61">H104*$B$101</f>
        <v>7946705.7591867298</v>
      </c>
      <c r="Q172" s="21">
        <f t="shared" si="61"/>
        <v>8197723.6113280077</v>
      </c>
      <c r="R172" s="21">
        <f t="shared" si="61"/>
        <v>8462440.0895117372</v>
      </c>
      <c r="S172" s="21">
        <f t="shared" si="61"/>
        <v>8736273.9259686004</v>
      </c>
      <c r="T172" s="21">
        <f t="shared" si="61"/>
        <v>9018417.0741370954</v>
      </c>
      <c r="U172" s="21">
        <f t="shared" si="61"/>
        <v>9309518.8993181661</v>
      </c>
      <c r="W172" s="15" t="s">
        <v>307</v>
      </c>
      <c r="X172" s="21">
        <f t="shared" ref="X172:AC172" si="62">H50*$B$102*$B$103*24*365</f>
        <v>62210192.57656499</v>
      </c>
      <c r="Y172" s="21">
        <f t="shared" si="62"/>
        <v>62102567.107065111</v>
      </c>
      <c r="Z172" s="21">
        <f t="shared" si="62"/>
        <v>62101278.648108907</v>
      </c>
      <c r="AA172" s="21">
        <f t="shared" si="62"/>
        <v>62110141.880374193</v>
      </c>
      <c r="AB172" s="21">
        <f t="shared" si="62"/>
        <v>62109476.7835593</v>
      </c>
      <c r="AC172" s="21">
        <f t="shared" si="62"/>
        <v>62106246.24003838</v>
      </c>
    </row>
    <row r="173" spans="7:29" ht="14.4" x14ac:dyDescent="0.25">
      <c r="G173" s="15" t="s">
        <v>308</v>
      </c>
      <c r="H173" s="21">
        <f t="shared" ref="H173:M173" si="63">H105*$B$100</f>
        <v>6361294.0553623233</v>
      </c>
      <c r="I173" s="21">
        <f t="shared" si="63"/>
        <v>6368484.7410408966</v>
      </c>
      <c r="J173" s="21">
        <f t="shared" si="63"/>
        <v>6372160.1468542013</v>
      </c>
      <c r="K173" s="21">
        <f t="shared" si="63"/>
        <v>6398270.4608437531</v>
      </c>
      <c r="L173" s="21">
        <f t="shared" si="63"/>
        <v>6462838.2656204551</v>
      </c>
      <c r="M173" s="21">
        <f t="shared" si="63"/>
        <v>6570780.8509872034</v>
      </c>
      <c r="O173" s="15" t="s">
        <v>308</v>
      </c>
      <c r="P173" s="21">
        <f t="shared" ref="P173:U173" si="64">H105*$B$101</f>
        <v>2494625.1197499307</v>
      </c>
      <c r="Q173" s="21">
        <f t="shared" si="64"/>
        <v>2497444.9964866261</v>
      </c>
      <c r="R173" s="21">
        <f t="shared" si="64"/>
        <v>2498886.3320996868</v>
      </c>
      <c r="S173" s="21">
        <f t="shared" si="64"/>
        <v>2509125.6709191189</v>
      </c>
      <c r="T173" s="21">
        <f t="shared" si="64"/>
        <v>2534446.3786746883</v>
      </c>
      <c r="U173" s="21">
        <f t="shared" si="64"/>
        <v>2576776.8043087074</v>
      </c>
      <c r="W173" s="15" t="s">
        <v>308</v>
      </c>
      <c r="X173" s="21">
        <f t="shared" ref="X173:AC173" si="65">H51*$B$102*$B$103*24*365</f>
        <v>9674718.581834808</v>
      </c>
      <c r="Y173" s="21">
        <f t="shared" si="65"/>
        <v>8958233.3877256736</v>
      </c>
      <c r="Z173" s="21">
        <f t="shared" si="65"/>
        <v>8283289.0877483869</v>
      </c>
      <c r="AA173" s="21">
        <f t="shared" si="65"/>
        <v>7726991.5825126506</v>
      </c>
      <c r="AB173" s="21">
        <f t="shared" si="65"/>
        <v>7316520.6224893229</v>
      </c>
      <c r="AC173" s="21">
        <f t="shared" si="65"/>
        <v>7042206.5449421806</v>
      </c>
    </row>
    <row r="174" spans="7:29" ht="14.4" x14ac:dyDescent="0.25">
      <c r="G174" s="15" t="s">
        <v>309</v>
      </c>
      <c r="H174" s="21">
        <f t="shared" ref="H174:M174" si="66">H106*$B$100</f>
        <v>29178083.055696275</v>
      </c>
      <c r="I174" s="21">
        <f t="shared" si="66"/>
        <v>29917732.967722066</v>
      </c>
      <c r="J174" s="21">
        <f t="shared" si="66"/>
        <v>30733664.285882715</v>
      </c>
      <c r="K174" s="21">
        <f t="shared" si="66"/>
        <v>31659802.426650893</v>
      </c>
      <c r="L174" s="21">
        <f t="shared" si="66"/>
        <v>32663406.4396987</v>
      </c>
      <c r="M174" s="21">
        <f t="shared" si="66"/>
        <v>33714820.795648307</v>
      </c>
      <c r="O174" s="15" t="s">
        <v>309</v>
      </c>
      <c r="P174" s="21">
        <f t="shared" ref="P174:U174" si="67">H106*$B$101</f>
        <v>11442385.512037754</v>
      </c>
      <c r="Q174" s="21">
        <f t="shared" si="67"/>
        <v>11732444.301067477</v>
      </c>
      <c r="R174" s="21">
        <f t="shared" si="67"/>
        <v>12052417.367012829</v>
      </c>
      <c r="S174" s="21">
        <f t="shared" si="67"/>
        <v>12415608.794765055</v>
      </c>
      <c r="T174" s="21">
        <f t="shared" si="67"/>
        <v>12809178.995960275</v>
      </c>
      <c r="U174" s="21">
        <f t="shared" si="67"/>
        <v>13221498.351234632</v>
      </c>
      <c r="W174" s="15" t="s">
        <v>309</v>
      </c>
      <c r="X174" s="21">
        <f t="shared" ref="X174:AC174" si="68">H52*$B$102*$B$103*24*365</f>
        <v>84216657.652345687</v>
      </c>
      <c r="Y174" s="21">
        <f t="shared" si="68"/>
        <v>82801463.502502203</v>
      </c>
      <c r="Z174" s="21">
        <f t="shared" si="68"/>
        <v>81793589.041725501</v>
      </c>
      <c r="AA174" s="21">
        <f t="shared" si="68"/>
        <v>81363815.025759473</v>
      </c>
      <c r="AB174" s="21">
        <f t="shared" si="68"/>
        <v>81245163.022344127</v>
      </c>
      <c r="AC174" s="21">
        <f t="shared" si="68"/>
        <v>81223322.404985696</v>
      </c>
    </row>
    <row r="175" spans="7:29" ht="14.4" x14ac:dyDescent="0.25">
      <c r="G175" s="15" t="s">
        <v>310</v>
      </c>
      <c r="H175" s="21">
        <f t="shared" ref="H175:M175" si="69">H107*$B$100</f>
        <v>17920634.950927507</v>
      </c>
      <c r="I175" s="21">
        <f t="shared" si="69"/>
        <v>18477819.324498881</v>
      </c>
      <c r="J175" s="21">
        <f t="shared" si="69"/>
        <v>19086635.561141994</v>
      </c>
      <c r="K175" s="21">
        <f t="shared" si="69"/>
        <v>19731558.195071626</v>
      </c>
      <c r="L175" s="21">
        <f t="shared" si="69"/>
        <v>20396353.827357773</v>
      </c>
      <c r="M175" s="21">
        <f t="shared" si="69"/>
        <v>21073494.32794955</v>
      </c>
      <c r="O175" s="15" t="s">
        <v>310</v>
      </c>
      <c r="P175" s="21">
        <f t="shared" ref="P175:U175" si="70">H107*$B$101</f>
        <v>7027699.9807558851</v>
      </c>
      <c r="Q175" s="21">
        <f t="shared" si="70"/>
        <v>7246203.6566662285</v>
      </c>
      <c r="R175" s="21">
        <f t="shared" si="70"/>
        <v>7484955.122016469</v>
      </c>
      <c r="S175" s="21">
        <f t="shared" si="70"/>
        <v>7737865.9588516178</v>
      </c>
      <c r="T175" s="21">
        <f t="shared" si="70"/>
        <v>7998570.1283755973</v>
      </c>
      <c r="U175" s="21">
        <f t="shared" si="70"/>
        <v>8264115.4227253143</v>
      </c>
      <c r="W175" s="15" t="s">
        <v>310</v>
      </c>
      <c r="X175" s="21">
        <f t="shared" ref="X175:AC175" si="71">H53*$B$102*$B$103*24*365</f>
        <v>45705671.897525653</v>
      </c>
      <c r="Y175" s="21">
        <f t="shared" si="71"/>
        <v>45571587.890019171</v>
      </c>
      <c r="Z175" s="21">
        <f t="shared" si="71"/>
        <v>45643441.087927081</v>
      </c>
      <c r="AA175" s="21">
        <f t="shared" si="71"/>
        <v>45808810.087563455</v>
      </c>
      <c r="AB175" s="21">
        <f t="shared" si="71"/>
        <v>45963931.466849282</v>
      </c>
      <c r="AC175" s="21">
        <f t="shared" si="71"/>
        <v>46064427.763450474</v>
      </c>
    </row>
    <row r="177" spans="7:29" ht="13.2" x14ac:dyDescent="0.25">
      <c r="H177" s="51" t="s">
        <v>332</v>
      </c>
      <c r="I177" s="49"/>
      <c r="J177" s="49"/>
      <c r="K177" s="49"/>
      <c r="L177" s="49"/>
      <c r="M177" s="50"/>
      <c r="P177" s="51" t="s">
        <v>333</v>
      </c>
      <c r="Q177" s="49"/>
      <c r="R177" s="49"/>
      <c r="S177" s="49"/>
      <c r="T177" s="49"/>
      <c r="U177" s="50"/>
      <c r="X177" s="51" t="s">
        <v>334</v>
      </c>
      <c r="Y177" s="49"/>
      <c r="Z177" s="49"/>
      <c r="AA177" s="49"/>
      <c r="AB177" s="49"/>
      <c r="AC177" s="50"/>
    </row>
    <row r="178" spans="7:29" ht="13.2" x14ac:dyDescent="0.25">
      <c r="H178" s="17">
        <v>2025</v>
      </c>
      <c r="I178" s="17">
        <v>2026</v>
      </c>
      <c r="J178" s="17">
        <v>2027</v>
      </c>
      <c r="K178" s="17">
        <v>2028</v>
      </c>
      <c r="L178" s="17">
        <v>2029</v>
      </c>
      <c r="M178" s="17">
        <v>2030</v>
      </c>
      <c r="P178" s="17">
        <v>2025</v>
      </c>
      <c r="Q178" s="17">
        <v>2026</v>
      </c>
      <c r="R178" s="17">
        <v>2027</v>
      </c>
      <c r="S178" s="17">
        <v>2028</v>
      </c>
      <c r="T178" s="17">
        <v>2029</v>
      </c>
      <c r="U178" s="17">
        <v>2030</v>
      </c>
      <c r="X178" s="17">
        <v>2025</v>
      </c>
      <c r="Y178" s="17">
        <v>2026</v>
      </c>
      <c r="Z178" s="17">
        <v>2027</v>
      </c>
      <c r="AA178" s="17">
        <v>2028</v>
      </c>
      <c r="AB178" s="17">
        <v>2029</v>
      </c>
      <c r="AC178" s="17">
        <v>2030</v>
      </c>
    </row>
    <row r="179" spans="7:29" ht="14.4" x14ac:dyDescent="0.25">
      <c r="G179" s="15" t="s">
        <v>312</v>
      </c>
      <c r="H179" s="21">
        <f t="shared" ref="H179:M179" si="72">H111*$B$100</f>
        <v>5314033.2539442852</v>
      </c>
      <c r="I179" s="21">
        <f t="shared" si="72"/>
        <v>5451431.3568856036</v>
      </c>
      <c r="J179" s="21">
        <f t="shared" si="72"/>
        <v>5592382.2252746997</v>
      </c>
      <c r="K179" s="21">
        <f t="shared" si="72"/>
        <v>5736977.7312059477</v>
      </c>
      <c r="L179" s="21">
        <f t="shared" si="72"/>
        <v>5885312.1227059606</v>
      </c>
      <c r="M179" s="21">
        <f t="shared" si="72"/>
        <v>6037482.0851833271</v>
      </c>
      <c r="O179" s="15" t="s">
        <v>312</v>
      </c>
      <c r="P179" s="21">
        <f t="shared" ref="P179:U179" si="73">H111*$B$101</f>
        <v>2083934.6093899158</v>
      </c>
      <c r="Q179" s="21">
        <f t="shared" si="73"/>
        <v>2137816.2183865113</v>
      </c>
      <c r="R179" s="21">
        <f t="shared" si="73"/>
        <v>2193091.0687351762</v>
      </c>
      <c r="S179" s="21">
        <f t="shared" si="73"/>
        <v>2249795.188708215</v>
      </c>
      <c r="T179" s="21">
        <f t="shared" si="73"/>
        <v>2307965.5383160631</v>
      </c>
      <c r="U179" s="21">
        <f t="shared" si="73"/>
        <v>2367640.0334052262</v>
      </c>
      <c r="W179" s="15" t="s">
        <v>312</v>
      </c>
      <c r="X179" s="21">
        <f t="shared" ref="X179:AC179" si="74">H57*$B$102*$B$103*24*365</f>
        <v>6159852.2203153316</v>
      </c>
      <c r="Y179" s="21">
        <f t="shared" si="74"/>
        <v>6063785.896859128</v>
      </c>
      <c r="Z179" s="21">
        <f t="shared" si="74"/>
        <v>5969217.7811800409</v>
      </c>
      <c r="AA179" s="21">
        <f t="shared" si="74"/>
        <v>5876124.5078940075</v>
      </c>
      <c r="AB179" s="21">
        <f t="shared" si="74"/>
        <v>5784483.076013132</v>
      </c>
      <c r="AC179" s="21">
        <f t="shared" si="74"/>
        <v>5694270.8432627199</v>
      </c>
    </row>
    <row r="180" spans="7:29" ht="14.4" x14ac:dyDescent="0.25">
      <c r="G180" s="15" t="s">
        <v>313</v>
      </c>
      <c r="H180" s="21">
        <f t="shared" ref="H180:M180" si="75">H112*$B$100</f>
        <v>5670345.7819807585</v>
      </c>
      <c r="I180" s="21">
        <f t="shared" si="75"/>
        <v>5816954.0364758978</v>
      </c>
      <c r="J180" s="21">
        <f t="shared" si="75"/>
        <v>5967353.1368607953</v>
      </c>
      <c r="K180" s="21">
        <f t="shared" si="75"/>
        <v>6121641.1098796511</v>
      </c>
      <c r="L180" s="21">
        <f t="shared" si="75"/>
        <v>6279918.5173224825</v>
      </c>
      <c r="M180" s="21">
        <f t="shared" si="75"/>
        <v>6442288.5215885639</v>
      </c>
      <c r="O180" s="15" t="s">
        <v>313</v>
      </c>
      <c r="P180" s="21">
        <f t="shared" ref="P180:U180" si="76">H112*$B$101</f>
        <v>2223665.0125414743</v>
      </c>
      <c r="Q180" s="21">
        <f t="shared" si="76"/>
        <v>2281158.4456768227</v>
      </c>
      <c r="R180" s="21">
        <f t="shared" si="76"/>
        <v>2340138.4850434489</v>
      </c>
      <c r="S180" s="21">
        <f t="shared" si="76"/>
        <v>2400643.5725018242</v>
      </c>
      <c r="T180" s="21">
        <f t="shared" si="76"/>
        <v>2462713.1440480324</v>
      </c>
      <c r="U180" s="21">
        <f t="shared" si="76"/>
        <v>2526387.6555249272</v>
      </c>
      <c r="W180" s="15" t="s">
        <v>313</v>
      </c>
      <c r="X180" s="21">
        <f t="shared" ref="X180:AC180" si="77">H58*$B$102*$B$103*24*365</f>
        <v>7249596.66046621</v>
      </c>
      <c r="Y180" s="21">
        <f t="shared" si="77"/>
        <v>7136535.1660013804</v>
      </c>
      <c r="Z180" s="21">
        <f t="shared" si="77"/>
        <v>7025236.9284636928</v>
      </c>
      <c r="AA180" s="21">
        <f t="shared" si="77"/>
        <v>6915674.4488800941</v>
      </c>
      <c r="AB180" s="21">
        <f t="shared" si="77"/>
        <v>6807820.6571392994</v>
      </c>
      <c r="AC180" s="21">
        <f t="shared" si="77"/>
        <v>6701648.9053034913</v>
      </c>
    </row>
    <row r="181" spans="7:29" ht="14.4" x14ac:dyDescent="0.25">
      <c r="G181" s="15" t="s">
        <v>314</v>
      </c>
      <c r="H181" s="21">
        <f t="shared" ref="H181:M181" si="78">H113*$B$100</f>
        <v>20240890.067840222</v>
      </c>
      <c r="I181" s="21">
        <f t="shared" si="78"/>
        <v>20764148.590943888</v>
      </c>
      <c r="J181" s="21">
        <f t="shared" si="78"/>
        <v>21300934.93025386</v>
      </c>
      <c r="K181" s="21">
        <f t="shared" si="78"/>
        <v>21851598.841955982</v>
      </c>
      <c r="L181" s="21">
        <f t="shared" si="78"/>
        <v>22416499.125624783</v>
      </c>
      <c r="M181" s="21">
        <f t="shared" si="78"/>
        <v>22996003.858067792</v>
      </c>
      <c r="O181" s="15" t="s">
        <v>314</v>
      </c>
      <c r="P181" s="21">
        <f t="shared" ref="P181:U181" si="79">H113*$B$101</f>
        <v>7937603.9481726363</v>
      </c>
      <c r="Q181" s="21">
        <f t="shared" si="79"/>
        <v>8142803.3689976037</v>
      </c>
      <c r="R181" s="21">
        <f t="shared" si="79"/>
        <v>8353307.8157858271</v>
      </c>
      <c r="S181" s="21">
        <f t="shared" si="79"/>
        <v>8569254.447825877</v>
      </c>
      <c r="T181" s="21">
        <f t="shared" si="79"/>
        <v>8790783.9708332475</v>
      </c>
      <c r="U181" s="21">
        <f t="shared" si="79"/>
        <v>9018040.7286540363</v>
      </c>
      <c r="W181" s="15" t="s">
        <v>314</v>
      </c>
      <c r="X181" s="21">
        <f t="shared" ref="X181:AC181" si="80">H59*$B$102*$B$103*24*365</f>
        <v>62031615.300779864</v>
      </c>
      <c r="Y181" s="21">
        <f t="shared" si="80"/>
        <v>61064197.738335378</v>
      </c>
      <c r="Z181" s="21">
        <f t="shared" si="80"/>
        <v>60111867.591164328</v>
      </c>
      <c r="AA181" s="21">
        <f t="shared" si="80"/>
        <v>59174389.562629126</v>
      </c>
      <c r="AB181" s="21">
        <f t="shared" si="80"/>
        <v>58251532.025674082</v>
      </c>
      <c r="AC181" s="21">
        <f t="shared" si="80"/>
        <v>57343066.965596452</v>
      </c>
    </row>
    <row r="182" spans="7:29" ht="14.4" x14ac:dyDescent="0.25">
      <c r="G182" s="15" t="s">
        <v>315</v>
      </c>
      <c r="H182" s="21">
        <f t="shared" ref="H182:M182" si="81">H114*$B$100</f>
        <v>6568311.4071146604</v>
      </c>
      <c r="I182" s="21">
        <f t="shared" si="81"/>
        <v>6738130.2615044415</v>
      </c>
      <c r="J182" s="21">
        <f t="shared" si="81"/>
        <v>6912339.9374984717</v>
      </c>
      <c r="K182" s="21">
        <f t="shared" si="81"/>
        <v>7091053.9715273846</v>
      </c>
      <c r="L182" s="21">
        <f t="shared" si="81"/>
        <v>7274388.8360228213</v>
      </c>
      <c r="M182" s="21">
        <f t="shared" si="81"/>
        <v>7462464.0153470123</v>
      </c>
      <c r="O182" s="15" t="s">
        <v>315</v>
      </c>
      <c r="P182" s="21">
        <f t="shared" ref="P182:U182" si="82">H114*$B$101</f>
        <v>2575808.3949469258</v>
      </c>
      <c r="Q182" s="21">
        <f t="shared" si="82"/>
        <v>2642404.0241193888</v>
      </c>
      <c r="R182" s="21">
        <f t="shared" si="82"/>
        <v>2710721.5441170479</v>
      </c>
      <c r="S182" s="21">
        <f t="shared" si="82"/>
        <v>2780805.479030347</v>
      </c>
      <c r="T182" s="21">
        <f t="shared" si="82"/>
        <v>2852701.5043226751</v>
      </c>
      <c r="U182" s="21">
        <f t="shared" si="82"/>
        <v>2926456.4766066717</v>
      </c>
      <c r="W182" s="15" t="s">
        <v>315</v>
      </c>
      <c r="X182" s="21">
        <f t="shared" ref="X182:AC182" si="83">H60*$B$102*$B$103*24*365</f>
        <v>10484344.975233246</v>
      </c>
      <c r="Y182" s="21">
        <f t="shared" si="83"/>
        <v>10320835.780597789</v>
      </c>
      <c r="Z182" s="21">
        <f t="shared" si="83"/>
        <v>10159876.602848785</v>
      </c>
      <c r="AA182" s="21">
        <f t="shared" si="83"/>
        <v>10001427.673053768</v>
      </c>
      <c r="AB182" s="21">
        <f t="shared" si="83"/>
        <v>9845449.8424988929</v>
      </c>
      <c r="AC182" s="21">
        <f t="shared" si="83"/>
        <v>9691904.5730162822</v>
      </c>
    </row>
    <row r="183" spans="7:29" ht="14.4" x14ac:dyDescent="0.25">
      <c r="G183" s="15" t="s">
        <v>316</v>
      </c>
      <c r="H183" s="21">
        <f t="shared" ref="H183:M183" si="84">H115*$B$100</f>
        <v>38373085.349311039</v>
      </c>
      <c r="I183" s="21">
        <f t="shared" si="84"/>
        <v>39365101.557123229</v>
      </c>
      <c r="J183" s="21">
        <f t="shared" si="84"/>
        <v>40382764.722395204</v>
      </c>
      <c r="K183" s="21">
        <f t="shared" si="84"/>
        <v>41426737.946065366</v>
      </c>
      <c r="L183" s="21">
        <f t="shared" si="84"/>
        <v>35746502.896856539</v>
      </c>
      <c r="M183" s="21">
        <f t="shared" si="84"/>
        <v>36670598.068244532</v>
      </c>
      <c r="O183" s="15" t="s">
        <v>316</v>
      </c>
      <c r="P183" s="21">
        <f t="shared" ref="P183:U183" si="85">H115*$B$101</f>
        <v>15048268.764435703</v>
      </c>
      <c r="Q183" s="21">
        <f t="shared" si="85"/>
        <v>15437294.728283621</v>
      </c>
      <c r="R183" s="21">
        <f t="shared" si="85"/>
        <v>15836378.322507925</v>
      </c>
      <c r="S183" s="21">
        <f t="shared" si="85"/>
        <v>16245779.586692302</v>
      </c>
      <c r="T183" s="21">
        <f t="shared" si="85"/>
        <v>14018236.430139819</v>
      </c>
      <c r="U183" s="21">
        <f t="shared" si="85"/>
        <v>14380626.69342923</v>
      </c>
      <c r="W183" s="15" t="s">
        <v>316</v>
      </c>
      <c r="X183" s="21">
        <f t="shared" ref="X183:AC183" si="86">H61*$B$102*$B$103*24*365</f>
        <v>108483560.70268135</v>
      </c>
      <c r="Y183" s="21">
        <f t="shared" si="86"/>
        <v>106791699.20026179</v>
      </c>
      <c r="Z183" s="21">
        <f t="shared" si="86"/>
        <v>105126223.21952716</v>
      </c>
      <c r="AA183" s="21">
        <f t="shared" si="86"/>
        <v>103486721.26358257</v>
      </c>
      <c r="AB183" s="21">
        <f t="shared" si="86"/>
        <v>101872788.25305641</v>
      </c>
      <c r="AC183" s="21">
        <f t="shared" si="86"/>
        <v>100284025.42601532</v>
      </c>
    </row>
    <row r="184" spans="7:29" ht="14.4" x14ac:dyDescent="0.25">
      <c r="G184" s="15" t="s">
        <v>317</v>
      </c>
      <c r="H184" s="21">
        <f t="shared" ref="H184:M184" si="87">H116*$B$100</f>
        <v>17167800.412124049</v>
      </c>
      <c r="I184" s="21">
        <f t="shared" si="87"/>
        <v>17611631.846494172</v>
      </c>
      <c r="J184" s="21">
        <f t="shared" si="87"/>
        <v>18066938.137129053</v>
      </c>
      <c r="K184" s="21">
        <f t="shared" si="87"/>
        <v>18534015.97475094</v>
      </c>
      <c r="L184" s="21">
        <f t="shared" si="87"/>
        <v>19013169.721754055</v>
      </c>
      <c r="M184" s="21">
        <f t="shared" si="87"/>
        <v>19504711.610588938</v>
      </c>
      <c r="O184" s="15" t="s">
        <v>317</v>
      </c>
      <c r="P184" s="21">
        <f t="shared" ref="P184:U184" si="88">H116*$B$101</f>
        <v>6732470.7498525679</v>
      </c>
      <c r="Q184" s="21">
        <f t="shared" si="88"/>
        <v>6906522.292742813</v>
      </c>
      <c r="R184" s="21">
        <f t="shared" si="88"/>
        <v>7085073.779266295</v>
      </c>
      <c r="S184" s="21">
        <f t="shared" si="88"/>
        <v>7268241.55872586</v>
      </c>
      <c r="T184" s="21">
        <f t="shared" si="88"/>
        <v>7456144.9889231594</v>
      </c>
      <c r="U184" s="21">
        <f t="shared" si="88"/>
        <v>7648906.5139564462</v>
      </c>
      <c r="W184" s="15" t="s">
        <v>317</v>
      </c>
      <c r="X184" s="21">
        <f t="shared" ref="X184:AC184" si="89">H62*$B$102*$B$103*24*365</f>
        <v>41040263.251846507</v>
      </c>
      <c r="Y184" s="21">
        <f t="shared" si="89"/>
        <v>40400217.50671044</v>
      </c>
      <c r="Z184" s="21">
        <f t="shared" si="89"/>
        <v>39770153.631167948</v>
      </c>
      <c r="AA184" s="21">
        <f t="shared" si="89"/>
        <v>39149915.952407673</v>
      </c>
      <c r="AB184" s="21">
        <f t="shared" si="89"/>
        <v>38539351.225422256</v>
      </c>
      <c r="AC184" s="21">
        <f t="shared" si="89"/>
        <v>37938308.595145613</v>
      </c>
    </row>
    <row r="188" spans="7:29" ht="13.2" x14ac:dyDescent="0.25">
      <c r="H188" s="54" t="s">
        <v>335</v>
      </c>
      <c r="I188" s="49"/>
      <c r="J188" s="49"/>
      <c r="K188" s="49"/>
      <c r="L188" s="49"/>
      <c r="M188" s="50"/>
      <c r="Q188" s="1"/>
      <c r="Y188" s="5"/>
      <c r="Z188" s="5"/>
      <c r="AA188" s="5"/>
    </row>
    <row r="189" spans="7:29" ht="13.2" x14ac:dyDescent="0.25">
      <c r="H189" s="17">
        <v>2025</v>
      </c>
      <c r="I189" s="17">
        <v>2026</v>
      </c>
      <c r="J189" s="17">
        <v>2027</v>
      </c>
      <c r="K189" s="17">
        <v>2028</v>
      </c>
      <c r="L189" s="17">
        <v>2029</v>
      </c>
      <c r="M189" s="17">
        <v>2030</v>
      </c>
      <c r="P189" s="54" t="s">
        <v>335</v>
      </c>
      <c r="Q189" s="49"/>
      <c r="R189" s="49"/>
      <c r="S189" s="49"/>
      <c r="T189" s="49"/>
      <c r="U189" s="50"/>
      <c r="Y189" s="5"/>
      <c r="Z189" s="5"/>
      <c r="AA189" s="5"/>
    </row>
    <row r="190" spans="7:29" ht="14.4" x14ac:dyDescent="0.25">
      <c r="G190" s="15" t="s">
        <v>305</v>
      </c>
      <c r="H190" s="21">
        <f t="shared" ref="H190:M190" si="90">H170+P170+X170</f>
        <v>13081052.361025821</v>
      </c>
      <c r="I190" s="21">
        <f t="shared" si="90"/>
        <v>13246666.038018573</v>
      </c>
      <c r="J190" s="21">
        <f t="shared" si="90"/>
        <v>13465876.019972581</v>
      </c>
      <c r="K190" s="21">
        <f t="shared" si="90"/>
        <v>13709841.427496536</v>
      </c>
      <c r="L190" s="21">
        <f t="shared" si="90"/>
        <v>13965507.549205925</v>
      </c>
      <c r="M190" s="21">
        <f t="shared" si="90"/>
        <v>14229957.991466384</v>
      </c>
      <c r="P190" s="17">
        <v>2025</v>
      </c>
      <c r="Q190" s="17">
        <v>2026</v>
      </c>
      <c r="R190" s="17">
        <v>2027</v>
      </c>
      <c r="S190" s="17">
        <v>2028</v>
      </c>
      <c r="T190" s="17">
        <v>2029</v>
      </c>
      <c r="U190" s="17">
        <v>2030</v>
      </c>
      <c r="Y190" s="5"/>
      <c r="Z190" s="5"/>
      <c r="AA190" s="5"/>
    </row>
    <row r="191" spans="7:29" ht="14.4" x14ac:dyDescent="0.25">
      <c r="G191" s="15" t="s">
        <v>306</v>
      </c>
      <c r="H191" s="21">
        <f t="shared" ref="H191:M191" si="91">H171+P171+X171</f>
        <v>14904702.473249849</v>
      </c>
      <c r="I191" s="21">
        <f t="shared" si="91"/>
        <v>15162148.235922173</v>
      </c>
      <c r="J191" s="21">
        <f t="shared" si="91"/>
        <v>15424320.008751204</v>
      </c>
      <c r="K191" s="21">
        <f t="shared" si="91"/>
        <v>15693927.231407752</v>
      </c>
      <c r="L191" s="21">
        <f t="shared" si="91"/>
        <v>15971978.490914796</v>
      </c>
      <c r="M191" s="21">
        <f t="shared" si="91"/>
        <v>16258950.838602614</v>
      </c>
      <c r="O191" s="15" t="s">
        <v>305</v>
      </c>
      <c r="P191" s="21">
        <f t="shared" ref="P191:U191" si="92">H190/10</f>
        <v>1308105.2361025822</v>
      </c>
      <c r="Q191" s="21">
        <f t="shared" si="92"/>
        <v>1324666.6038018572</v>
      </c>
      <c r="R191" s="21">
        <f t="shared" si="92"/>
        <v>1346587.6019972581</v>
      </c>
      <c r="S191" s="21">
        <f t="shared" si="92"/>
        <v>1370984.1427496537</v>
      </c>
      <c r="T191" s="21">
        <f t="shared" si="92"/>
        <v>1396550.7549205925</v>
      </c>
      <c r="U191" s="21">
        <f t="shared" si="92"/>
        <v>1422995.7991466385</v>
      </c>
      <c r="Y191" s="5"/>
      <c r="Z191" s="5"/>
      <c r="AA191" s="5"/>
    </row>
    <row r="192" spans="7:29" ht="14.4" x14ac:dyDescent="0.25">
      <c r="G192" s="15" t="s">
        <v>307</v>
      </c>
      <c r="H192" s="21">
        <f t="shared" ref="H192:M192" si="93">H172+P172+X172</f>
        <v>90420998.021677881</v>
      </c>
      <c r="I192" s="21">
        <f t="shared" si="93"/>
        <v>91204485.927279532</v>
      </c>
      <c r="J192" s="21">
        <f t="shared" si="93"/>
        <v>92142940.965875566</v>
      </c>
      <c r="K192" s="21">
        <f t="shared" si="93"/>
        <v>93123914.317562729</v>
      </c>
      <c r="L192" s="21">
        <f t="shared" si="93"/>
        <v>94124857.39674598</v>
      </c>
      <c r="M192" s="21">
        <f t="shared" si="93"/>
        <v>95155038.332617879</v>
      </c>
      <c r="O192" s="15" t="s">
        <v>306</v>
      </c>
      <c r="P192" s="21">
        <f t="shared" ref="P192:U192" si="94">H191/10</f>
        <v>1490470.247324985</v>
      </c>
      <c r="Q192" s="21">
        <f t="shared" si="94"/>
        <v>1516214.8235922172</v>
      </c>
      <c r="R192" s="21">
        <f t="shared" si="94"/>
        <v>1542432.0008751205</v>
      </c>
      <c r="S192" s="21">
        <f t="shared" si="94"/>
        <v>1569392.7231407752</v>
      </c>
      <c r="T192" s="21">
        <f t="shared" si="94"/>
        <v>1597197.8490914796</v>
      </c>
      <c r="U192" s="21">
        <f t="shared" si="94"/>
        <v>1625895.0838602614</v>
      </c>
      <c r="Y192" s="5"/>
      <c r="Z192" s="5"/>
      <c r="AA192" s="5"/>
    </row>
    <row r="193" spans="7:27" ht="14.4" x14ac:dyDescent="0.25">
      <c r="G193" s="15" t="s">
        <v>308</v>
      </c>
      <c r="H193" s="21">
        <f t="shared" ref="H193:M193" si="95">H173+P173+X173</f>
        <v>18530637.756947063</v>
      </c>
      <c r="I193" s="21">
        <f t="shared" si="95"/>
        <v>17824163.125253197</v>
      </c>
      <c r="J193" s="21">
        <f t="shared" si="95"/>
        <v>17154335.566702276</v>
      </c>
      <c r="K193" s="21">
        <f t="shared" si="95"/>
        <v>16634387.714275522</v>
      </c>
      <c r="L193" s="21">
        <f t="shared" si="95"/>
        <v>16313805.266784467</v>
      </c>
      <c r="M193" s="21">
        <f t="shared" si="95"/>
        <v>16189764.20023809</v>
      </c>
      <c r="O193" s="15" t="s">
        <v>307</v>
      </c>
      <c r="P193" s="21">
        <f t="shared" ref="P193:U193" si="96">H192/10</f>
        <v>9042099.8021677881</v>
      </c>
      <c r="Q193" s="21">
        <f t="shared" si="96"/>
        <v>9120448.5927279536</v>
      </c>
      <c r="R193" s="21">
        <f t="shared" si="96"/>
        <v>9214294.0965875573</v>
      </c>
      <c r="S193" s="21">
        <f t="shared" si="96"/>
        <v>9312391.4317562729</v>
      </c>
      <c r="T193" s="21">
        <f t="shared" si="96"/>
        <v>9412485.739674598</v>
      </c>
      <c r="U193" s="21">
        <f t="shared" si="96"/>
        <v>9515503.8332617879</v>
      </c>
      <c r="Y193" s="5"/>
      <c r="Z193" s="5"/>
      <c r="AA193" s="5"/>
    </row>
    <row r="194" spans="7:27" ht="14.4" x14ac:dyDescent="0.25">
      <c r="G194" s="15" t="s">
        <v>309</v>
      </c>
      <c r="H194" s="21">
        <f t="shared" ref="H194:M194" si="97">H174+P174+X174</f>
        <v>124837126.22007972</v>
      </c>
      <c r="I194" s="21">
        <f t="shared" si="97"/>
        <v>124451640.77129175</v>
      </c>
      <c r="J194" s="21">
        <f t="shared" si="97"/>
        <v>124579670.69462104</v>
      </c>
      <c r="K194" s="21">
        <f t="shared" si="97"/>
        <v>125439226.24717543</v>
      </c>
      <c r="L194" s="21">
        <f t="shared" si="97"/>
        <v>126717748.4580031</v>
      </c>
      <c r="M194" s="21">
        <f t="shared" si="97"/>
        <v>128159641.55186863</v>
      </c>
      <c r="O194" s="15" t="s">
        <v>308</v>
      </c>
      <c r="P194" s="21">
        <f t="shared" ref="P194:U194" si="98">H193/10</f>
        <v>1853063.7756947062</v>
      </c>
      <c r="Q194" s="21">
        <f t="shared" si="98"/>
        <v>1782416.3125253196</v>
      </c>
      <c r="R194" s="21">
        <f t="shared" si="98"/>
        <v>1715433.5566702276</v>
      </c>
      <c r="S194" s="21">
        <f t="shared" si="98"/>
        <v>1663438.7714275522</v>
      </c>
      <c r="T194" s="21">
        <f t="shared" si="98"/>
        <v>1631380.5266784467</v>
      </c>
      <c r="U194" s="21">
        <f t="shared" si="98"/>
        <v>1618976.420023809</v>
      </c>
      <c r="Y194" s="5"/>
      <c r="Z194" s="5"/>
      <c r="AA194" s="5"/>
    </row>
    <row r="195" spans="7:27" ht="14.4" x14ac:dyDescent="0.25">
      <c r="G195" s="15" t="s">
        <v>310</v>
      </c>
      <c r="H195" s="21">
        <f t="shared" ref="H195:M195" si="99">H175+P175+X175</f>
        <v>70654006.829209045</v>
      </c>
      <c r="I195" s="21">
        <f t="shared" si="99"/>
        <v>71295610.871184289</v>
      </c>
      <c r="J195" s="21">
        <f t="shared" si="99"/>
        <v>72215031.771085545</v>
      </c>
      <c r="K195" s="21">
        <f t="shared" si="99"/>
        <v>73278234.241486698</v>
      </c>
      <c r="L195" s="21">
        <f t="shared" si="99"/>
        <v>74358855.422582656</v>
      </c>
      <c r="M195" s="21">
        <f t="shared" si="99"/>
        <v>75402037.514125347</v>
      </c>
      <c r="O195" s="15" t="s">
        <v>309</v>
      </c>
      <c r="P195" s="21">
        <f t="shared" ref="P195:U195" si="100">H194/10</f>
        <v>12483712.622007972</v>
      </c>
      <c r="Q195" s="21">
        <f t="shared" si="100"/>
        <v>12445164.077129174</v>
      </c>
      <c r="R195" s="21">
        <f t="shared" si="100"/>
        <v>12457967.069462104</v>
      </c>
      <c r="S195" s="21">
        <f t="shared" si="100"/>
        <v>12543922.624717543</v>
      </c>
      <c r="T195" s="21">
        <f t="shared" si="100"/>
        <v>12671774.84580031</v>
      </c>
      <c r="U195" s="21">
        <f t="shared" si="100"/>
        <v>12815964.155186864</v>
      </c>
      <c r="Y195" s="5"/>
      <c r="Z195" s="5"/>
      <c r="AA195" s="5"/>
    </row>
    <row r="196" spans="7:27" ht="14.4" x14ac:dyDescent="0.25">
      <c r="O196" s="15" t="s">
        <v>310</v>
      </c>
      <c r="P196" s="21">
        <f t="shared" ref="P196:U196" si="101">H195/10</f>
        <v>7065400.6829209048</v>
      </c>
      <c r="Q196" s="21">
        <f t="shared" si="101"/>
        <v>7129561.0871184291</v>
      </c>
      <c r="R196" s="21">
        <f t="shared" si="101"/>
        <v>7221503.1771085542</v>
      </c>
      <c r="S196" s="21">
        <f t="shared" si="101"/>
        <v>7327823.4241486695</v>
      </c>
      <c r="T196" s="21">
        <f t="shared" si="101"/>
        <v>7435885.5422582654</v>
      </c>
      <c r="U196" s="21">
        <f t="shared" si="101"/>
        <v>7540203.7514125351</v>
      </c>
      <c r="Y196" s="5"/>
      <c r="Z196" s="5"/>
      <c r="AA196" s="5"/>
    </row>
    <row r="197" spans="7:27" ht="13.2" x14ac:dyDescent="0.25">
      <c r="H197" s="54" t="s">
        <v>336</v>
      </c>
      <c r="I197" s="49"/>
      <c r="J197" s="49"/>
      <c r="K197" s="49"/>
      <c r="L197" s="49"/>
      <c r="M197" s="50"/>
      <c r="Y197" s="5"/>
      <c r="Z197" s="5"/>
      <c r="AA197" s="5"/>
    </row>
    <row r="198" spans="7:27" ht="13.2" x14ac:dyDescent="0.25">
      <c r="H198" s="17">
        <v>2025</v>
      </c>
      <c r="I198" s="17">
        <v>2026</v>
      </c>
      <c r="J198" s="17">
        <v>2027</v>
      </c>
      <c r="K198" s="17">
        <v>2028</v>
      </c>
      <c r="L198" s="17">
        <v>2029</v>
      </c>
      <c r="M198" s="17">
        <v>2030</v>
      </c>
      <c r="P198" s="54" t="s">
        <v>336</v>
      </c>
      <c r="Q198" s="49"/>
      <c r="R198" s="49"/>
      <c r="S198" s="49"/>
      <c r="T198" s="49"/>
      <c r="U198" s="50"/>
      <c r="Y198" s="5"/>
      <c r="Z198" s="5"/>
      <c r="AA198" s="5"/>
    </row>
    <row r="199" spans="7:27" ht="14.4" x14ac:dyDescent="0.25">
      <c r="G199" s="15" t="s">
        <v>312</v>
      </c>
      <c r="H199" s="21">
        <f t="shared" ref="H199:M199" si="102">H179+P179+X179</f>
        <v>13557820.083649533</v>
      </c>
      <c r="I199" s="21">
        <f t="shared" si="102"/>
        <v>13653033.472131243</v>
      </c>
      <c r="J199" s="21">
        <f t="shared" si="102"/>
        <v>13754691.075189916</v>
      </c>
      <c r="K199" s="21">
        <f t="shared" si="102"/>
        <v>13862897.427808169</v>
      </c>
      <c r="L199" s="21">
        <f t="shared" si="102"/>
        <v>13977760.737035155</v>
      </c>
      <c r="M199" s="21">
        <f t="shared" si="102"/>
        <v>14099392.961851273</v>
      </c>
      <c r="P199" s="17">
        <v>2025</v>
      </c>
      <c r="Q199" s="17">
        <v>2026</v>
      </c>
      <c r="R199" s="17">
        <v>2027</v>
      </c>
      <c r="S199" s="17">
        <v>2028</v>
      </c>
      <c r="T199" s="17">
        <v>2029</v>
      </c>
      <c r="U199" s="17">
        <v>2030</v>
      </c>
      <c r="Y199" s="5"/>
      <c r="Z199" s="5"/>
      <c r="AA199" s="5"/>
    </row>
    <row r="200" spans="7:27" ht="14.4" x14ac:dyDescent="0.25">
      <c r="G200" s="15" t="s">
        <v>313</v>
      </c>
      <c r="H200" s="21">
        <f t="shared" ref="H200:M200" si="103">H180+P180+X180</f>
        <v>15143607.454988442</v>
      </c>
      <c r="I200" s="21">
        <f t="shared" si="103"/>
        <v>15234647.648154102</v>
      </c>
      <c r="J200" s="21">
        <f t="shared" si="103"/>
        <v>15332728.550367936</v>
      </c>
      <c r="K200" s="21">
        <f t="shared" si="103"/>
        <v>15437959.131261569</v>
      </c>
      <c r="L200" s="21">
        <f t="shared" si="103"/>
        <v>15550452.318509815</v>
      </c>
      <c r="M200" s="21">
        <f t="shared" si="103"/>
        <v>15670325.082416983</v>
      </c>
      <c r="O200" s="15" t="s">
        <v>312</v>
      </c>
      <c r="P200" s="21">
        <f t="shared" ref="P200:U200" si="104">H199/10</f>
        <v>1355782.0083649533</v>
      </c>
      <c r="Q200" s="21">
        <f t="shared" si="104"/>
        <v>1365303.3472131244</v>
      </c>
      <c r="R200" s="21">
        <f t="shared" si="104"/>
        <v>1375469.1075189917</v>
      </c>
      <c r="S200" s="21">
        <f t="shared" si="104"/>
        <v>1386289.742780817</v>
      </c>
      <c r="T200" s="21">
        <f t="shared" si="104"/>
        <v>1397776.0737035156</v>
      </c>
      <c r="U200" s="21">
        <f t="shared" si="104"/>
        <v>1409939.2961851272</v>
      </c>
      <c r="Y200" s="5"/>
      <c r="Z200" s="5"/>
      <c r="AA200" s="5"/>
    </row>
    <row r="201" spans="7:27" ht="14.4" x14ac:dyDescent="0.25">
      <c r="G201" s="15" t="s">
        <v>314</v>
      </c>
      <c r="H201" s="21">
        <f t="shared" ref="H201:M201" si="105">H181+P181+X181</f>
        <v>90210109.316792727</v>
      </c>
      <c r="I201" s="21">
        <f t="shared" si="105"/>
        <v>89971149.698276877</v>
      </c>
      <c r="J201" s="21">
        <f t="shared" si="105"/>
        <v>89766110.337204009</v>
      </c>
      <c r="K201" s="21">
        <f t="shared" si="105"/>
        <v>89595242.852410987</v>
      </c>
      <c r="L201" s="21">
        <f t="shared" si="105"/>
        <v>89458815.122132123</v>
      </c>
      <c r="M201" s="21">
        <f t="shared" si="105"/>
        <v>89357111.552318275</v>
      </c>
      <c r="O201" s="15" t="s">
        <v>313</v>
      </c>
      <c r="P201" s="21">
        <f t="shared" ref="P201:U201" si="106">H200/10</f>
        <v>1514360.7454988442</v>
      </c>
      <c r="Q201" s="21">
        <f t="shared" si="106"/>
        <v>1523464.7648154101</v>
      </c>
      <c r="R201" s="21">
        <f t="shared" si="106"/>
        <v>1533272.8550367937</v>
      </c>
      <c r="S201" s="21">
        <f t="shared" si="106"/>
        <v>1543795.9131261569</v>
      </c>
      <c r="T201" s="21">
        <f t="shared" si="106"/>
        <v>1555045.2318509815</v>
      </c>
      <c r="U201" s="21">
        <f t="shared" si="106"/>
        <v>1567032.5082416984</v>
      </c>
      <c r="Y201" s="5"/>
      <c r="Z201" s="5"/>
      <c r="AA201" s="5"/>
    </row>
    <row r="202" spans="7:27" ht="14.4" x14ac:dyDescent="0.25">
      <c r="G202" s="15" t="s">
        <v>315</v>
      </c>
      <c r="H202" s="21">
        <f t="shared" ref="H202:M202" si="107">H182+P182+X182</f>
        <v>19628464.777294829</v>
      </c>
      <c r="I202" s="21">
        <f t="shared" si="107"/>
        <v>19701370.066221617</v>
      </c>
      <c r="J202" s="21">
        <f t="shared" si="107"/>
        <v>19782938.084464304</v>
      </c>
      <c r="K202" s="21">
        <f t="shared" si="107"/>
        <v>19873287.123611499</v>
      </c>
      <c r="L202" s="21">
        <f t="shared" si="107"/>
        <v>19972540.182844389</v>
      </c>
      <c r="M202" s="21">
        <f t="shared" si="107"/>
        <v>20080825.064969964</v>
      </c>
      <c r="O202" s="15" t="s">
        <v>314</v>
      </c>
      <c r="P202" s="21">
        <f t="shared" ref="P202:U202" si="108">H201/10</f>
        <v>9021010.931679273</v>
      </c>
      <c r="Q202" s="21">
        <f t="shared" si="108"/>
        <v>8997114.9698276874</v>
      </c>
      <c r="R202" s="21">
        <f t="shared" si="108"/>
        <v>8976611.0337204002</v>
      </c>
      <c r="S202" s="21">
        <f t="shared" si="108"/>
        <v>8959524.2852410991</v>
      </c>
      <c r="T202" s="21">
        <f t="shared" si="108"/>
        <v>8945881.5122132115</v>
      </c>
      <c r="U202" s="21">
        <f t="shared" si="108"/>
        <v>8935711.1552318279</v>
      </c>
      <c r="Y202" s="5"/>
      <c r="Z202" s="5"/>
      <c r="AA202" s="5"/>
    </row>
    <row r="203" spans="7:27" ht="14.4" x14ac:dyDescent="0.25">
      <c r="G203" s="15" t="s">
        <v>316</v>
      </c>
      <c r="H203" s="21">
        <f t="shared" ref="H203:M203" si="109">H183+P183+X183</f>
        <v>161904914.8164281</v>
      </c>
      <c r="I203" s="21">
        <f t="shared" si="109"/>
        <v>161594095.48566863</v>
      </c>
      <c r="J203" s="21">
        <f t="shared" si="109"/>
        <v>161345366.26443028</v>
      </c>
      <c r="K203" s="21">
        <f t="shared" si="109"/>
        <v>161159238.79634023</v>
      </c>
      <c r="L203" s="21">
        <f t="shared" si="109"/>
        <v>151637527.58005276</v>
      </c>
      <c r="M203" s="21">
        <f t="shared" si="109"/>
        <v>151335250.18768907</v>
      </c>
      <c r="O203" s="15" t="s">
        <v>315</v>
      </c>
      <c r="P203" s="21">
        <f t="shared" ref="P203:U203" si="110">H202/10</f>
        <v>1962846.477729483</v>
      </c>
      <c r="Q203" s="21">
        <f t="shared" si="110"/>
        <v>1970137.0066221617</v>
      </c>
      <c r="R203" s="21">
        <f t="shared" si="110"/>
        <v>1978293.8084464304</v>
      </c>
      <c r="S203" s="21">
        <f t="shared" si="110"/>
        <v>1987328.71236115</v>
      </c>
      <c r="T203" s="21">
        <f t="shared" si="110"/>
        <v>1997254.0182844389</v>
      </c>
      <c r="U203" s="21">
        <f t="shared" si="110"/>
        <v>2008082.5064969964</v>
      </c>
      <c r="Y203" s="5"/>
      <c r="Z203" s="5"/>
      <c r="AA203" s="5"/>
    </row>
    <row r="204" spans="7:27" ht="14.4" x14ac:dyDescent="0.25">
      <c r="G204" s="15" t="s">
        <v>317</v>
      </c>
      <c r="H204" s="21">
        <f t="shared" ref="H204:M204" si="111">H184+P184+X184</f>
        <v>64940534.413823128</v>
      </c>
      <c r="I204" s="21">
        <f t="shared" si="111"/>
        <v>64918371.645947427</v>
      </c>
      <c r="J204" s="21">
        <f t="shared" si="111"/>
        <v>64922165.5475633</v>
      </c>
      <c r="K204" s="21">
        <f t="shared" si="111"/>
        <v>64952173.485884473</v>
      </c>
      <c r="L204" s="21">
        <f t="shared" si="111"/>
        <v>65008665.93609947</v>
      </c>
      <c r="M204" s="21">
        <f t="shared" si="111"/>
        <v>65091926.719690993</v>
      </c>
      <c r="O204" s="15" t="s">
        <v>316</v>
      </c>
      <c r="P204" s="21">
        <f t="shared" ref="P204:U204" si="112">H203/10</f>
        <v>16190491.481642809</v>
      </c>
      <c r="Q204" s="21">
        <f t="shared" si="112"/>
        <v>16159409.548566863</v>
      </c>
      <c r="R204" s="21">
        <f t="shared" si="112"/>
        <v>16134536.626443028</v>
      </c>
      <c r="S204" s="21">
        <f t="shared" si="112"/>
        <v>16115923.879634023</v>
      </c>
      <c r="T204" s="21">
        <f t="shared" si="112"/>
        <v>15163752.758005276</v>
      </c>
      <c r="U204" s="21">
        <f t="shared" si="112"/>
        <v>15133525.018768907</v>
      </c>
      <c r="Y204" s="5"/>
      <c r="Z204" s="5"/>
      <c r="AA204" s="5"/>
    </row>
    <row r="205" spans="7:27" ht="14.4" x14ac:dyDescent="0.25">
      <c r="O205" s="15" t="s">
        <v>317</v>
      </c>
      <c r="P205" s="21">
        <f t="shared" ref="P205:U205" si="113">H204/10</f>
        <v>6494053.4413823131</v>
      </c>
      <c r="Q205" s="21">
        <f t="shared" si="113"/>
        <v>6491837.1645947425</v>
      </c>
      <c r="R205" s="21">
        <f t="shared" si="113"/>
        <v>6492216.5547563303</v>
      </c>
      <c r="S205" s="21">
        <f t="shared" si="113"/>
        <v>6495217.3485884471</v>
      </c>
      <c r="T205" s="21">
        <f t="shared" si="113"/>
        <v>6500866.5936099468</v>
      </c>
      <c r="U205" s="21">
        <f t="shared" si="113"/>
        <v>6509192.671969099</v>
      </c>
      <c r="Y205" s="5"/>
      <c r="Z205" s="5"/>
      <c r="AA205" s="5"/>
    </row>
    <row r="206" spans="7:27" ht="13.2" x14ac:dyDescent="0.25">
      <c r="Q206" s="1"/>
      <c r="Y206" s="5"/>
      <c r="Z206" s="5"/>
      <c r="AA206" s="5"/>
    </row>
    <row r="207" spans="7:27" ht="13.2" x14ac:dyDescent="0.25">
      <c r="Q207" s="1"/>
      <c r="U207" s="5"/>
      <c r="Y207" s="5"/>
      <c r="Z207" s="5"/>
      <c r="AA207" s="5"/>
    </row>
    <row r="208" spans="7:27" ht="13.2" x14ac:dyDescent="0.25">
      <c r="Q208" s="1"/>
      <c r="U208" s="5"/>
      <c r="Y208" s="5"/>
      <c r="Z208" s="5"/>
      <c r="AA208" s="5"/>
    </row>
    <row r="209" spans="17:27" ht="13.2" x14ac:dyDescent="0.25">
      <c r="Q209" s="1"/>
      <c r="U209" s="5"/>
      <c r="Y209" s="5"/>
      <c r="Z209" s="5"/>
      <c r="AA209" s="5"/>
    </row>
    <row r="210" spans="17:27" ht="13.2" x14ac:dyDescent="0.25">
      <c r="Q210" s="1"/>
      <c r="U210" s="5"/>
      <c r="Y210" s="5"/>
      <c r="Z210" s="5"/>
      <c r="AA210" s="5"/>
    </row>
    <row r="211" spans="17:27" ht="13.2" x14ac:dyDescent="0.25">
      <c r="Q211" s="1"/>
      <c r="U211" s="5"/>
      <c r="Y211" s="5"/>
      <c r="Z211" s="5"/>
      <c r="AA211" s="5"/>
    </row>
    <row r="212" spans="17:27" ht="13.2" x14ac:dyDescent="0.25">
      <c r="U212" s="5"/>
    </row>
    <row r="213" spans="17:27" ht="13.2" x14ac:dyDescent="0.25">
      <c r="Q213" s="1"/>
      <c r="U213" s="5"/>
    </row>
    <row r="214" spans="17:27" ht="13.2" x14ac:dyDescent="0.25">
      <c r="Q214" s="1"/>
    </row>
    <row r="215" spans="17:27" ht="13.2" x14ac:dyDescent="0.25">
      <c r="Q215" s="1"/>
    </row>
    <row r="216" spans="17:27" ht="13.2" x14ac:dyDescent="0.25">
      <c r="Q216" s="1"/>
    </row>
    <row r="217" spans="17:27" ht="13.2" x14ac:dyDescent="0.25">
      <c r="Q217" s="1"/>
    </row>
    <row r="218" spans="17:27" ht="13.2" x14ac:dyDescent="0.25">
      <c r="Q218" s="1"/>
    </row>
    <row r="219" spans="17:27" ht="13.2" x14ac:dyDescent="0.25">
      <c r="Q219" s="1"/>
    </row>
    <row r="220" spans="17:27" ht="13.2" x14ac:dyDescent="0.25">
      <c r="Q220" s="1"/>
    </row>
    <row r="221" spans="17:27" ht="13.2" x14ac:dyDescent="0.25">
      <c r="Q221" s="1"/>
    </row>
    <row r="222" spans="17:27" ht="13.2" x14ac:dyDescent="0.25">
      <c r="Q222" s="1"/>
    </row>
    <row r="223" spans="17:27" ht="13.2" x14ac:dyDescent="0.25">
      <c r="Q223" s="1"/>
    </row>
    <row r="224" spans="17:27" ht="13.2" x14ac:dyDescent="0.25">
      <c r="Q224" s="1"/>
    </row>
  </sheetData>
  <mergeCells count="21">
    <mergeCell ref="H188:M188"/>
    <mergeCell ref="P189:U189"/>
    <mergeCell ref="H197:M197"/>
    <mergeCell ref="P198:U198"/>
    <mergeCell ref="H100:M100"/>
    <mergeCell ref="H109:M109"/>
    <mergeCell ref="H118:M118"/>
    <mergeCell ref="H127:M127"/>
    <mergeCell ref="H168:M168"/>
    <mergeCell ref="P168:U168"/>
    <mergeCell ref="H46:M46"/>
    <mergeCell ref="H55:M55"/>
    <mergeCell ref="H177:M177"/>
    <mergeCell ref="P177:U177"/>
    <mergeCell ref="X177:AC177"/>
    <mergeCell ref="X168:AC168"/>
    <mergeCell ref="H1:M1"/>
    <mergeCell ref="H10:M10"/>
    <mergeCell ref="H19:M19"/>
    <mergeCell ref="H28:M28"/>
    <mergeCell ref="H37:M37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59"/>
  <sheetViews>
    <sheetView workbookViewId="0"/>
  </sheetViews>
  <sheetFormatPr defaultColWidth="12.6640625" defaultRowHeight="15.75" customHeight="1" x14ac:dyDescent="0.25"/>
  <cols>
    <col min="1" max="1" width="15.77734375" customWidth="1"/>
    <col min="2" max="2" width="54.109375" customWidth="1"/>
    <col min="3" max="3" width="12.109375" customWidth="1"/>
    <col min="4" max="4" width="72.44140625" customWidth="1"/>
    <col min="5" max="5" width="14.77734375" customWidth="1"/>
    <col min="6" max="6" width="9.109375" customWidth="1"/>
    <col min="7" max="7" width="21.77734375" customWidth="1"/>
    <col min="8" max="8" width="14.33203125" customWidth="1"/>
  </cols>
  <sheetData>
    <row r="1" spans="1:26" x14ac:dyDescent="0.25">
      <c r="A1" s="30" t="s">
        <v>337</v>
      </c>
      <c r="B1" s="30" t="s">
        <v>338</v>
      </c>
      <c r="C1" s="31" t="s">
        <v>339</v>
      </c>
      <c r="D1" s="31" t="s">
        <v>340</v>
      </c>
      <c r="E1" s="32" t="s">
        <v>341</v>
      </c>
      <c r="F1" s="30" t="s">
        <v>342</v>
      </c>
      <c r="G1" s="30" t="s">
        <v>343</v>
      </c>
      <c r="H1" s="30" t="s">
        <v>344</v>
      </c>
      <c r="I1" s="30" t="s">
        <v>345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25">
      <c r="A2" s="33" t="s">
        <v>346</v>
      </c>
      <c r="B2" s="33" t="s">
        <v>347</v>
      </c>
      <c r="C2" s="33" t="s">
        <v>348</v>
      </c>
      <c r="D2" s="33" t="s">
        <v>187</v>
      </c>
      <c r="E2" s="34">
        <v>7.5</v>
      </c>
      <c r="F2" s="33">
        <v>1</v>
      </c>
      <c r="G2" s="33">
        <f t="shared" ref="G2:G8" si="0">SUM($E$2:$E$8)</f>
        <v>15.774999999999999</v>
      </c>
      <c r="H2" s="35">
        <f t="shared" ref="H2:H15" si="1">E2/G2</f>
        <v>0.47543581616481778</v>
      </c>
      <c r="I2" s="33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5">
      <c r="A3" s="26"/>
      <c r="B3" s="26" t="s">
        <v>349</v>
      </c>
      <c r="C3" s="26" t="s">
        <v>350</v>
      </c>
      <c r="D3" s="26" t="s">
        <v>189</v>
      </c>
      <c r="E3" s="24">
        <v>1.2</v>
      </c>
      <c r="F3" s="26">
        <v>1</v>
      </c>
      <c r="G3" s="26">
        <f t="shared" si="0"/>
        <v>15.774999999999999</v>
      </c>
      <c r="H3" s="27">
        <f t="shared" si="1"/>
        <v>7.6069730586370843E-2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x14ac:dyDescent="0.25">
      <c r="A4" s="26"/>
      <c r="B4" s="26" t="s">
        <v>351</v>
      </c>
      <c r="C4" s="26" t="s">
        <v>350</v>
      </c>
      <c r="D4" s="26" t="s">
        <v>191</v>
      </c>
      <c r="E4" s="24">
        <v>1</v>
      </c>
      <c r="F4" s="26">
        <v>1</v>
      </c>
      <c r="G4" s="26">
        <f t="shared" si="0"/>
        <v>15.774999999999999</v>
      </c>
      <c r="H4" s="27">
        <f t="shared" si="1"/>
        <v>6.3391442155309036E-2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5">
      <c r="A5" s="26"/>
      <c r="B5" s="26" t="s">
        <v>352</v>
      </c>
      <c r="C5" s="26" t="s">
        <v>353</v>
      </c>
      <c r="D5" s="26" t="s">
        <v>193</v>
      </c>
      <c r="E5" s="24">
        <v>1</v>
      </c>
      <c r="F5" s="26">
        <v>1</v>
      </c>
      <c r="G5" s="26">
        <f t="shared" si="0"/>
        <v>15.774999999999999</v>
      </c>
      <c r="H5" s="27">
        <f t="shared" si="1"/>
        <v>6.3391442155309036E-2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5">
      <c r="A6" s="26"/>
      <c r="B6" s="26" t="s">
        <v>354</v>
      </c>
      <c r="C6" s="26" t="s">
        <v>355</v>
      </c>
      <c r="D6" s="26" t="s">
        <v>195</v>
      </c>
      <c r="E6" s="24">
        <v>1.6</v>
      </c>
      <c r="F6" s="26">
        <v>1</v>
      </c>
      <c r="G6" s="26">
        <f t="shared" si="0"/>
        <v>15.774999999999999</v>
      </c>
      <c r="H6" s="27">
        <f t="shared" si="1"/>
        <v>0.10142630744849447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5">
      <c r="A7" s="26"/>
      <c r="B7" s="26" t="s">
        <v>356</v>
      </c>
      <c r="C7" s="26" t="s">
        <v>357</v>
      </c>
      <c r="D7" s="26" t="s">
        <v>201</v>
      </c>
      <c r="E7" s="28">
        <f>(0.7+0.25)/2</f>
        <v>0.47499999999999998</v>
      </c>
      <c r="F7" s="26">
        <v>1</v>
      </c>
      <c r="G7" s="26">
        <f t="shared" si="0"/>
        <v>15.774999999999999</v>
      </c>
      <c r="H7" s="27">
        <f t="shared" si="1"/>
        <v>3.0110935023771792E-2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5">
      <c r="A8" s="36"/>
      <c r="B8" s="36" t="s">
        <v>358</v>
      </c>
      <c r="C8" s="36" t="s">
        <v>359</v>
      </c>
      <c r="D8" s="36" t="s">
        <v>208</v>
      </c>
      <c r="E8" s="37">
        <v>3</v>
      </c>
      <c r="F8" s="36">
        <v>1</v>
      </c>
      <c r="G8" s="36">
        <f t="shared" si="0"/>
        <v>15.774999999999999</v>
      </c>
      <c r="H8" s="38">
        <f t="shared" si="1"/>
        <v>0.19017432646592711</v>
      </c>
      <c r="I8" s="3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25">
      <c r="A9" s="26" t="s">
        <v>360</v>
      </c>
      <c r="B9" s="26" t="s">
        <v>361</v>
      </c>
      <c r="C9" s="26" t="s">
        <v>350</v>
      </c>
      <c r="D9" s="26" t="s">
        <v>217</v>
      </c>
      <c r="E9" s="24">
        <v>1.3</v>
      </c>
      <c r="F9" s="26">
        <v>1</v>
      </c>
      <c r="G9" s="26">
        <f t="shared" ref="G9:G12" si="2">SUM($E$9:$E$12)</f>
        <v>6.77</v>
      </c>
      <c r="H9" s="27">
        <f t="shared" si="1"/>
        <v>0.19202363367799116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25">
      <c r="A10" s="26"/>
      <c r="B10" s="26" t="s">
        <v>362</v>
      </c>
      <c r="C10" s="26" t="s">
        <v>350</v>
      </c>
      <c r="D10" s="26" t="s">
        <v>219</v>
      </c>
      <c r="E10" s="24">
        <f>(1.3+2.5)/2</f>
        <v>1.9</v>
      </c>
      <c r="F10" s="26">
        <v>1</v>
      </c>
      <c r="G10" s="26">
        <f t="shared" si="2"/>
        <v>6.77</v>
      </c>
      <c r="H10" s="27">
        <f t="shared" si="1"/>
        <v>0.28064992614475626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x14ac:dyDescent="0.25">
      <c r="A11" s="26"/>
      <c r="B11" s="26" t="s">
        <v>363</v>
      </c>
      <c r="C11" s="26" t="s">
        <v>353</v>
      </c>
      <c r="D11" s="26" t="s">
        <v>222</v>
      </c>
      <c r="E11" s="24">
        <f>0.8+0.43+0.44</f>
        <v>1.67</v>
      </c>
      <c r="F11" s="26">
        <v>1</v>
      </c>
      <c r="G11" s="26">
        <f t="shared" si="2"/>
        <v>6.77</v>
      </c>
      <c r="H11" s="27">
        <f t="shared" si="1"/>
        <v>0.24667651403249632</v>
      </c>
      <c r="I11" s="26" t="s">
        <v>364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x14ac:dyDescent="0.25">
      <c r="A12" s="26"/>
      <c r="B12" s="26" t="s">
        <v>365</v>
      </c>
      <c r="C12" s="26" t="s">
        <v>350</v>
      </c>
      <c r="D12" s="26" t="s">
        <v>225</v>
      </c>
      <c r="E12" s="24">
        <v>1.9</v>
      </c>
      <c r="F12" s="26">
        <v>1</v>
      </c>
      <c r="G12" s="26">
        <f t="shared" si="2"/>
        <v>6.77</v>
      </c>
      <c r="H12" s="27">
        <f t="shared" si="1"/>
        <v>0.28064992614475626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x14ac:dyDescent="0.25">
      <c r="A13" s="39" t="s">
        <v>366</v>
      </c>
      <c r="B13" s="39" t="s">
        <v>367</v>
      </c>
      <c r="C13" s="39" t="s">
        <v>357</v>
      </c>
      <c r="D13" s="39" t="s">
        <v>244</v>
      </c>
      <c r="E13" s="40">
        <v>5</v>
      </c>
      <c r="F13" s="39">
        <v>1</v>
      </c>
      <c r="G13" s="39">
        <f>E13</f>
        <v>5</v>
      </c>
      <c r="H13" s="39">
        <f t="shared" si="1"/>
        <v>1</v>
      </c>
      <c r="I13" s="39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x14ac:dyDescent="0.25">
      <c r="A14" s="26" t="s">
        <v>368</v>
      </c>
      <c r="B14" s="26" t="s">
        <v>369</v>
      </c>
      <c r="C14" s="26" t="s">
        <v>353</v>
      </c>
      <c r="D14" s="26" t="s">
        <v>247</v>
      </c>
      <c r="E14" s="24">
        <v>33</v>
      </c>
      <c r="F14" s="26">
        <v>1</v>
      </c>
      <c r="G14" s="26">
        <f t="shared" ref="G14:G15" si="3">SUM($E$14:$E$15)</f>
        <v>34.299999999999997</v>
      </c>
      <c r="H14" s="27">
        <f t="shared" si="1"/>
        <v>0.96209912536443154</v>
      </c>
      <c r="I14" s="26" t="s">
        <v>370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5">
      <c r="A15" s="26"/>
      <c r="B15" s="26" t="s">
        <v>371</v>
      </c>
      <c r="C15" s="26" t="s">
        <v>353</v>
      </c>
      <c r="D15" s="26" t="s">
        <v>249</v>
      </c>
      <c r="E15" s="24">
        <v>1.3</v>
      </c>
      <c r="F15" s="26">
        <v>1</v>
      </c>
      <c r="G15" s="26">
        <f t="shared" si="3"/>
        <v>34.299999999999997</v>
      </c>
      <c r="H15" s="27">
        <f t="shared" si="1"/>
        <v>3.7900874635568516E-2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5">
      <c r="A16" s="33" t="s">
        <v>372</v>
      </c>
      <c r="B16" s="33" t="s">
        <v>373</v>
      </c>
      <c r="C16" s="33" t="s">
        <v>374</v>
      </c>
      <c r="D16" s="33" t="s">
        <v>267</v>
      </c>
      <c r="E16" s="34">
        <v>2</v>
      </c>
      <c r="F16" s="33">
        <v>1</v>
      </c>
      <c r="G16" s="33"/>
      <c r="H16" s="33"/>
      <c r="I16" s="33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x14ac:dyDescent="0.25">
      <c r="A17" s="26"/>
      <c r="B17" s="26" t="s">
        <v>375</v>
      </c>
      <c r="C17" s="26" t="s">
        <v>376</v>
      </c>
      <c r="D17" s="26" t="s">
        <v>270</v>
      </c>
      <c r="E17" s="24">
        <v>1.5</v>
      </c>
      <c r="F17" s="26">
        <v>1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5">
      <c r="A18" s="26"/>
      <c r="B18" s="26" t="s">
        <v>272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5">
      <c r="A19" s="26"/>
      <c r="B19" s="26" t="s">
        <v>273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x14ac:dyDescent="0.25">
      <c r="A20" s="26"/>
      <c r="B20" s="26" t="s">
        <v>274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5">
      <c r="A21" s="26"/>
      <c r="B21" s="26" t="s">
        <v>275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x14ac:dyDescent="0.25">
      <c r="A22" s="26"/>
      <c r="B22" s="26" t="s">
        <v>276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x14ac:dyDescent="0.25">
      <c r="A23" s="26"/>
      <c r="B23" s="26" t="s">
        <v>277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25">
      <c r="A24" s="26"/>
      <c r="B24" s="26" t="s">
        <v>278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25">
      <c r="A25" s="26"/>
      <c r="B25" s="26" t="s">
        <v>279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x14ac:dyDescent="0.25">
      <c r="A26" s="26"/>
      <c r="B26" s="26" t="s">
        <v>280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25">
      <c r="A27" s="26"/>
      <c r="B27" s="26" t="s">
        <v>281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25">
      <c r="A28" s="26"/>
      <c r="B28" s="26" t="s">
        <v>282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25">
      <c r="A29" s="33" t="s">
        <v>377</v>
      </c>
      <c r="B29" s="33" t="s">
        <v>284</v>
      </c>
      <c r="C29" s="33"/>
      <c r="D29" s="33"/>
      <c r="E29" s="33"/>
      <c r="F29" s="33"/>
      <c r="G29" s="33"/>
      <c r="H29" s="33"/>
      <c r="I29" s="33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25">
      <c r="A30" s="26"/>
      <c r="B30" s="26" t="s">
        <v>285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x14ac:dyDescent="0.25">
      <c r="A31" s="26"/>
      <c r="B31" s="26" t="s">
        <v>286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5">
      <c r="A32" s="26"/>
      <c r="B32" s="26" t="s">
        <v>287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25">
      <c r="A33" s="26"/>
      <c r="B33" s="26" t="s">
        <v>288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25">
      <c r="A34" s="26"/>
      <c r="B34" s="26" t="s">
        <v>289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x14ac:dyDescent="0.25">
      <c r="A35" s="26"/>
      <c r="B35" s="26" t="s">
        <v>290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x14ac:dyDescent="0.25">
      <c r="A36" s="26"/>
      <c r="B36" s="26" t="s">
        <v>291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25">
      <c r="A37" s="26"/>
      <c r="B37" s="26" t="s">
        <v>292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x14ac:dyDescent="0.25">
      <c r="A38" s="26"/>
      <c r="B38" s="26" t="s">
        <v>293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25">
      <c r="A39" s="26"/>
      <c r="B39" s="26" t="s">
        <v>294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25">
      <c r="A40" s="26"/>
      <c r="B40" s="26" t="s">
        <v>295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25">
      <c r="A41" s="26"/>
      <c r="B41" s="26" t="s">
        <v>296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5">
      <c r="A42" s="26"/>
      <c r="B42" s="26" t="s">
        <v>297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25">
      <c r="A43" s="26"/>
      <c r="B43" s="26" t="s">
        <v>298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x14ac:dyDescent="0.25">
      <c r="A44" s="26"/>
      <c r="B44" s="26" t="s">
        <v>299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25">
      <c r="A45" s="26"/>
      <c r="B45" s="26" t="s">
        <v>300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25">
      <c r="A46" s="26"/>
      <c r="B46" s="26" t="s">
        <v>301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5">
      <c r="A47" s="26"/>
      <c r="B47" s="26" t="s">
        <v>302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x14ac:dyDescent="0.25">
      <c r="A48" s="26"/>
      <c r="B48" s="26" t="s">
        <v>303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8"/>
  <sheetViews>
    <sheetView workbookViewId="0"/>
  </sheetViews>
  <sheetFormatPr defaultColWidth="12.6640625" defaultRowHeight="15.75" customHeight="1" x14ac:dyDescent="0.25"/>
  <cols>
    <col min="1" max="7" width="4.77734375" customWidth="1"/>
  </cols>
  <sheetData>
    <row r="1" spans="1:9" x14ac:dyDescent="0.25">
      <c r="B1" s="1" t="s">
        <v>378</v>
      </c>
      <c r="H1" s="1" t="s">
        <v>379</v>
      </c>
    </row>
    <row r="2" spans="1:9" x14ac:dyDescent="0.25">
      <c r="A2" s="1" t="s">
        <v>380</v>
      </c>
      <c r="B2" s="1">
        <v>2025</v>
      </c>
      <c r="C2" s="1">
        <v>2026</v>
      </c>
      <c r="D2" s="1">
        <v>2027</v>
      </c>
      <c r="E2" s="1">
        <v>2028</v>
      </c>
      <c r="F2" s="1">
        <v>2029</v>
      </c>
      <c r="G2" s="1">
        <v>2030</v>
      </c>
      <c r="H2" s="1" t="s">
        <v>381</v>
      </c>
      <c r="I2" s="1" t="s">
        <v>382</v>
      </c>
    </row>
    <row r="3" spans="1:9" x14ac:dyDescent="0.25">
      <c r="A3" s="1" t="s">
        <v>383</v>
      </c>
      <c r="B3" s="1">
        <v>0.5</v>
      </c>
      <c r="I3" s="56"/>
    </row>
    <row r="4" spans="1:9" x14ac:dyDescent="0.25">
      <c r="A4" s="1" t="s">
        <v>384</v>
      </c>
      <c r="I4" s="57"/>
    </row>
    <row r="5" spans="1:9" x14ac:dyDescent="0.25">
      <c r="A5" s="1" t="s">
        <v>385</v>
      </c>
      <c r="I5" s="57"/>
    </row>
    <row r="6" spans="1:9" x14ac:dyDescent="0.25">
      <c r="A6" s="1" t="s">
        <v>383</v>
      </c>
      <c r="B6" s="1">
        <v>0.5</v>
      </c>
      <c r="I6" s="58"/>
    </row>
    <row r="7" spans="1:9" x14ac:dyDescent="0.25">
      <c r="A7" s="1" t="s">
        <v>384</v>
      </c>
      <c r="I7" s="57"/>
    </row>
    <row r="8" spans="1:9" x14ac:dyDescent="0.25">
      <c r="A8" s="1" t="s">
        <v>385</v>
      </c>
      <c r="I8" s="57"/>
    </row>
  </sheetData>
  <mergeCells count="2">
    <mergeCell ref="I3:I5"/>
    <mergeCell ref="I6:I8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4:H67"/>
  <sheetViews>
    <sheetView workbookViewId="0"/>
  </sheetViews>
  <sheetFormatPr defaultColWidth="12.6640625" defaultRowHeight="15.75" customHeight="1" x14ac:dyDescent="0.25"/>
  <cols>
    <col min="1" max="1" width="18.6640625" customWidth="1"/>
    <col min="4" max="4" width="18.6640625" customWidth="1"/>
  </cols>
  <sheetData>
    <row r="4" spans="1:8" x14ac:dyDescent="0.25">
      <c r="F4" s="1" t="s">
        <v>386</v>
      </c>
      <c r="G4" s="1" t="s">
        <v>387</v>
      </c>
      <c r="H4" s="1" t="s">
        <v>388</v>
      </c>
    </row>
    <row r="5" spans="1:8" x14ac:dyDescent="0.25">
      <c r="A5" s="1">
        <v>2025</v>
      </c>
      <c r="B5" s="41">
        <v>2309.6999999999998</v>
      </c>
      <c r="D5" s="1">
        <v>2025</v>
      </c>
    </row>
    <row r="6" spans="1:8" x14ac:dyDescent="0.25">
      <c r="A6" s="1">
        <v>2024</v>
      </c>
      <c r="B6" s="41">
        <v>2258.6999999999998</v>
      </c>
      <c r="D6" s="1">
        <v>2024</v>
      </c>
      <c r="G6" s="1">
        <v>799.8</v>
      </c>
    </row>
    <row r="7" spans="1:8" x14ac:dyDescent="0.25">
      <c r="A7" s="1">
        <v>2023</v>
      </c>
      <c r="B7" s="41">
        <v>2244.1999999999998</v>
      </c>
      <c r="D7" s="1">
        <v>2023</v>
      </c>
      <c r="G7" s="1">
        <v>797.9</v>
      </c>
    </row>
    <row r="8" spans="1:8" x14ac:dyDescent="0.25">
      <c r="A8" s="1">
        <v>2022</v>
      </c>
      <c r="B8" s="41">
        <v>2121.1</v>
      </c>
      <c r="D8" s="1">
        <v>2022</v>
      </c>
      <c r="F8" s="1">
        <v>1975.8</v>
      </c>
      <c r="G8" s="42">
        <v>816</v>
      </c>
    </row>
    <row r="9" spans="1:8" x14ac:dyDescent="0.25">
      <c r="A9" s="1">
        <v>2021</v>
      </c>
      <c r="B9" s="41">
        <v>1773.4</v>
      </c>
      <c r="D9" s="1">
        <v>2021</v>
      </c>
      <c r="F9" s="1">
        <v>1885.5</v>
      </c>
      <c r="G9" s="42">
        <v>708.8</v>
      </c>
    </row>
    <row r="10" spans="1:8" x14ac:dyDescent="0.25">
      <c r="A10" s="1">
        <v>2020</v>
      </c>
      <c r="B10" s="41">
        <v>1729.4</v>
      </c>
      <c r="D10" s="1">
        <v>2020</v>
      </c>
      <c r="E10" s="1">
        <v>2171.6</v>
      </c>
      <c r="F10" s="1">
        <v>1799.2</v>
      </c>
      <c r="G10" s="42">
        <v>596.20000000000005</v>
      </c>
    </row>
    <row r="11" spans="1:8" x14ac:dyDescent="0.25">
      <c r="A11" s="1">
        <v>2019</v>
      </c>
      <c r="B11" s="41">
        <v>1716.2</v>
      </c>
      <c r="D11" s="1">
        <v>2019</v>
      </c>
      <c r="E11" s="1">
        <v>2144.9</v>
      </c>
      <c r="F11" s="1">
        <v>1716.8</v>
      </c>
      <c r="G11" s="42">
        <v>607.5</v>
      </c>
    </row>
    <row r="12" spans="1:8" x14ac:dyDescent="0.25">
      <c r="A12" s="1">
        <v>2018</v>
      </c>
      <c r="B12" s="41">
        <v>1638.2</v>
      </c>
      <c r="D12" s="1">
        <v>2018</v>
      </c>
      <c r="F12" s="1">
        <v>1638.2</v>
      </c>
      <c r="G12" s="42">
        <v>603.1</v>
      </c>
    </row>
    <row r="13" spans="1:8" x14ac:dyDescent="0.25">
      <c r="A13" s="1">
        <v>2017</v>
      </c>
      <c r="B13" s="41">
        <v>1593.7</v>
      </c>
      <c r="D13" s="1">
        <v>2017</v>
      </c>
      <c r="E13" s="1">
        <v>2081.6</v>
      </c>
      <c r="F13" s="1">
        <v>1593.7</v>
      </c>
      <c r="G13" s="42">
        <v>567.5</v>
      </c>
    </row>
    <row r="14" spans="1:8" x14ac:dyDescent="0.25">
      <c r="A14" s="1">
        <v>2016</v>
      </c>
      <c r="B14" s="41">
        <v>1582.3</v>
      </c>
      <c r="D14" s="1">
        <v>2016</v>
      </c>
      <c r="E14" s="1">
        <v>2020.8</v>
      </c>
      <c r="F14" s="43" t="s">
        <v>389</v>
      </c>
      <c r="G14" s="42">
        <v>541.70000000000005</v>
      </c>
    </row>
    <row r="15" spans="1:8" x14ac:dyDescent="0.25">
      <c r="A15" s="1">
        <v>2015</v>
      </c>
      <c r="B15" s="41">
        <v>1598.1</v>
      </c>
      <c r="D15" s="1">
        <v>2015</v>
      </c>
      <c r="F15" s="1">
        <v>1598.1</v>
      </c>
      <c r="G15" s="42">
        <v>556.79999999999995</v>
      </c>
    </row>
    <row r="16" spans="1:8" x14ac:dyDescent="0.25">
      <c r="A16" s="1">
        <v>2014</v>
      </c>
      <c r="B16" s="41">
        <v>1566.9</v>
      </c>
      <c r="D16" s="1">
        <v>2014</v>
      </c>
      <c r="E16" s="1">
        <v>1906.8</v>
      </c>
      <c r="F16" s="1">
        <v>1578.8</v>
      </c>
      <c r="G16" s="42">
        <v>576.1</v>
      </c>
    </row>
    <row r="17" spans="1:8" x14ac:dyDescent="0.25">
      <c r="A17" s="1">
        <v>2013</v>
      </c>
      <c r="B17" s="41">
        <v>1552.8</v>
      </c>
      <c r="D17" s="1">
        <v>2013</v>
      </c>
      <c r="F17" s="1">
        <v>1558.7</v>
      </c>
      <c r="G17" s="42">
        <v>567.29999999999995</v>
      </c>
    </row>
    <row r="18" spans="1:8" x14ac:dyDescent="0.25">
      <c r="A18" s="1">
        <v>2012</v>
      </c>
      <c r="B18" s="41">
        <v>1536.5</v>
      </c>
      <c r="D18" s="1">
        <v>2012</v>
      </c>
      <c r="E18" s="1">
        <v>1798.1</v>
      </c>
      <c r="F18" s="43" t="s">
        <v>390</v>
      </c>
      <c r="G18" s="42">
        <v>584.6</v>
      </c>
    </row>
    <row r="19" spans="1:8" x14ac:dyDescent="0.25">
      <c r="A19" s="1">
        <v>2011</v>
      </c>
      <c r="B19" s="41">
        <v>1476.7</v>
      </c>
      <c r="D19" s="1">
        <v>2011</v>
      </c>
      <c r="F19" s="1">
        <v>1503.2</v>
      </c>
      <c r="G19" s="42">
        <v>585.70000000000005</v>
      </c>
    </row>
    <row r="20" spans="1:8" x14ac:dyDescent="0.25">
      <c r="A20" s="1">
        <v>2010</v>
      </c>
      <c r="B20" s="41">
        <v>1446.5</v>
      </c>
      <c r="D20" s="1">
        <v>2010</v>
      </c>
      <c r="E20" s="1">
        <v>1695.1</v>
      </c>
      <c r="F20" s="44">
        <v>1457.4</v>
      </c>
      <c r="G20" s="42">
        <v>550.79999999999995</v>
      </c>
    </row>
    <row r="21" spans="1:8" x14ac:dyDescent="0.25">
      <c r="A21" s="1">
        <v>2009</v>
      </c>
      <c r="B21" s="41">
        <v>1487.2</v>
      </c>
      <c r="D21" s="1">
        <v>2009</v>
      </c>
      <c r="F21" s="44">
        <v>1468.6</v>
      </c>
      <c r="G21" s="42">
        <v>521.9</v>
      </c>
    </row>
    <row r="22" spans="1:8" x14ac:dyDescent="0.25">
      <c r="A22" s="1">
        <v>2008</v>
      </c>
      <c r="B22" s="41">
        <v>1393</v>
      </c>
      <c r="D22" s="1">
        <v>2008</v>
      </c>
      <c r="F22" s="44">
        <v>1449.4</v>
      </c>
      <c r="G22" s="42">
        <v>575.4</v>
      </c>
    </row>
    <row r="23" spans="1:8" x14ac:dyDescent="0.25">
      <c r="A23" s="1">
        <v>2007</v>
      </c>
      <c r="B23" s="41">
        <v>1353.8</v>
      </c>
      <c r="D23" s="1">
        <v>2007</v>
      </c>
      <c r="F23" s="44">
        <v>1373.3</v>
      </c>
      <c r="G23" s="42">
        <v>525.4</v>
      </c>
    </row>
    <row r="24" spans="1:8" x14ac:dyDescent="0.25">
      <c r="A24" s="1">
        <v>2006</v>
      </c>
      <c r="B24" s="41">
        <v>1274.8</v>
      </c>
      <c r="D24" s="1">
        <v>2006</v>
      </c>
      <c r="F24" s="44">
        <v>1302.3</v>
      </c>
      <c r="G24" s="42">
        <v>499.6</v>
      </c>
    </row>
    <row r="25" spans="1:8" x14ac:dyDescent="0.25">
      <c r="A25" s="1">
        <v>2005</v>
      </c>
      <c r="B25" s="41">
        <v>1218</v>
      </c>
      <c r="D25" s="1">
        <v>2005</v>
      </c>
      <c r="E25" s="1">
        <v>1464.1</v>
      </c>
      <c r="F25" s="44">
        <v>1244.5</v>
      </c>
      <c r="G25" s="42">
        <v>468.2</v>
      </c>
    </row>
    <row r="26" spans="1:8" x14ac:dyDescent="0.25">
      <c r="A26" s="1">
        <v>2004</v>
      </c>
      <c r="B26" s="41">
        <v>1133.2</v>
      </c>
      <c r="D26" s="1">
        <v>2004</v>
      </c>
      <c r="F26" s="44">
        <v>1178.5</v>
      </c>
      <c r="G26" s="42">
        <v>444.2</v>
      </c>
    </row>
    <row r="27" spans="1:8" x14ac:dyDescent="0.25">
      <c r="A27" s="1">
        <v>2003</v>
      </c>
      <c r="B27" s="41">
        <v>1113.0999999999999</v>
      </c>
      <c r="D27" s="1">
        <v>2003</v>
      </c>
      <c r="F27" s="44">
        <v>1123.5999999999999</v>
      </c>
      <c r="G27" s="42">
        <v>402</v>
      </c>
    </row>
    <row r="28" spans="1:8" x14ac:dyDescent="0.25">
      <c r="A28" s="1">
        <v>2002</v>
      </c>
      <c r="B28" s="41">
        <v>1096.4000000000001</v>
      </c>
      <c r="D28" s="1">
        <v>2002</v>
      </c>
      <c r="F28" s="44">
        <v>1104.2</v>
      </c>
      <c r="G28" s="42">
        <v>395.6</v>
      </c>
    </row>
    <row r="29" spans="1:8" x14ac:dyDescent="0.25">
      <c r="A29" s="1">
        <v>2001</v>
      </c>
      <c r="B29" s="41">
        <v>1094.5</v>
      </c>
      <c r="D29" s="1">
        <v>2001</v>
      </c>
      <c r="F29" s="44">
        <v>1092.8</v>
      </c>
      <c r="G29" s="42">
        <v>394.3</v>
      </c>
    </row>
    <row r="30" spans="1:8" x14ac:dyDescent="0.25">
      <c r="A30" s="1">
        <v>2000</v>
      </c>
      <c r="B30" s="41">
        <v>1069.9000000000001</v>
      </c>
      <c r="D30" s="1">
        <v>2000</v>
      </c>
      <c r="E30" s="1">
        <v>1262</v>
      </c>
      <c r="F30" s="44">
        <v>1089</v>
      </c>
      <c r="G30" s="42">
        <v>394.1</v>
      </c>
      <c r="H30" s="45">
        <v>438</v>
      </c>
    </row>
    <row r="31" spans="1:8" x14ac:dyDescent="0.25">
      <c r="A31" s="1">
        <v>1999</v>
      </c>
      <c r="B31" s="41">
        <v>1062.3</v>
      </c>
      <c r="D31" s="1">
        <v>1999</v>
      </c>
      <c r="F31" s="44">
        <v>1068.3</v>
      </c>
      <c r="G31" s="42">
        <v>390.6</v>
      </c>
      <c r="H31" s="45">
        <v>435.5</v>
      </c>
    </row>
    <row r="32" spans="1:8" x14ac:dyDescent="0.25">
      <c r="A32" s="1">
        <v>1998</v>
      </c>
      <c r="B32" s="41">
        <v>1061.8</v>
      </c>
      <c r="D32" s="1">
        <v>1998</v>
      </c>
      <c r="F32" s="44">
        <v>1061.9000000000001</v>
      </c>
      <c r="G32" s="42">
        <v>389.5</v>
      </c>
      <c r="H32" s="45">
        <v>436</v>
      </c>
    </row>
    <row r="33" spans="1:8" x14ac:dyDescent="0.25">
      <c r="A33" s="1">
        <v>1997</v>
      </c>
      <c r="B33" s="41">
        <v>1052.7</v>
      </c>
      <c r="D33" s="1">
        <v>1997</v>
      </c>
      <c r="F33" s="44">
        <v>1056.8</v>
      </c>
      <c r="G33" s="42">
        <v>386.5</v>
      </c>
      <c r="H33" s="45">
        <v>433.2</v>
      </c>
    </row>
    <row r="34" spans="1:8" x14ac:dyDescent="0.25">
      <c r="A34" s="1">
        <v>1996</v>
      </c>
      <c r="B34" s="41">
        <v>1036</v>
      </c>
      <c r="D34" s="1">
        <v>1996</v>
      </c>
      <c r="F34" s="44">
        <v>1039.2</v>
      </c>
      <c r="G34" s="42">
        <v>381.7</v>
      </c>
      <c r="H34" s="45">
        <v>427.2</v>
      </c>
    </row>
    <row r="35" spans="1:8" x14ac:dyDescent="0.25">
      <c r="A35" s="1">
        <v>1995</v>
      </c>
      <c r="B35" s="41">
        <v>1020.4</v>
      </c>
      <c r="D35" s="1">
        <v>1995</v>
      </c>
      <c r="F35" s="44">
        <v>1027.5</v>
      </c>
      <c r="G35" s="42">
        <v>381.1</v>
      </c>
      <c r="H35" s="45">
        <v>427.3</v>
      </c>
    </row>
    <row r="36" spans="1:8" x14ac:dyDescent="0.25">
      <c r="A36" s="1">
        <v>1994</v>
      </c>
      <c r="B36" s="41">
        <v>985</v>
      </c>
      <c r="D36" s="1">
        <v>1994</v>
      </c>
      <c r="E36" s="1">
        <v>993</v>
      </c>
      <c r="F36" s="44">
        <v>964.2</v>
      </c>
      <c r="G36" s="42">
        <v>368.1</v>
      </c>
      <c r="H36" s="45">
        <v>406.9</v>
      </c>
    </row>
    <row r="37" spans="1:8" x14ac:dyDescent="0.25">
      <c r="A37" s="1">
        <v>1993</v>
      </c>
      <c r="B37" s="41">
        <v>958</v>
      </c>
      <c r="D37" s="1">
        <v>1993</v>
      </c>
      <c r="F37" s="44">
        <v>964.2</v>
      </c>
      <c r="G37" s="42">
        <v>359.2</v>
      </c>
      <c r="H37" s="45">
        <v>391.3</v>
      </c>
    </row>
    <row r="38" spans="1:8" x14ac:dyDescent="0.25">
      <c r="A38" s="1">
        <v>1992</v>
      </c>
      <c r="B38" s="41">
        <v>939.8</v>
      </c>
      <c r="D38" s="1">
        <v>1992</v>
      </c>
      <c r="F38" s="44">
        <v>943.1</v>
      </c>
      <c r="G38" s="42">
        <v>358.2</v>
      </c>
      <c r="H38" s="45">
        <v>392.2</v>
      </c>
    </row>
    <row r="39" spans="1:8" x14ac:dyDescent="0.25">
      <c r="A39" s="1">
        <v>1991</v>
      </c>
      <c r="B39" s="41">
        <v>928.5</v>
      </c>
      <c r="D39" s="1">
        <v>1991</v>
      </c>
      <c r="F39" s="44">
        <v>930.6</v>
      </c>
      <c r="G39" s="42">
        <v>361.3</v>
      </c>
      <c r="H39" s="45">
        <v>396.9</v>
      </c>
    </row>
    <row r="40" spans="1:8" x14ac:dyDescent="0.25">
      <c r="A40" s="1">
        <v>1990</v>
      </c>
      <c r="B40" s="41">
        <v>910.2</v>
      </c>
      <c r="D40" s="1">
        <v>1990</v>
      </c>
      <c r="E40" s="1">
        <v>941.4</v>
      </c>
      <c r="F40" s="44">
        <v>915</v>
      </c>
      <c r="G40" s="42">
        <v>357.6</v>
      </c>
      <c r="H40" s="45">
        <v>392.2</v>
      </c>
    </row>
    <row r="41" spans="1:8" x14ac:dyDescent="0.25">
      <c r="A41" s="1">
        <v>1989</v>
      </c>
      <c r="B41" s="41">
        <v>886.5</v>
      </c>
      <c r="D41" s="1">
        <v>1989</v>
      </c>
      <c r="F41" s="44">
        <v>895</v>
      </c>
      <c r="G41" s="42">
        <v>355.4</v>
      </c>
      <c r="H41" s="45">
        <v>391</v>
      </c>
    </row>
    <row r="42" spans="1:8" x14ac:dyDescent="0.25">
      <c r="A42" s="1">
        <v>1988</v>
      </c>
      <c r="B42" s="41">
        <v>841.4</v>
      </c>
      <c r="D42" s="1">
        <v>1988</v>
      </c>
      <c r="F42" s="44">
        <v>852</v>
      </c>
      <c r="G42" s="42">
        <v>342.5</v>
      </c>
      <c r="H42" s="45">
        <v>372.7</v>
      </c>
    </row>
    <row r="43" spans="1:8" x14ac:dyDescent="0.25">
      <c r="A43" s="1">
        <v>1987</v>
      </c>
      <c r="B43" s="41">
        <v>806.9</v>
      </c>
      <c r="D43" s="1">
        <v>1987</v>
      </c>
      <c r="E43" s="1">
        <v>814</v>
      </c>
      <c r="F43" s="44">
        <v>814</v>
      </c>
      <c r="G43" s="42">
        <v>323.8</v>
      </c>
      <c r="H43" s="45">
        <v>343.9</v>
      </c>
    </row>
    <row r="44" spans="1:8" x14ac:dyDescent="0.25">
      <c r="A44" s="1">
        <v>1986</v>
      </c>
      <c r="B44" s="41">
        <v>795.4</v>
      </c>
      <c r="D44" s="1">
        <v>1986</v>
      </c>
      <c r="E44" s="1">
        <v>817</v>
      </c>
      <c r="F44" s="44">
        <v>798</v>
      </c>
      <c r="G44" s="42">
        <v>318.39999999999998</v>
      </c>
      <c r="H44" s="45">
        <v>336.3</v>
      </c>
    </row>
    <row r="45" spans="1:8" x14ac:dyDescent="0.25">
      <c r="A45" s="1">
        <v>1985</v>
      </c>
      <c r="B45" s="41">
        <v>787.9</v>
      </c>
      <c r="D45" s="1">
        <v>1985</v>
      </c>
      <c r="F45" s="44">
        <v>790</v>
      </c>
      <c r="G45" s="42">
        <v>325.3</v>
      </c>
      <c r="H45" s="45">
        <v>347.2</v>
      </c>
    </row>
    <row r="46" spans="1:8" x14ac:dyDescent="0.25">
      <c r="A46" s="1">
        <v>1984</v>
      </c>
      <c r="B46" s="41">
        <v>776.4</v>
      </c>
      <c r="D46" s="1">
        <v>1984</v>
      </c>
      <c r="F46" s="44">
        <v>780</v>
      </c>
      <c r="G46" s="42">
        <v>322.7</v>
      </c>
      <c r="H46" s="45">
        <v>344</v>
      </c>
    </row>
    <row r="47" spans="1:8" x14ac:dyDescent="0.25">
      <c r="A47" s="1">
        <v>1983</v>
      </c>
      <c r="B47" s="41">
        <v>755.8</v>
      </c>
      <c r="D47" s="1">
        <v>1983</v>
      </c>
      <c r="F47" s="44">
        <v>761</v>
      </c>
      <c r="G47" s="42">
        <v>317</v>
      </c>
      <c r="H47" s="45">
        <v>336</v>
      </c>
    </row>
    <row r="48" spans="1:8" x14ac:dyDescent="0.25">
      <c r="A48" s="1">
        <v>1982</v>
      </c>
      <c r="B48" s="41">
        <v>742.4</v>
      </c>
      <c r="D48" s="1">
        <v>1982</v>
      </c>
      <c r="F48" s="44">
        <v>746</v>
      </c>
      <c r="G48" s="42">
        <v>314</v>
      </c>
      <c r="H48" s="45">
        <v>336.2</v>
      </c>
    </row>
    <row r="49" spans="1:8" x14ac:dyDescent="0.25">
      <c r="A49" s="1">
        <v>1981</v>
      </c>
      <c r="B49" s="41">
        <v>709.2</v>
      </c>
      <c r="D49" s="1">
        <v>1981</v>
      </c>
      <c r="F49" s="44">
        <v>721</v>
      </c>
      <c r="G49" s="42">
        <v>297</v>
      </c>
      <c r="H49" s="45">
        <v>323.89999999999998</v>
      </c>
    </row>
    <row r="50" spans="1:8" x14ac:dyDescent="0.25">
      <c r="A50" s="1">
        <v>1980</v>
      </c>
      <c r="B50" s="41">
        <v>642.79999999999995</v>
      </c>
      <c r="D50" s="1">
        <v>1980</v>
      </c>
      <c r="E50" s="1">
        <v>697.2</v>
      </c>
      <c r="F50" s="44">
        <v>560</v>
      </c>
      <c r="G50" s="42">
        <v>261.2</v>
      </c>
      <c r="H50" s="45">
        <v>292.60000000000002</v>
      </c>
    </row>
    <row r="51" spans="1:8" x14ac:dyDescent="0.25">
      <c r="A51" s="1">
        <v>1979</v>
      </c>
      <c r="B51" s="41">
        <v>584.4</v>
      </c>
      <c r="D51" s="1">
        <v>1979</v>
      </c>
      <c r="G51" s="42">
        <v>238.7</v>
      </c>
      <c r="H51" s="45">
        <v>264.7</v>
      </c>
    </row>
    <row r="52" spans="1:8" x14ac:dyDescent="0.25">
      <c r="A52" s="1">
        <v>1978</v>
      </c>
      <c r="B52" s="41">
        <v>534.70000000000005</v>
      </c>
      <c r="D52" s="1">
        <v>1978</v>
      </c>
      <c r="G52" s="42">
        <v>218.8</v>
      </c>
      <c r="H52" s="45">
        <v>240.3</v>
      </c>
    </row>
    <row r="53" spans="1:8" x14ac:dyDescent="0.25">
      <c r="A53" s="1">
        <v>1977</v>
      </c>
      <c r="B53" s="41">
        <v>497.1</v>
      </c>
      <c r="D53" s="1">
        <v>1977</v>
      </c>
      <c r="G53" s="42">
        <v>204.1</v>
      </c>
      <c r="H53" s="45">
        <v>220.9</v>
      </c>
    </row>
    <row r="54" spans="1:8" x14ac:dyDescent="0.25">
      <c r="A54" s="1">
        <v>1976</v>
      </c>
      <c r="B54" s="41">
        <v>472.1</v>
      </c>
      <c r="D54" s="1">
        <v>1976</v>
      </c>
      <c r="G54" s="42">
        <v>192.1</v>
      </c>
      <c r="H54" s="45">
        <v>205.8</v>
      </c>
    </row>
    <row r="55" spans="1:8" x14ac:dyDescent="0.25">
      <c r="A55" s="1">
        <v>1975</v>
      </c>
      <c r="B55" s="41">
        <v>444.3</v>
      </c>
      <c r="D55" s="1">
        <v>1975</v>
      </c>
      <c r="F55" s="44">
        <v>444</v>
      </c>
      <c r="G55" s="42">
        <v>182.4</v>
      </c>
      <c r="H55" s="45">
        <v>194.7</v>
      </c>
    </row>
    <row r="56" spans="1:8" x14ac:dyDescent="0.25">
      <c r="A56" s="1">
        <v>1974</v>
      </c>
      <c r="B56" s="41">
        <v>398.4</v>
      </c>
      <c r="D56" s="1">
        <v>1974</v>
      </c>
      <c r="G56" s="42">
        <v>165.4</v>
      </c>
      <c r="H56" s="45">
        <v>171.2</v>
      </c>
    </row>
    <row r="57" spans="1:8" x14ac:dyDescent="0.25">
      <c r="A57" s="1">
        <v>1973</v>
      </c>
      <c r="B57" s="41">
        <v>344.1</v>
      </c>
      <c r="D57" s="1">
        <v>1973</v>
      </c>
      <c r="G57" s="42">
        <v>144.1</v>
      </c>
      <c r="H57" s="45">
        <v>141.80000000000001</v>
      </c>
    </row>
    <row r="58" spans="1:8" x14ac:dyDescent="0.25">
      <c r="A58" s="1">
        <v>1972</v>
      </c>
      <c r="B58" s="41">
        <v>332.1</v>
      </c>
      <c r="D58" s="1">
        <v>1972</v>
      </c>
      <c r="G58" s="42">
        <v>137.19999999999999</v>
      </c>
      <c r="H58" s="45">
        <v>135.4</v>
      </c>
    </row>
    <row r="59" spans="1:8" x14ac:dyDescent="0.25">
      <c r="A59" s="1">
        <v>1971</v>
      </c>
      <c r="B59" s="41">
        <v>321.3</v>
      </c>
      <c r="D59" s="1">
        <v>1971</v>
      </c>
      <c r="G59" s="42">
        <v>132.30000000000001</v>
      </c>
      <c r="H59" s="45">
        <v>130.4</v>
      </c>
    </row>
    <row r="60" spans="1:8" x14ac:dyDescent="0.25">
      <c r="A60" s="1">
        <v>1970</v>
      </c>
      <c r="B60" s="41">
        <v>303.3</v>
      </c>
      <c r="D60" s="1">
        <v>1970</v>
      </c>
      <c r="E60" s="1">
        <v>516.5</v>
      </c>
      <c r="F60" s="44">
        <v>303</v>
      </c>
      <c r="G60" s="42">
        <v>125.7</v>
      </c>
      <c r="H60" s="45">
        <v>123.8</v>
      </c>
    </row>
    <row r="61" spans="1:8" x14ac:dyDescent="0.25">
      <c r="D61" s="1">
        <v>1969</v>
      </c>
      <c r="G61" s="42">
        <v>119</v>
      </c>
      <c r="H61" s="45">
        <v>116.6</v>
      </c>
    </row>
    <row r="62" spans="1:8" x14ac:dyDescent="0.25">
      <c r="D62" s="1">
        <v>1968</v>
      </c>
      <c r="G62" s="42">
        <v>113.7</v>
      </c>
      <c r="H62" s="45">
        <v>109.9</v>
      </c>
    </row>
    <row r="63" spans="1:8" x14ac:dyDescent="0.25">
      <c r="D63" s="1">
        <v>1967</v>
      </c>
      <c r="G63" s="42">
        <v>109.7</v>
      </c>
      <c r="H63" s="45">
        <v>107.7</v>
      </c>
    </row>
    <row r="64" spans="1:8" x14ac:dyDescent="0.25">
      <c r="D64" s="1">
        <v>1966</v>
      </c>
      <c r="G64" s="42">
        <v>107.2</v>
      </c>
      <c r="H64" s="45">
        <v>105.3</v>
      </c>
    </row>
    <row r="65" spans="4:8" x14ac:dyDescent="0.25">
      <c r="D65" s="1">
        <v>1965</v>
      </c>
      <c r="G65" s="42">
        <v>104.2</v>
      </c>
      <c r="H65" s="45">
        <v>102.1</v>
      </c>
    </row>
    <row r="66" spans="4:8" x14ac:dyDescent="0.25">
      <c r="D66" s="1">
        <v>1964</v>
      </c>
      <c r="G66" s="42">
        <v>103.3</v>
      </c>
      <c r="H66" s="45">
        <v>101.2</v>
      </c>
    </row>
    <row r="67" spans="4:8" x14ac:dyDescent="0.25">
      <c r="D67" s="1">
        <v>1963</v>
      </c>
      <c r="G67" s="42">
        <v>102.4</v>
      </c>
      <c r="H67" s="45">
        <v>100.5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4:B67"/>
  <sheetViews>
    <sheetView workbookViewId="0"/>
  </sheetViews>
  <sheetFormatPr defaultColWidth="12.6640625" defaultRowHeight="15.75" customHeight="1" x14ac:dyDescent="0.25"/>
  <cols>
    <col min="1" max="1" width="18.6640625" customWidth="1"/>
    <col min="2" max="2" width="22.88671875" customWidth="1"/>
  </cols>
  <sheetData>
    <row r="4" spans="1:2" x14ac:dyDescent="0.25">
      <c r="B4" s="1" t="s">
        <v>387</v>
      </c>
    </row>
    <row r="5" spans="1:2" x14ac:dyDescent="0.25">
      <c r="A5" s="1">
        <v>2025</v>
      </c>
      <c r="B5" s="46">
        <v>800</v>
      </c>
    </row>
    <row r="6" spans="1:2" x14ac:dyDescent="0.25">
      <c r="A6" s="1">
        <v>2024</v>
      </c>
      <c r="B6" s="46" t="s">
        <v>391</v>
      </c>
    </row>
    <row r="7" spans="1:2" x14ac:dyDescent="0.25">
      <c r="A7" s="1">
        <v>2023</v>
      </c>
      <c r="B7" s="47" t="s">
        <v>392</v>
      </c>
    </row>
    <row r="8" spans="1:2" x14ac:dyDescent="0.25">
      <c r="A8" s="1">
        <v>2022</v>
      </c>
      <c r="B8" s="47">
        <v>816</v>
      </c>
    </row>
    <row r="9" spans="1:2" x14ac:dyDescent="0.25">
      <c r="A9" s="1">
        <v>2021</v>
      </c>
      <c r="B9" s="47" t="s">
        <v>393</v>
      </c>
    </row>
    <row r="10" spans="1:2" x14ac:dyDescent="0.25">
      <c r="A10" s="1">
        <v>2020</v>
      </c>
      <c r="B10" s="47" t="s">
        <v>394</v>
      </c>
    </row>
    <row r="11" spans="1:2" x14ac:dyDescent="0.25">
      <c r="A11" s="1">
        <v>2019</v>
      </c>
      <c r="B11" s="47" t="s">
        <v>395</v>
      </c>
    </row>
    <row r="12" spans="1:2" x14ac:dyDescent="0.25">
      <c r="A12" s="1">
        <v>2018</v>
      </c>
      <c r="B12" s="47" t="s">
        <v>396</v>
      </c>
    </row>
    <row r="13" spans="1:2" x14ac:dyDescent="0.25">
      <c r="A13" s="1">
        <v>2017</v>
      </c>
      <c r="B13" s="47" t="s">
        <v>397</v>
      </c>
    </row>
    <row r="14" spans="1:2" x14ac:dyDescent="0.25">
      <c r="A14" s="1">
        <v>2016</v>
      </c>
      <c r="B14" s="47" t="s">
        <v>398</v>
      </c>
    </row>
    <row r="15" spans="1:2" x14ac:dyDescent="0.25">
      <c r="A15" s="1">
        <v>2015</v>
      </c>
      <c r="B15" s="47" t="s">
        <v>399</v>
      </c>
    </row>
    <row r="16" spans="1:2" x14ac:dyDescent="0.25">
      <c r="A16" s="1">
        <v>2014</v>
      </c>
      <c r="B16" s="47" t="s">
        <v>400</v>
      </c>
    </row>
    <row r="17" spans="1:2" x14ac:dyDescent="0.25">
      <c r="A17" s="1">
        <v>2013</v>
      </c>
      <c r="B17" s="47" t="s">
        <v>401</v>
      </c>
    </row>
    <row r="18" spans="1:2" x14ac:dyDescent="0.25">
      <c r="A18" s="1">
        <v>2012</v>
      </c>
      <c r="B18" s="47" t="s">
        <v>402</v>
      </c>
    </row>
    <row r="19" spans="1:2" x14ac:dyDescent="0.25">
      <c r="A19" s="1">
        <v>2011</v>
      </c>
      <c r="B19" s="47" t="s">
        <v>403</v>
      </c>
    </row>
    <row r="20" spans="1:2" x14ac:dyDescent="0.25">
      <c r="A20" s="1">
        <v>2010</v>
      </c>
      <c r="B20" s="47" t="s">
        <v>404</v>
      </c>
    </row>
    <row r="21" spans="1:2" x14ac:dyDescent="0.25">
      <c r="A21" s="1">
        <v>2009</v>
      </c>
      <c r="B21" s="47" t="s">
        <v>405</v>
      </c>
    </row>
    <row r="22" spans="1:2" x14ac:dyDescent="0.25">
      <c r="A22" s="1">
        <v>2008</v>
      </c>
      <c r="B22" s="47" t="s">
        <v>406</v>
      </c>
    </row>
    <row r="23" spans="1:2" x14ac:dyDescent="0.25">
      <c r="A23" s="1">
        <v>2007</v>
      </c>
      <c r="B23" s="47" t="s">
        <v>407</v>
      </c>
    </row>
    <row r="24" spans="1:2" x14ac:dyDescent="0.25">
      <c r="A24" s="1">
        <v>2006</v>
      </c>
      <c r="B24" s="47" t="s">
        <v>408</v>
      </c>
    </row>
    <row r="25" spans="1:2" x14ac:dyDescent="0.25">
      <c r="A25" s="1">
        <v>2005</v>
      </c>
      <c r="B25" s="47" t="s">
        <v>409</v>
      </c>
    </row>
    <row r="26" spans="1:2" x14ac:dyDescent="0.25">
      <c r="A26" s="1">
        <v>2004</v>
      </c>
      <c r="B26" s="47" t="s">
        <v>410</v>
      </c>
    </row>
    <row r="27" spans="1:2" x14ac:dyDescent="0.25">
      <c r="A27" s="1">
        <v>2003</v>
      </c>
      <c r="B27" s="47">
        <v>402</v>
      </c>
    </row>
    <row r="28" spans="1:2" x14ac:dyDescent="0.25">
      <c r="A28" s="1">
        <v>2002</v>
      </c>
      <c r="B28" s="47" t="s">
        <v>411</v>
      </c>
    </row>
    <row r="29" spans="1:2" x14ac:dyDescent="0.25">
      <c r="A29" s="1">
        <v>2001</v>
      </c>
      <c r="B29" s="47" t="s">
        <v>412</v>
      </c>
    </row>
    <row r="30" spans="1:2" x14ac:dyDescent="0.25">
      <c r="A30" s="1">
        <v>2000</v>
      </c>
      <c r="B30" s="47" t="s">
        <v>413</v>
      </c>
    </row>
    <row r="31" spans="1:2" x14ac:dyDescent="0.25">
      <c r="A31" s="1">
        <v>1999</v>
      </c>
      <c r="B31" s="47" t="s">
        <v>414</v>
      </c>
    </row>
    <row r="32" spans="1:2" x14ac:dyDescent="0.25">
      <c r="A32" s="1">
        <v>1998</v>
      </c>
      <c r="B32" s="47" t="s">
        <v>415</v>
      </c>
    </row>
    <row r="33" spans="1:2" x14ac:dyDescent="0.25">
      <c r="A33" s="1">
        <v>1997</v>
      </c>
      <c r="B33" s="47" t="s">
        <v>416</v>
      </c>
    </row>
    <row r="34" spans="1:2" x14ac:dyDescent="0.25">
      <c r="A34" s="1">
        <v>1996</v>
      </c>
      <c r="B34" s="47" t="s">
        <v>417</v>
      </c>
    </row>
    <row r="35" spans="1:2" x14ac:dyDescent="0.25">
      <c r="A35" s="1">
        <v>1995</v>
      </c>
      <c r="B35" s="47" t="s">
        <v>418</v>
      </c>
    </row>
    <row r="36" spans="1:2" x14ac:dyDescent="0.25">
      <c r="A36" s="1">
        <v>1994</v>
      </c>
      <c r="B36" s="47" t="s">
        <v>419</v>
      </c>
    </row>
    <row r="37" spans="1:2" x14ac:dyDescent="0.25">
      <c r="A37" s="1">
        <v>1993</v>
      </c>
      <c r="B37" s="47" t="s">
        <v>420</v>
      </c>
    </row>
    <row r="38" spans="1:2" x14ac:dyDescent="0.25">
      <c r="A38" s="1">
        <v>1992</v>
      </c>
      <c r="B38" s="47" t="s">
        <v>421</v>
      </c>
    </row>
    <row r="39" spans="1:2" x14ac:dyDescent="0.25">
      <c r="A39" s="1">
        <v>1991</v>
      </c>
      <c r="B39" s="47" t="s">
        <v>422</v>
      </c>
    </row>
    <row r="40" spans="1:2" x14ac:dyDescent="0.25">
      <c r="A40" s="1">
        <v>1990</v>
      </c>
      <c r="B40" s="47" t="s">
        <v>423</v>
      </c>
    </row>
    <row r="41" spans="1:2" x14ac:dyDescent="0.25">
      <c r="A41" s="1">
        <v>1989</v>
      </c>
      <c r="B41" s="47" t="s">
        <v>424</v>
      </c>
    </row>
    <row r="42" spans="1:2" x14ac:dyDescent="0.25">
      <c r="A42" s="1">
        <v>1988</v>
      </c>
      <c r="B42" s="47" t="s">
        <v>425</v>
      </c>
    </row>
    <row r="43" spans="1:2" x14ac:dyDescent="0.25">
      <c r="A43" s="1">
        <v>1987</v>
      </c>
      <c r="B43" s="47" t="s">
        <v>426</v>
      </c>
    </row>
    <row r="44" spans="1:2" x14ac:dyDescent="0.25">
      <c r="A44" s="1">
        <v>1986</v>
      </c>
      <c r="B44" s="47" t="s">
        <v>427</v>
      </c>
    </row>
    <row r="45" spans="1:2" x14ac:dyDescent="0.25">
      <c r="A45" s="1">
        <v>1985</v>
      </c>
      <c r="B45" s="47" t="s">
        <v>428</v>
      </c>
    </row>
    <row r="46" spans="1:2" x14ac:dyDescent="0.25">
      <c r="A46" s="1">
        <v>1984</v>
      </c>
      <c r="B46" s="47" t="s">
        <v>429</v>
      </c>
    </row>
    <row r="47" spans="1:2" x14ac:dyDescent="0.25">
      <c r="A47" s="1">
        <v>1983</v>
      </c>
      <c r="B47" s="47">
        <v>317</v>
      </c>
    </row>
    <row r="48" spans="1:2" x14ac:dyDescent="0.25">
      <c r="A48" s="1">
        <v>1982</v>
      </c>
      <c r="B48" s="47">
        <v>314</v>
      </c>
    </row>
    <row r="49" spans="1:2" x14ac:dyDescent="0.25">
      <c r="A49" s="1">
        <v>1981</v>
      </c>
      <c r="B49" s="47">
        <v>297</v>
      </c>
    </row>
    <row r="50" spans="1:2" x14ac:dyDescent="0.25">
      <c r="A50" s="1">
        <v>1980</v>
      </c>
      <c r="B50" s="47" t="s">
        <v>430</v>
      </c>
    </row>
    <row r="51" spans="1:2" x14ac:dyDescent="0.25">
      <c r="A51" s="1">
        <v>1979</v>
      </c>
      <c r="B51" s="47" t="s">
        <v>431</v>
      </c>
    </row>
    <row r="52" spans="1:2" x14ac:dyDescent="0.25">
      <c r="A52" s="1">
        <v>1978</v>
      </c>
      <c r="B52" s="47" t="s">
        <v>432</v>
      </c>
    </row>
    <row r="53" spans="1:2" x14ac:dyDescent="0.25">
      <c r="A53" s="1">
        <v>1977</v>
      </c>
      <c r="B53" s="47" t="s">
        <v>433</v>
      </c>
    </row>
    <row r="54" spans="1:2" x14ac:dyDescent="0.25">
      <c r="A54" s="1">
        <v>1976</v>
      </c>
      <c r="B54" s="47" t="s">
        <v>434</v>
      </c>
    </row>
    <row r="55" spans="1:2" x14ac:dyDescent="0.25">
      <c r="A55" s="1">
        <v>1975</v>
      </c>
      <c r="B55" s="47" t="s">
        <v>435</v>
      </c>
    </row>
    <row r="56" spans="1:2" x14ac:dyDescent="0.25">
      <c r="A56" s="1">
        <v>1974</v>
      </c>
      <c r="B56" s="47" t="s">
        <v>436</v>
      </c>
    </row>
    <row r="57" spans="1:2" x14ac:dyDescent="0.25">
      <c r="A57" s="1">
        <v>1973</v>
      </c>
      <c r="B57" s="47" t="s">
        <v>437</v>
      </c>
    </row>
    <row r="58" spans="1:2" x14ac:dyDescent="0.25">
      <c r="A58" s="1">
        <v>1972</v>
      </c>
      <c r="B58" s="47" t="s">
        <v>438</v>
      </c>
    </row>
    <row r="59" spans="1:2" x14ac:dyDescent="0.25">
      <c r="A59" s="1">
        <v>1971</v>
      </c>
      <c r="B59" s="47" t="s">
        <v>439</v>
      </c>
    </row>
    <row r="60" spans="1:2" x14ac:dyDescent="0.25">
      <c r="A60" s="1">
        <v>1970</v>
      </c>
      <c r="B60" s="47" t="s">
        <v>440</v>
      </c>
    </row>
    <row r="61" spans="1:2" x14ac:dyDescent="0.25">
      <c r="A61" s="1">
        <v>1969</v>
      </c>
      <c r="B61" s="47">
        <v>119</v>
      </c>
    </row>
    <row r="62" spans="1:2" x14ac:dyDescent="0.25">
      <c r="A62" s="1">
        <v>1968</v>
      </c>
      <c r="B62" s="47" t="s">
        <v>441</v>
      </c>
    </row>
    <row r="63" spans="1:2" x14ac:dyDescent="0.25">
      <c r="A63" s="1">
        <v>1967</v>
      </c>
      <c r="B63" s="47" t="s">
        <v>442</v>
      </c>
    </row>
    <row r="64" spans="1:2" x14ac:dyDescent="0.25">
      <c r="A64" s="1">
        <v>1966</v>
      </c>
      <c r="B64" s="47" t="s">
        <v>443</v>
      </c>
    </row>
    <row r="65" spans="1:2" x14ac:dyDescent="0.25">
      <c r="A65" s="1">
        <v>1965</v>
      </c>
      <c r="B65" s="47" t="s">
        <v>444</v>
      </c>
    </row>
    <row r="66" spans="1:2" x14ac:dyDescent="0.25">
      <c r="A66" s="1">
        <v>1964</v>
      </c>
      <c r="B66" s="47" t="s">
        <v>445</v>
      </c>
    </row>
    <row r="67" spans="1:2" x14ac:dyDescent="0.25">
      <c r="A67" s="1">
        <v>1963</v>
      </c>
      <c r="B67" s="47" t="s">
        <v>446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7"/>
  <sheetViews>
    <sheetView showGridLines="0" workbookViewId="0"/>
  </sheetViews>
  <sheetFormatPr defaultColWidth="12.6640625" defaultRowHeight="15.75" customHeight="1" x14ac:dyDescent="0.25"/>
  <cols>
    <col min="5" max="5" width="5.88671875" customWidth="1"/>
    <col min="6" max="6" width="26.77734375" customWidth="1"/>
    <col min="7" max="8" width="19.33203125" customWidth="1"/>
    <col min="9" max="9" width="6" customWidth="1"/>
    <col min="10" max="10" width="25.88671875" customWidth="1"/>
    <col min="11" max="18" width="13" customWidth="1"/>
  </cols>
  <sheetData>
    <row r="1" spans="1:22" x14ac:dyDescent="0.25">
      <c r="A1" s="1" t="s">
        <v>71</v>
      </c>
      <c r="B1" s="1">
        <v>0.8</v>
      </c>
    </row>
    <row r="2" spans="1:22" x14ac:dyDescent="0.25">
      <c r="A2" s="1" t="s">
        <v>72</v>
      </c>
    </row>
    <row r="3" spans="1:22" x14ac:dyDescent="0.25">
      <c r="A3" s="1" t="s">
        <v>73</v>
      </c>
      <c r="B3" s="7">
        <f>(1000*'Custo energia compressão'!B10)/(24*3600*'Custo energia compressão'!F23)</f>
        <v>150.46296296296296</v>
      </c>
      <c r="C3" s="1" t="s">
        <v>74</v>
      </c>
      <c r="F3" s="48" t="s">
        <v>75</v>
      </c>
      <c r="G3" s="49"/>
      <c r="H3" s="50"/>
      <c r="J3" s="48" t="s">
        <v>76</v>
      </c>
      <c r="K3" s="49"/>
      <c r="L3" s="49"/>
      <c r="M3" s="49"/>
      <c r="N3" s="49"/>
      <c r="O3" s="49"/>
      <c r="P3" s="49"/>
      <c r="Q3" s="49"/>
      <c r="R3" s="50"/>
    </row>
    <row r="4" spans="1:22" x14ac:dyDescent="0.25">
      <c r="A4" s="1" t="s">
        <v>77</v>
      </c>
      <c r="B4" s="1">
        <v>9.3600000000000003E-2</v>
      </c>
      <c r="F4" s="6" t="s">
        <v>56</v>
      </c>
      <c r="G4" s="48" t="s">
        <v>57</v>
      </c>
      <c r="H4" s="50"/>
      <c r="J4" s="6" t="s">
        <v>56</v>
      </c>
      <c r="K4" s="6" t="s">
        <v>78</v>
      </c>
      <c r="L4" s="6" t="s">
        <v>79</v>
      </c>
      <c r="M4" s="6" t="s">
        <v>80</v>
      </c>
      <c r="N4" s="6" t="s">
        <v>81</v>
      </c>
      <c r="O4" s="6" t="s">
        <v>82</v>
      </c>
      <c r="P4" s="6" t="s">
        <v>83</v>
      </c>
      <c r="Q4" s="6" t="s">
        <v>84</v>
      </c>
      <c r="R4" s="6" t="s">
        <v>85</v>
      </c>
    </row>
    <row r="5" spans="1:22" x14ac:dyDescent="0.25">
      <c r="A5" s="1"/>
      <c r="B5" s="5"/>
      <c r="D5" s="5"/>
      <c r="F5" s="6"/>
      <c r="G5" s="6" t="s">
        <v>86</v>
      </c>
      <c r="H5" s="6" t="s">
        <v>87</v>
      </c>
      <c r="J5" s="6">
        <v>1000</v>
      </c>
      <c r="K5" s="11">
        <f t="shared" ref="K5:K12" si="0">L5+N5+P5</f>
        <v>17.680233474657534</v>
      </c>
      <c r="L5" s="11">
        <f t="shared" ref="L5:L12" si="1">M5/(J5*365*$B$1)</f>
        <v>8.0352480000000011</v>
      </c>
      <c r="M5" s="12">
        <f t="shared" ref="M5:M12" si="2">$B$15*N20*$B$1*24*365</f>
        <v>2346292.4160000002</v>
      </c>
      <c r="N5" s="11">
        <f t="shared" ref="N5:N12" si="3">O5/(J5*365*$B$1)</f>
        <v>0.45928502260273979</v>
      </c>
      <c r="O5" s="12">
        <f t="shared" ref="O5:O12" si="4">Q5*$B$14</f>
        <v>134111.22660000002</v>
      </c>
      <c r="P5" s="11">
        <f t="shared" ref="P5:P12" si="5">Q5/(J5*365*$B$1)</f>
        <v>9.1857004520547942</v>
      </c>
      <c r="Q5" s="12">
        <f t="shared" ref="Q5:Q12" si="6">R5*$B$4</f>
        <v>2682224.5320000001</v>
      </c>
      <c r="R5" s="12">
        <v>28656245</v>
      </c>
      <c r="S5" s="13">
        <f t="shared" ref="S5:S12" si="7">O5/T5</f>
        <v>2.5977316603939028E-2</v>
      </c>
      <c r="T5" s="5">
        <f t="shared" ref="T5:T12" si="8">Q5+O5+M5</f>
        <v>5162628.1746000005</v>
      </c>
      <c r="V5" s="5"/>
    </row>
    <row r="6" spans="1:22" x14ac:dyDescent="0.25">
      <c r="A6" s="1" t="s">
        <v>88</v>
      </c>
      <c r="B6" s="5">
        <f>(B3*'Custo energia compressão'!F23)*(((0.13*(10^6))/(B3^0.71))+(((1.14*(10^6))*(LN('Custo energia compressão'!B4/'Custo energia compressão'!B2)))/(B3^0.6)))*2.107</f>
        <v>389672362.07554787</v>
      </c>
      <c r="D6" s="5">
        <f>(B6/'Custo energia compressão'!F22)</f>
        <v>1528.9197521305639</v>
      </c>
      <c r="F6" s="6">
        <v>1000</v>
      </c>
      <c r="G6" s="6">
        <v>7159</v>
      </c>
      <c r="H6" s="6">
        <v>3129</v>
      </c>
      <c r="J6" s="6">
        <v>5000</v>
      </c>
      <c r="K6" s="11">
        <f t="shared" si="0"/>
        <v>11.777040431013699</v>
      </c>
      <c r="L6" s="11">
        <f t="shared" si="1"/>
        <v>8.0344656000000008</v>
      </c>
      <c r="M6" s="12">
        <f t="shared" si="2"/>
        <v>11730319.776000001</v>
      </c>
      <c r="N6" s="11">
        <f t="shared" si="3"/>
        <v>0.17821784909589042</v>
      </c>
      <c r="O6" s="12">
        <f t="shared" si="4"/>
        <v>260198.05968000001</v>
      </c>
      <c r="P6" s="11">
        <f t="shared" si="5"/>
        <v>3.564356981917808</v>
      </c>
      <c r="Q6" s="12">
        <f t="shared" si="6"/>
        <v>5203961.1935999999</v>
      </c>
      <c r="R6" s="12">
        <v>55597876</v>
      </c>
      <c r="S6" s="13">
        <f t="shared" si="7"/>
        <v>1.5132651546866641E-2</v>
      </c>
      <c r="T6" s="5">
        <f t="shared" si="8"/>
        <v>17194479.029279999</v>
      </c>
    </row>
    <row r="7" spans="1:22" x14ac:dyDescent="0.25">
      <c r="B7" s="5">
        <f>B6+B8</f>
        <v>418195140.6557948</v>
      </c>
      <c r="F7" s="6">
        <v>5000</v>
      </c>
      <c r="G7" s="6">
        <v>2717</v>
      </c>
      <c r="H7" s="6">
        <v>2497</v>
      </c>
      <c r="J7" s="6">
        <v>15000</v>
      </c>
      <c r="K7" s="11">
        <f t="shared" si="0"/>
        <v>10.036269477017841</v>
      </c>
      <c r="L7" s="11">
        <f t="shared" si="1"/>
        <v>8.034726400000002</v>
      </c>
      <c r="M7" s="12">
        <f t="shared" si="2"/>
        <v>35192101.632000007</v>
      </c>
      <c r="N7" s="11">
        <f t="shared" si="3"/>
        <v>9.5311575096087606E-2</v>
      </c>
      <c r="O7" s="12">
        <f t="shared" si="4"/>
        <v>417464.69892086374</v>
      </c>
      <c r="P7" s="11">
        <f t="shared" si="5"/>
        <v>1.9062315019217522</v>
      </c>
      <c r="Q7" s="12">
        <f t="shared" si="6"/>
        <v>8349293.9784172745</v>
      </c>
      <c r="R7" s="12">
        <v>89201858.743774295</v>
      </c>
      <c r="S7" s="13">
        <f t="shared" si="7"/>
        <v>9.496713426671393E-3</v>
      </c>
      <c r="T7" s="5">
        <f t="shared" si="8"/>
        <v>43958860.309338145</v>
      </c>
      <c r="V7" s="5"/>
    </row>
    <row r="8" spans="1:22" x14ac:dyDescent="0.25">
      <c r="A8" s="1" t="s">
        <v>89</v>
      </c>
      <c r="B8" s="5">
        <f>(((1.11*10^6)*('Custo energia compressão'!F17/1000))+0.07*10^6)*2.107</f>
        <v>28522778.580246914</v>
      </c>
      <c r="D8" s="5">
        <f>(B8/'Custo energia compressão'!F17)</f>
        <v>2350.9265349485163</v>
      </c>
      <c r="F8" s="6">
        <v>15000</v>
      </c>
      <c r="G8" s="6">
        <v>1403</v>
      </c>
      <c r="H8" s="6">
        <v>2391</v>
      </c>
      <c r="J8" s="6">
        <v>25000</v>
      </c>
      <c r="K8" s="11">
        <f t="shared" si="0"/>
        <v>10.249472980119457</v>
      </c>
      <c r="L8" s="11">
        <f t="shared" si="1"/>
        <v>8.0346220800000019</v>
      </c>
      <c r="M8" s="12">
        <f t="shared" si="2"/>
        <v>58652741.184000008</v>
      </c>
      <c r="N8" s="11">
        <f t="shared" si="3"/>
        <v>0.10546909048187877</v>
      </c>
      <c r="O8" s="12">
        <f t="shared" si="4"/>
        <v>769924.3605177151</v>
      </c>
      <c r="P8" s="11">
        <f t="shared" si="5"/>
        <v>2.1093818096375756</v>
      </c>
      <c r="Q8" s="12">
        <f t="shared" si="6"/>
        <v>15398487.210354302</v>
      </c>
      <c r="R8" s="12">
        <v>164513752.24737501</v>
      </c>
      <c r="S8" s="13">
        <f t="shared" si="7"/>
        <v>1.0290196450730052E-2</v>
      </c>
      <c r="T8" s="5">
        <f t="shared" si="8"/>
        <v>74821152.754872024</v>
      </c>
      <c r="V8" s="5"/>
    </row>
    <row r="9" spans="1:22" x14ac:dyDescent="0.25">
      <c r="F9" s="6">
        <v>25000</v>
      </c>
      <c r="G9" s="6">
        <v>1565</v>
      </c>
      <c r="H9" s="6">
        <v>2370</v>
      </c>
      <c r="J9" s="6">
        <v>35000</v>
      </c>
      <c r="K9" s="11">
        <f t="shared" si="0"/>
        <v>10.336480315659076</v>
      </c>
      <c r="L9" s="11">
        <f t="shared" si="1"/>
        <v>8.0346332571428576</v>
      </c>
      <c r="M9" s="12">
        <f t="shared" si="2"/>
        <v>82113951.888000011</v>
      </c>
      <c r="N9" s="11">
        <f t="shared" si="3"/>
        <v>0.1096117646912485</v>
      </c>
      <c r="O9" s="12">
        <f t="shared" si="4"/>
        <v>1120232.2351445598</v>
      </c>
      <c r="P9" s="11">
        <f t="shared" si="5"/>
        <v>2.1922352938249698</v>
      </c>
      <c r="Q9" s="12">
        <f t="shared" si="6"/>
        <v>22404644.702891193</v>
      </c>
      <c r="R9" s="12">
        <v>239365862.21037599</v>
      </c>
      <c r="S9" s="13">
        <f t="shared" si="7"/>
        <v>1.060436060862942E-2</v>
      </c>
      <c r="T9" s="5">
        <f t="shared" si="8"/>
        <v>105638828.82603577</v>
      </c>
    </row>
    <row r="10" spans="1:22" x14ac:dyDescent="0.25">
      <c r="A10" s="1"/>
      <c r="F10" s="6">
        <v>35000</v>
      </c>
      <c r="G10" s="6">
        <v>1632</v>
      </c>
      <c r="H10" s="6">
        <v>2361</v>
      </c>
      <c r="J10" s="6">
        <v>45000</v>
      </c>
      <c r="K10" s="11">
        <f t="shared" si="0"/>
        <v>10.033976254917386</v>
      </c>
      <c r="L10" s="11">
        <f t="shared" si="1"/>
        <v>8.0346394666666683</v>
      </c>
      <c r="M10" s="12">
        <f t="shared" si="2"/>
        <v>105575162.59200002</v>
      </c>
      <c r="N10" s="11">
        <f t="shared" si="3"/>
        <v>9.5206513726224629E-2</v>
      </c>
      <c r="O10" s="12">
        <f t="shared" si="4"/>
        <v>1251013.5903625917</v>
      </c>
      <c r="P10" s="11">
        <f t="shared" si="5"/>
        <v>1.9041302745244926</v>
      </c>
      <c r="Q10" s="12">
        <f t="shared" si="6"/>
        <v>25020271.807251833</v>
      </c>
      <c r="R10" s="12">
        <v>267310596.231323</v>
      </c>
      <c r="S10" s="13">
        <f t="shared" si="7"/>
        <v>9.4884132977259578E-3</v>
      </c>
      <c r="T10" s="5">
        <f t="shared" si="8"/>
        <v>131846447.98961446</v>
      </c>
    </row>
    <row r="11" spans="1:22" x14ac:dyDescent="0.25">
      <c r="A11" s="1" t="s">
        <v>90</v>
      </c>
      <c r="B11" s="5">
        <f>D6+D8</f>
        <v>3879.84628707908</v>
      </c>
      <c r="F11" s="6">
        <v>45000</v>
      </c>
      <c r="G11" s="6">
        <v>1403</v>
      </c>
      <c r="H11" s="6">
        <v>2356</v>
      </c>
      <c r="J11" s="6">
        <v>55000</v>
      </c>
      <c r="K11" s="11">
        <f t="shared" si="0"/>
        <v>10.133275583558332</v>
      </c>
      <c r="L11" s="11">
        <f t="shared" si="1"/>
        <v>8.0346434181818189</v>
      </c>
      <c r="M11" s="12">
        <f t="shared" si="2"/>
        <v>129036373.296</v>
      </c>
      <c r="N11" s="11">
        <f t="shared" si="3"/>
        <v>9.9934865017929184E-2</v>
      </c>
      <c r="O11" s="12">
        <f t="shared" si="4"/>
        <v>1604953.9321879428</v>
      </c>
      <c r="P11" s="11">
        <f t="shared" si="5"/>
        <v>1.9986973003585835</v>
      </c>
      <c r="Q11" s="12">
        <f t="shared" si="6"/>
        <v>32099078.643758852</v>
      </c>
      <c r="R11" s="12">
        <v>342938874.39913303</v>
      </c>
      <c r="S11" s="13">
        <f t="shared" si="7"/>
        <v>9.8620494620789492E-3</v>
      </c>
      <c r="T11" s="5">
        <f t="shared" si="8"/>
        <v>162740405.87194681</v>
      </c>
    </row>
    <row r="12" spans="1:22" x14ac:dyDescent="0.25">
      <c r="A12" s="1" t="s">
        <v>91</v>
      </c>
      <c r="B12" s="5">
        <f>B11*B4</f>
        <v>363.1536124706019</v>
      </c>
      <c r="F12" s="6">
        <v>55000</v>
      </c>
      <c r="G12" s="6">
        <v>1478</v>
      </c>
      <c r="H12" s="6">
        <v>2353</v>
      </c>
      <c r="J12" s="6">
        <v>65000</v>
      </c>
      <c r="K12" s="11">
        <f t="shared" si="0"/>
        <v>10.200125056672896</v>
      </c>
      <c r="L12" s="11">
        <f t="shared" si="1"/>
        <v>8.0346762461538468</v>
      </c>
      <c r="M12" s="12">
        <f t="shared" si="2"/>
        <v>152498155.15200001</v>
      </c>
      <c r="N12" s="11">
        <f t="shared" si="3"/>
        <v>0.10311661002471657</v>
      </c>
      <c r="O12" s="12">
        <f t="shared" si="4"/>
        <v>1957153.2582691205</v>
      </c>
      <c r="P12" s="11">
        <f t="shared" si="5"/>
        <v>2.0623322004943314</v>
      </c>
      <c r="Q12" s="12">
        <f t="shared" si="6"/>
        <v>39143065.165382408</v>
      </c>
      <c r="R12" s="12">
        <v>418195140.65579498</v>
      </c>
      <c r="S12" s="13">
        <f t="shared" si="7"/>
        <v>1.0109347625817389E-2</v>
      </c>
      <c r="T12" s="5">
        <f t="shared" si="8"/>
        <v>193598373.57565153</v>
      </c>
    </row>
    <row r="13" spans="1:22" x14ac:dyDescent="0.25">
      <c r="C13" s="5"/>
      <c r="F13" s="6">
        <v>65000</v>
      </c>
      <c r="G13" s="6">
        <v>1529</v>
      </c>
      <c r="H13" s="6">
        <v>2351</v>
      </c>
    </row>
    <row r="14" spans="1:22" x14ac:dyDescent="0.25">
      <c r="A14" s="1" t="s">
        <v>92</v>
      </c>
      <c r="B14" s="1">
        <v>0.05</v>
      </c>
      <c r="C14" s="5"/>
      <c r="L14" s="5">
        <v>82113951.888000011</v>
      </c>
      <c r="M14" s="5">
        <v>1120232.2351445598</v>
      </c>
      <c r="N14" s="5">
        <v>22404644.702891193</v>
      </c>
    </row>
    <row r="15" spans="1:22" x14ac:dyDescent="0.25">
      <c r="A15" s="1" t="s">
        <v>93</v>
      </c>
      <c r="B15" s="8">
        <v>8.1500000000000003E-2</v>
      </c>
    </row>
    <row r="17" spans="10:15" x14ac:dyDescent="0.25">
      <c r="J17" s="48" t="s">
        <v>70</v>
      </c>
      <c r="K17" s="49"/>
      <c r="L17" s="49"/>
      <c r="M17" s="50"/>
    </row>
    <row r="18" spans="10:15" x14ac:dyDescent="0.25">
      <c r="J18" s="6" t="s">
        <v>56</v>
      </c>
      <c r="K18" s="6"/>
      <c r="L18" s="48" t="s">
        <v>57</v>
      </c>
      <c r="M18" s="50"/>
    </row>
    <row r="19" spans="10:15" x14ac:dyDescent="0.25">
      <c r="J19" s="6"/>
      <c r="K19" s="6"/>
      <c r="L19" s="6" t="s">
        <v>59</v>
      </c>
      <c r="M19" s="6" t="s">
        <v>60</v>
      </c>
    </row>
    <row r="20" spans="10:15" x14ac:dyDescent="0.25">
      <c r="J20" s="6">
        <v>1000</v>
      </c>
      <c r="K20" s="6"/>
      <c r="L20" s="1">
        <v>3921</v>
      </c>
      <c r="M20" s="6">
        <v>187</v>
      </c>
      <c r="N20" s="1">
        <f t="shared" ref="N20:N27" si="9">L20+M20</f>
        <v>4108</v>
      </c>
      <c r="O20" s="1">
        <v>3921</v>
      </c>
    </row>
    <row r="21" spans="10:15" x14ac:dyDescent="0.25">
      <c r="J21" s="6">
        <v>5000</v>
      </c>
      <c r="K21" s="6"/>
      <c r="L21" s="1">
        <v>19605</v>
      </c>
      <c r="M21" s="6">
        <v>933</v>
      </c>
      <c r="N21" s="1">
        <f t="shared" si="9"/>
        <v>20538</v>
      </c>
      <c r="O21" s="1">
        <v>19605</v>
      </c>
    </row>
    <row r="22" spans="10:15" x14ac:dyDescent="0.25">
      <c r="J22" s="6">
        <v>15000</v>
      </c>
      <c r="K22" s="6"/>
      <c r="L22" s="1">
        <v>58816</v>
      </c>
      <c r="M22" s="6">
        <v>2800</v>
      </c>
      <c r="N22" s="1">
        <f t="shared" si="9"/>
        <v>61616</v>
      </c>
      <c r="O22" s="1">
        <v>58816</v>
      </c>
    </row>
    <row r="23" spans="10:15" x14ac:dyDescent="0.25">
      <c r="J23" s="6">
        <v>25000</v>
      </c>
      <c r="K23" s="6"/>
      <c r="L23" s="1">
        <v>98026</v>
      </c>
      <c r="M23" s="6">
        <v>4666</v>
      </c>
      <c r="N23" s="1">
        <f t="shared" si="9"/>
        <v>102692</v>
      </c>
      <c r="O23" s="1">
        <v>98026</v>
      </c>
    </row>
    <row r="24" spans="10:15" x14ac:dyDescent="0.25">
      <c r="J24" s="6">
        <v>35000</v>
      </c>
      <c r="K24" s="6"/>
      <c r="L24" s="1">
        <v>137236</v>
      </c>
      <c r="M24" s="6">
        <v>6533</v>
      </c>
      <c r="N24" s="1">
        <f t="shared" si="9"/>
        <v>143769</v>
      </c>
      <c r="O24" s="1">
        <v>137236</v>
      </c>
    </row>
    <row r="25" spans="10:15" x14ac:dyDescent="0.25">
      <c r="J25" s="6">
        <v>45000</v>
      </c>
      <c r="K25" s="6"/>
      <c r="L25" s="1">
        <v>176447</v>
      </c>
      <c r="M25" s="6">
        <v>8399</v>
      </c>
      <c r="N25" s="1">
        <f t="shared" si="9"/>
        <v>184846</v>
      </c>
      <c r="O25" s="1">
        <v>176447</v>
      </c>
    </row>
    <row r="26" spans="10:15" x14ac:dyDescent="0.25">
      <c r="J26" s="6">
        <v>55000</v>
      </c>
      <c r="K26" s="6"/>
      <c r="L26" s="1">
        <v>215657</v>
      </c>
      <c r="M26" s="6">
        <v>10266</v>
      </c>
      <c r="N26" s="1">
        <f t="shared" si="9"/>
        <v>225923</v>
      </c>
      <c r="O26" s="1">
        <v>215657</v>
      </c>
    </row>
    <row r="27" spans="10:15" x14ac:dyDescent="0.25">
      <c r="J27" s="6">
        <v>65000</v>
      </c>
      <c r="K27" s="6"/>
      <c r="L27" s="1">
        <v>254868</v>
      </c>
      <c r="M27" s="6">
        <v>12133</v>
      </c>
      <c r="N27" s="1">
        <f t="shared" si="9"/>
        <v>267001</v>
      </c>
      <c r="O27" s="1">
        <v>254868</v>
      </c>
    </row>
  </sheetData>
  <mergeCells count="5">
    <mergeCell ref="F3:H3"/>
    <mergeCell ref="J3:R3"/>
    <mergeCell ref="G4:H4"/>
    <mergeCell ref="J17:M17"/>
    <mergeCell ref="L18:M1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"/>
  <sheetViews>
    <sheetView workbookViewId="0"/>
  </sheetViews>
  <sheetFormatPr defaultColWidth="12.6640625" defaultRowHeight="15.75" customHeight="1" x14ac:dyDescent="0.25"/>
  <cols>
    <col min="2" max="2" width="5" customWidth="1"/>
    <col min="3" max="3" width="24.88671875" customWidth="1"/>
    <col min="4" max="4" width="15.44140625" customWidth="1"/>
    <col min="5" max="5" width="17.21875" customWidth="1"/>
    <col min="6" max="6" width="17.77734375" customWidth="1"/>
    <col min="7" max="8" width="10.77734375" customWidth="1"/>
    <col min="9" max="9" width="24" customWidth="1"/>
    <col min="10" max="10" width="14.6640625" customWidth="1"/>
    <col min="11" max="11" width="16.33203125" customWidth="1"/>
    <col min="12" max="12" width="20.109375" customWidth="1"/>
    <col min="13" max="13" width="10.77734375" customWidth="1"/>
    <col min="14" max="14" width="12.44140625" customWidth="1"/>
    <col min="15" max="15" width="25.44140625" customWidth="1"/>
    <col min="16" max="16" width="16.109375" customWidth="1"/>
    <col min="17" max="17" width="17.88671875" customWidth="1"/>
    <col min="18" max="18" width="23.33203125" customWidth="1"/>
    <col min="19" max="19" width="14" customWidth="1"/>
    <col min="20" max="20" width="15.77734375" customWidth="1"/>
  </cols>
  <sheetData>
    <row r="1" spans="1:20" ht="15.75" customHeight="1" x14ac:dyDescent="0.3">
      <c r="A1" s="14"/>
      <c r="B1" s="15" t="s">
        <v>94</v>
      </c>
      <c r="C1" s="15" t="s">
        <v>95</v>
      </c>
      <c r="D1" s="15" t="s">
        <v>96</v>
      </c>
      <c r="E1" s="15" t="s">
        <v>97</v>
      </c>
      <c r="F1" s="15" t="s">
        <v>98</v>
      </c>
      <c r="G1" s="15" t="s">
        <v>99</v>
      </c>
      <c r="H1" s="15" t="s">
        <v>100</v>
      </c>
      <c r="I1" s="15" t="s">
        <v>101</v>
      </c>
      <c r="J1" s="15" t="s">
        <v>102</v>
      </c>
      <c r="K1" s="15" t="s">
        <v>103</v>
      </c>
      <c r="L1" s="15" t="s">
        <v>104</v>
      </c>
      <c r="M1" s="15" t="s">
        <v>105</v>
      </c>
      <c r="N1" s="15" t="s">
        <v>106</v>
      </c>
      <c r="O1" s="15" t="s">
        <v>107</v>
      </c>
      <c r="P1" s="15" t="s">
        <v>108</v>
      </c>
      <c r="Q1" s="15" t="s">
        <v>109</v>
      </c>
      <c r="R1" s="15" t="s">
        <v>110</v>
      </c>
      <c r="S1" s="15" t="s">
        <v>111</v>
      </c>
      <c r="T1" s="15" t="s">
        <v>112</v>
      </c>
    </row>
    <row r="2" spans="1:20" ht="15.75" customHeight="1" x14ac:dyDescent="0.3">
      <c r="A2" s="15">
        <v>0</v>
      </c>
      <c r="B2" s="16">
        <v>2024</v>
      </c>
      <c r="C2" s="16">
        <v>25.957195120000002</v>
      </c>
      <c r="D2" s="16">
        <v>20.92355725079597</v>
      </c>
      <c r="E2" s="16">
        <v>29.755915459716029</v>
      </c>
      <c r="F2" s="16">
        <v>2.96526779</v>
      </c>
      <c r="G2" s="16">
        <v>2.704934933759235</v>
      </c>
      <c r="H2" s="16">
        <v>2.9065920960277438</v>
      </c>
      <c r="I2" s="16">
        <v>1.58954996</v>
      </c>
      <c r="J2" s="16">
        <v>1.5267868401978091</v>
      </c>
      <c r="K2" s="16">
        <v>1.555368825263673</v>
      </c>
      <c r="L2" s="16">
        <v>4.0673716899999999</v>
      </c>
      <c r="M2" s="16">
        <v>3.7894545027345758</v>
      </c>
      <c r="N2" s="16">
        <v>4.0311159555885281</v>
      </c>
      <c r="O2" s="16">
        <v>12.039497385000001</v>
      </c>
      <c r="P2" s="16">
        <v>11.907161614628061</v>
      </c>
      <c r="Q2" s="16">
        <v>12.58850087030525</v>
      </c>
      <c r="R2" s="16">
        <v>15.25076795</v>
      </c>
      <c r="S2" s="16">
        <v>14.73401299497481</v>
      </c>
      <c r="T2" s="16">
        <v>14.748946913495891</v>
      </c>
    </row>
    <row r="3" spans="1:20" ht="15.75" customHeight="1" x14ac:dyDescent="0.3">
      <c r="A3" s="15">
        <v>1</v>
      </c>
      <c r="B3" s="16">
        <v>2025</v>
      </c>
      <c r="C3" s="16">
        <v>25.957195120000002</v>
      </c>
      <c r="D3" s="16">
        <v>20.268292091774871</v>
      </c>
      <c r="E3" s="16">
        <v>29.357703939644448</v>
      </c>
      <c r="F3" s="16">
        <v>2.96526779</v>
      </c>
      <c r="G3" s="16">
        <v>2.61768621408206</v>
      </c>
      <c r="H3" s="16">
        <v>2.867694336072947</v>
      </c>
      <c r="I3" s="16">
        <v>1.58954996</v>
      </c>
      <c r="J3" s="16">
        <v>1.5220387611070341</v>
      </c>
      <c r="K3" s="16">
        <v>1.5345539461174169</v>
      </c>
      <c r="L3" s="16">
        <v>4.0673716899999999</v>
      </c>
      <c r="M3" s="16">
        <v>3.5413443759697141</v>
      </c>
      <c r="N3" s="16">
        <v>3.9771691424100561</v>
      </c>
      <c r="O3" s="16">
        <v>12.039497385000001</v>
      </c>
      <c r="P3" s="16">
        <v>11.87943608221425</v>
      </c>
      <c r="Q3" s="16">
        <v>12.420033996087479</v>
      </c>
      <c r="R3" s="16">
        <v>15.25076795</v>
      </c>
      <c r="S3" s="16">
        <v>14.45871322888302</v>
      </c>
      <c r="T3" s="16">
        <v>14.55156765363647</v>
      </c>
    </row>
    <row r="4" spans="1:20" ht="15.75" customHeight="1" x14ac:dyDescent="0.3">
      <c r="A4" s="15">
        <v>2</v>
      </c>
      <c r="B4" s="16">
        <v>2026</v>
      </c>
      <c r="C4" s="16">
        <v>25.957195120000002</v>
      </c>
      <c r="D4" s="16">
        <v>19.944908636834999</v>
      </c>
      <c r="E4" s="16">
        <v>28.964821525139541</v>
      </c>
      <c r="F4" s="16">
        <v>2.96526779</v>
      </c>
      <c r="G4" s="16">
        <v>2.5643278135504648</v>
      </c>
      <c r="H4" s="16">
        <v>2.8293171292881572</v>
      </c>
      <c r="I4" s="16">
        <v>1.58954996</v>
      </c>
      <c r="J4" s="16">
        <v>1.5179965306794301</v>
      </c>
      <c r="K4" s="16">
        <v>1.514017624176909</v>
      </c>
      <c r="L4" s="16">
        <v>4.0673716899999999</v>
      </c>
      <c r="M4" s="16">
        <v>3.3017375803936959</v>
      </c>
      <c r="N4" s="16">
        <v>3.923944277864214</v>
      </c>
      <c r="O4" s="16">
        <v>12.039497385000001</v>
      </c>
      <c r="P4" s="16">
        <v>11.77646804595039</v>
      </c>
      <c r="Q4" s="16">
        <v>12.25382164669367</v>
      </c>
      <c r="R4" s="16">
        <v>15.25076795</v>
      </c>
      <c r="S4" s="16">
        <v>14.32460317034748</v>
      </c>
      <c r="T4" s="16">
        <v>14.35682984149879</v>
      </c>
    </row>
    <row r="5" spans="1:20" ht="15.75" customHeight="1" x14ac:dyDescent="0.3">
      <c r="A5" s="15">
        <v>3</v>
      </c>
      <c r="B5" s="16">
        <v>2027</v>
      </c>
      <c r="C5" s="16">
        <v>25.957195120000002</v>
      </c>
      <c r="D5" s="16">
        <v>19.851068498985761</v>
      </c>
      <c r="E5" s="16">
        <v>28.577196898912089</v>
      </c>
      <c r="F5" s="16">
        <v>2.96526779</v>
      </c>
      <c r="G5" s="16">
        <v>2.544528740240489</v>
      </c>
      <c r="H5" s="16">
        <v>2.7914535093184161</v>
      </c>
      <c r="I5" s="16">
        <v>1.58954996</v>
      </c>
      <c r="J5" s="16">
        <v>1.5158743945590509</v>
      </c>
      <c r="K5" s="16">
        <v>1.493756131622433</v>
      </c>
      <c r="L5" s="16">
        <v>4.0673716899999999</v>
      </c>
      <c r="M5" s="16">
        <v>3.1068861267341892</v>
      </c>
      <c r="N5" s="16">
        <v>3.8714317004010899</v>
      </c>
      <c r="O5" s="16">
        <v>12.039497385000001</v>
      </c>
      <c r="P5" s="16">
        <v>11.67136158998939</v>
      </c>
      <c r="Q5" s="16">
        <v>12.089833650719489</v>
      </c>
      <c r="R5" s="16">
        <v>15.25076795</v>
      </c>
      <c r="S5" s="16">
        <v>14.28467862103926</v>
      </c>
      <c r="T5" s="16">
        <v>14.164698127644041</v>
      </c>
    </row>
    <row r="6" spans="1:20" ht="15.75" customHeight="1" x14ac:dyDescent="0.3">
      <c r="A6" s="15">
        <v>4</v>
      </c>
      <c r="B6" s="16">
        <v>2028</v>
      </c>
      <c r="C6" s="16">
        <v>25.957195120000002</v>
      </c>
      <c r="D6" s="16">
        <v>19.83468094473227</v>
      </c>
      <c r="E6" s="16">
        <v>28.194759698083679</v>
      </c>
      <c r="F6" s="16">
        <v>2.96526779</v>
      </c>
      <c r="G6" s="16">
        <v>2.540444920765542</v>
      </c>
      <c r="H6" s="16">
        <v>2.7540966030367149</v>
      </c>
      <c r="I6" s="16">
        <v>1.58954996</v>
      </c>
      <c r="J6" s="16">
        <v>1.5150543661246929</v>
      </c>
      <c r="K6" s="16">
        <v>1.4737657905221939</v>
      </c>
      <c r="L6" s="16">
        <v>4.0673716899999999</v>
      </c>
      <c r="M6" s="16">
        <v>2.968324397539059</v>
      </c>
      <c r="N6" s="16">
        <v>3.8196218777674318</v>
      </c>
      <c r="O6" s="16">
        <v>12.039497385000001</v>
      </c>
      <c r="P6" s="16">
        <v>11.60077717752098</v>
      </c>
      <c r="Q6" s="16">
        <v>11.928040240532431</v>
      </c>
      <c r="R6" s="16">
        <v>15.25076795</v>
      </c>
      <c r="S6" s="16">
        <v>14.278100375950119</v>
      </c>
      <c r="T6" s="16">
        <v>13.975137635700831</v>
      </c>
    </row>
    <row r="7" spans="1:20" ht="15.75" customHeight="1" x14ac:dyDescent="0.3">
      <c r="A7" s="15">
        <v>5</v>
      </c>
      <c r="B7" s="16">
        <v>2029</v>
      </c>
      <c r="C7" s="16">
        <v>25.957195120000002</v>
      </c>
      <c r="D7" s="16">
        <v>19.832949509386079</v>
      </c>
      <c r="E7" s="16">
        <v>27.81744050141414</v>
      </c>
      <c r="F7" s="16">
        <v>2.96526779</v>
      </c>
      <c r="G7" s="16">
        <v>2.5399665761803449</v>
      </c>
      <c r="H7" s="16">
        <v>2.7172396292963512</v>
      </c>
      <c r="I7" s="16">
        <v>1.58954996</v>
      </c>
      <c r="J7" s="16">
        <v>1.514808270736872</v>
      </c>
      <c r="K7" s="16">
        <v>1.4540429721646859</v>
      </c>
      <c r="L7" s="16">
        <v>4.0673716899999999</v>
      </c>
      <c r="M7" s="16">
        <v>2.8805134645784309</v>
      </c>
      <c r="N7" s="16">
        <v>3.7685054052763189</v>
      </c>
      <c r="O7" s="16">
        <v>12.039497385000001</v>
      </c>
      <c r="P7" s="16">
        <v>11.56552177093622</v>
      </c>
      <c r="Q7" s="16">
        <v>11.76841204686828</v>
      </c>
      <c r="R7" s="16">
        <v>15.25076795</v>
      </c>
      <c r="S7" s="16">
        <v>14.27795707036525</v>
      </c>
      <c r="T7" s="16">
        <v>13.78811395603431</v>
      </c>
    </row>
    <row r="8" spans="1:20" ht="15.75" customHeight="1" x14ac:dyDescent="0.3">
      <c r="A8" s="15">
        <v>6</v>
      </c>
      <c r="B8" s="16">
        <v>2030</v>
      </c>
      <c r="C8" s="16">
        <v>25.957195120000002</v>
      </c>
      <c r="D8" s="16">
        <v>19.83283867076231</v>
      </c>
      <c r="E8" s="16">
        <v>27.445170816699999</v>
      </c>
      <c r="F8" s="16">
        <v>2.96526779</v>
      </c>
      <c r="G8" s="16">
        <v>2.5399339754523291</v>
      </c>
      <c r="H8" s="16">
        <v>2.6808758977</v>
      </c>
      <c r="I8" s="16">
        <v>1.58954996</v>
      </c>
      <c r="J8" s="16">
        <v>1.5147495874142021</v>
      </c>
      <c r="K8" s="16">
        <v>1.4345840964000001</v>
      </c>
      <c r="L8" s="16">
        <v>4.0673716899999999</v>
      </c>
      <c r="M8" s="16">
        <v>2.8303795731182988</v>
      </c>
      <c r="N8" s="16">
        <v>3.7180730040999999</v>
      </c>
      <c r="O8" s="16">
        <v>12.039497385000001</v>
      </c>
      <c r="P8" s="16">
        <v>11.551868441991649</v>
      </c>
      <c r="Q8" s="16">
        <v>11.610920093500001</v>
      </c>
      <c r="R8" s="16">
        <v>15.25076795</v>
      </c>
      <c r="S8" s="16">
        <v>14.27816303117187</v>
      </c>
      <c r="T8" s="16">
        <v>13.603593139499999</v>
      </c>
    </row>
    <row r="10" spans="1:20" x14ac:dyDescent="0.25">
      <c r="E10" s="1">
        <f>E8/E2</f>
        <v>0.92234335232789766</v>
      </c>
      <c r="H10" s="1">
        <f>H8/H2</f>
        <v>0.92234335232789766</v>
      </c>
      <c r="K10" s="1">
        <f>K8/K2</f>
        <v>0.92234335232789755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F224"/>
  <sheetViews>
    <sheetView workbookViewId="0"/>
  </sheetViews>
  <sheetFormatPr defaultColWidth="12.6640625" defaultRowHeight="15.75" customHeight="1" x14ac:dyDescent="0.25"/>
  <cols>
    <col min="7" max="7" width="16.44140625" customWidth="1"/>
    <col min="15" max="15" width="1.88671875" customWidth="1"/>
    <col min="16" max="16" width="16.44140625" customWidth="1"/>
    <col min="24" max="24" width="1.88671875" customWidth="1"/>
    <col min="25" max="25" width="16.44140625" customWidth="1"/>
  </cols>
  <sheetData>
    <row r="1" spans="1:14" x14ac:dyDescent="0.25">
      <c r="A1" s="1"/>
      <c r="B1" s="2"/>
      <c r="C1" s="1"/>
      <c r="H1" s="51" t="s">
        <v>113</v>
      </c>
      <c r="I1" s="49"/>
      <c r="J1" s="49"/>
      <c r="K1" s="49"/>
      <c r="L1" s="49"/>
      <c r="M1" s="49"/>
      <c r="N1" s="50"/>
    </row>
    <row r="2" spans="1:14" x14ac:dyDescent="0.25">
      <c r="A2" s="1" t="s">
        <v>4</v>
      </c>
      <c r="B2" s="2">
        <v>0.1</v>
      </c>
      <c r="C2" s="1" t="s">
        <v>5</v>
      </c>
      <c r="H2" s="17">
        <v>2024</v>
      </c>
      <c r="I2" s="17">
        <v>2025</v>
      </c>
      <c r="J2" s="17">
        <v>2026</v>
      </c>
      <c r="K2" s="17">
        <v>2027</v>
      </c>
      <c r="L2" s="17">
        <v>2028</v>
      </c>
      <c r="M2" s="17">
        <v>2029</v>
      </c>
      <c r="N2" s="17">
        <v>2030</v>
      </c>
    </row>
    <row r="3" spans="1:14" ht="15.75" customHeight="1" x14ac:dyDescent="0.3">
      <c r="A3" s="1" t="s">
        <v>8</v>
      </c>
      <c r="B3" s="2">
        <v>15</v>
      </c>
      <c r="C3" s="1" t="s">
        <v>5</v>
      </c>
      <c r="G3" s="18" t="s">
        <v>114</v>
      </c>
      <c r="H3" s="19">
        <v>30159528.370000001</v>
      </c>
      <c r="I3" s="19">
        <v>30159528.370000001</v>
      </c>
      <c r="J3" s="19">
        <v>30159528.370000001</v>
      </c>
      <c r="K3" s="19">
        <v>30159528.370000001</v>
      </c>
      <c r="L3" s="19">
        <v>30159528.370000001</v>
      </c>
      <c r="M3" s="19">
        <v>30159528.370000001</v>
      </c>
      <c r="N3" s="19">
        <v>30159528.370000001</v>
      </c>
    </row>
    <row r="4" spans="1:14" ht="15.75" customHeight="1" x14ac:dyDescent="0.3">
      <c r="A4" s="1" t="s">
        <v>11</v>
      </c>
      <c r="B4" s="2">
        <v>7.38</v>
      </c>
      <c r="C4" s="1" t="s">
        <v>5</v>
      </c>
      <c r="G4" s="18" t="s">
        <v>115</v>
      </c>
      <c r="H4" s="19">
        <v>2946017.47</v>
      </c>
      <c r="I4" s="19">
        <v>2946017.47</v>
      </c>
      <c r="J4" s="19">
        <v>2946017.47</v>
      </c>
      <c r="K4" s="19">
        <v>2946017.47</v>
      </c>
      <c r="L4" s="19">
        <v>2946017.47</v>
      </c>
      <c r="M4" s="19">
        <v>2946017.47</v>
      </c>
      <c r="N4" s="19">
        <v>2946017.47</v>
      </c>
    </row>
    <row r="5" spans="1:14" ht="15.75" customHeight="1" x14ac:dyDescent="0.3">
      <c r="A5" s="1" t="s">
        <v>18</v>
      </c>
      <c r="B5" s="2">
        <v>4</v>
      </c>
      <c r="C5" s="4" t="s">
        <v>19</v>
      </c>
      <c r="G5" s="18" t="s">
        <v>116</v>
      </c>
      <c r="H5" s="19">
        <v>1576466</v>
      </c>
      <c r="I5" s="19">
        <v>1576466</v>
      </c>
      <c r="J5" s="19">
        <v>1576466</v>
      </c>
      <c r="K5" s="19">
        <v>1576466</v>
      </c>
      <c r="L5" s="19">
        <v>1576466</v>
      </c>
      <c r="M5" s="19">
        <v>1576466</v>
      </c>
      <c r="N5" s="19">
        <v>1576466</v>
      </c>
    </row>
    <row r="6" spans="1:14" ht="15.75" customHeight="1" x14ac:dyDescent="0.3">
      <c r="A6" s="1" t="s">
        <v>27</v>
      </c>
      <c r="B6" s="2">
        <v>44.01</v>
      </c>
      <c r="C6" s="1" t="s">
        <v>28</v>
      </c>
      <c r="G6" s="18" t="s">
        <v>117</v>
      </c>
      <c r="H6" s="19">
        <v>4085795</v>
      </c>
      <c r="I6" s="19">
        <v>4085795</v>
      </c>
      <c r="J6" s="19">
        <v>4085795</v>
      </c>
      <c r="K6" s="19">
        <v>4085795</v>
      </c>
      <c r="L6" s="19">
        <v>4085795</v>
      </c>
      <c r="M6" s="19">
        <v>4085795</v>
      </c>
      <c r="N6" s="19">
        <v>4085795</v>
      </c>
    </row>
    <row r="7" spans="1:14" ht="15.75" customHeight="1" x14ac:dyDescent="0.3">
      <c r="A7" s="1" t="s">
        <v>36</v>
      </c>
      <c r="B7" s="2">
        <v>8.3140000000000001</v>
      </c>
      <c r="C7" s="1" t="s">
        <v>37</v>
      </c>
      <c r="G7" s="18" t="s">
        <v>118</v>
      </c>
      <c r="H7" s="19">
        <v>12759252.85</v>
      </c>
      <c r="I7" s="19">
        <v>12759252.85</v>
      </c>
      <c r="J7" s="19">
        <v>12759252.85</v>
      </c>
      <c r="K7" s="19">
        <v>12759252.85</v>
      </c>
      <c r="L7" s="19">
        <v>12759252.85</v>
      </c>
      <c r="M7" s="19">
        <v>12759252.85</v>
      </c>
      <c r="N7" s="19">
        <v>12759252.85</v>
      </c>
    </row>
    <row r="8" spans="1:14" ht="15.75" customHeight="1" x14ac:dyDescent="0.3">
      <c r="A8" s="1" t="s">
        <v>44</v>
      </c>
      <c r="B8" s="2">
        <v>313.14999999999998</v>
      </c>
      <c r="C8" s="1" t="s">
        <v>45</v>
      </c>
      <c r="G8" s="18" t="s">
        <v>119</v>
      </c>
      <c r="H8" s="19">
        <v>14949003.449999999</v>
      </c>
      <c r="I8" s="19">
        <v>14949003.449999999</v>
      </c>
      <c r="J8" s="19">
        <v>14949003.449999999</v>
      </c>
      <c r="K8" s="19">
        <v>14949003.449999999</v>
      </c>
      <c r="L8" s="19">
        <v>14949003.449999999</v>
      </c>
      <c r="M8" s="19">
        <v>14949003.449999999</v>
      </c>
      <c r="N8" s="19">
        <v>14949003.449999999</v>
      </c>
    </row>
    <row r="9" spans="1:14" x14ac:dyDescent="0.25">
      <c r="A9" s="1" t="s">
        <v>47</v>
      </c>
      <c r="B9" s="2">
        <v>0.82</v>
      </c>
      <c r="C9" s="4" t="s">
        <v>19</v>
      </c>
    </row>
    <row r="10" spans="1:14" x14ac:dyDescent="0.25">
      <c r="A10" s="1" t="s">
        <v>50</v>
      </c>
      <c r="B10" s="2">
        <v>25000</v>
      </c>
      <c r="H10" s="51" t="s">
        <v>120</v>
      </c>
      <c r="I10" s="49"/>
      <c r="J10" s="49"/>
      <c r="K10" s="49"/>
      <c r="L10" s="49"/>
      <c r="M10" s="49"/>
      <c r="N10" s="50"/>
    </row>
    <row r="11" spans="1:14" x14ac:dyDescent="0.25">
      <c r="A11" s="1" t="s">
        <v>51</v>
      </c>
      <c r="B11" s="2">
        <v>630</v>
      </c>
      <c r="H11" s="17">
        <v>2024</v>
      </c>
      <c r="I11" s="17">
        <v>2025</v>
      </c>
      <c r="J11" s="17">
        <v>2026</v>
      </c>
      <c r="K11" s="17">
        <v>2027</v>
      </c>
      <c r="L11" s="17">
        <v>2028</v>
      </c>
      <c r="M11" s="17">
        <v>2029</v>
      </c>
      <c r="N11" s="17">
        <v>2030</v>
      </c>
    </row>
    <row r="12" spans="1:14" ht="15.75" customHeight="1" x14ac:dyDescent="0.3">
      <c r="A12" s="1" t="s">
        <v>52</v>
      </c>
      <c r="B12" s="2">
        <v>0.75</v>
      </c>
      <c r="E12" s="1">
        <v>356</v>
      </c>
      <c r="G12" s="18" t="s">
        <v>114</v>
      </c>
      <c r="H12" s="20">
        <v>29.755915459716029</v>
      </c>
      <c r="I12" s="20">
        <v>29.357703939644448</v>
      </c>
      <c r="J12" s="20">
        <v>28.964821525139541</v>
      </c>
      <c r="K12" s="20">
        <v>28.577196898912089</v>
      </c>
      <c r="L12" s="20">
        <v>28.194759698083679</v>
      </c>
      <c r="M12" s="20">
        <v>27.81744050141414</v>
      </c>
      <c r="N12" s="20">
        <v>27.445170816699999</v>
      </c>
    </row>
    <row r="13" spans="1:14" ht="15.75" customHeight="1" x14ac:dyDescent="0.3">
      <c r="G13" s="18" t="s">
        <v>115</v>
      </c>
      <c r="H13" s="20">
        <v>2.9065920960277438</v>
      </c>
      <c r="I13" s="20">
        <v>2.867694336072947</v>
      </c>
      <c r="J13" s="20">
        <v>2.8293171292881572</v>
      </c>
      <c r="K13" s="20">
        <v>2.7914535093184161</v>
      </c>
      <c r="L13" s="20">
        <v>2.7540966030367149</v>
      </c>
      <c r="M13" s="20">
        <v>2.7172396292963512</v>
      </c>
      <c r="N13" s="20">
        <v>2.6808758977</v>
      </c>
    </row>
    <row r="14" spans="1:14" ht="15.75" customHeight="1" x14ac:dyDescent="0.3">
      <c r="A14" s="1" t="s">
        <v>54</v>
      </c>
      <c r="G14" s="18" t="s">
        <v>116</v>
      </c>
      <c r="H14" s="20">
        <v>1.555368825263673</v>
      </c>
      <c r="I14" s="20">
        <v>1.5345539461174169</v>
      </c>
      <c r="J14" s="20">
        <v>1.514017624176909</v>
      </c>
      <c r="K14" s="20">
        <v>1.493756131622433</v>
      </c>
      <c r="L14" s="20">
        <v>1.4737657905221939</v>
      </c>
      <c r="M14" s="20">
        <v>1.4540429721646859</v>
      </c>
      <c r="N14" s="20">
        <v>1.4345840964000001</v>
      </c>
    </row>
    <row r="15" spans="1:14" ht="15.75" customHeight="1" x14ac:dyDescent="0.3">
      <c r="A15" s="1" t="s">
        <v>58</v>
      </c>
      <c r="B15" s="7">
        <f>(B4/B2)^(1/B5)</f>
        <v>2.9309883380808275</v>
      </c>
      <c r="G15" s="18" t="s">
        <v>117</v>
      </c>
      <c r="H15" s="20">
        <v>4.0311159555885281</v>
      </c>
      <c r="I15" s="20">
        <v>3.9771691424100561</v>
      </c>
      <c r="J15" s="20">
        <v>3.923944277864214</v>
      </c>
      <c r="K15" s="20">
        <v>3.8714317004010899</v>
      </c>
      <c r="L15" s="20">
        <v>3.8196218777674318</v>
      </c>
      <c r="M15" s="20">
        <v>3.7685054052763189</v>
      </c>
      <c r="N15" s="20">
        <v>3.7180730040999999</v>
      </c>
    </row>
    <row r="16" spans="1:14" ht="15.75" customHeight="1" x14ac:dyDescent="0.3">
      <c r="A16" s="1"/>
      <c r="G16" s="18" t="s">
        <v>118</v>
      </c>
      <c r="H16" s="20">
        <v>12.58850087030525</v>
      </c>
      <c r="I16" s="20">
        <v>12.420033996087479</v>
      </c>
      <c r="J16" s="20">
        <v>12.25382164669367</v>
      </c>
      <c r="K16" s="20">
        <v>12.089833650719489</v>
      </c>
      <c r="L16" s="20">
        <v>11.928040240532431</v>
      </c>
      <c r="M16" s="20">
        <v>11.76841204686828</v>
      </c>
      <c r="N16" s="20">
        <v>11.610920093500001</v>
      </c>
    </row>
    <row r="17" spans="1:14" ht="15.75" customHeight="1" x14ac:dyDescent="0.3">
      <c r="B17" s="1" t="s">
        <v>61</v>
      </c>
      <c r="C17" s="5">
        <f>(1000/(24*3600))*($B$10*C18*$B$7*$B$8/($B$6*$B$9))*(C19/(C19-1))*($B$15^(((C19-1)/C19))-1)</f>
        <v>25123.83279465956</v>
      </c>
      <c r="D17" s="8">
        <f>((22.26+((5.981*10^-2)*$E$12)+((-3.501*10^-5)*$E$12^2)+((7.469*10^-9)*$E$12^3))/44.01)/D18</f>
        <v>1.2670022094930111</v>
      </c>
      <c r="G17" s="18" t="s">
        <v>119</v>
      </c>
      <c r="H17" s="20">
        <v>14.748946913495891</v>
      </c>
      <c r="I17" s="20">
        <v>14.55156765363647</v>
      </c>
      <c r="J17" s="20">
        <v>14.35682984149879</v>
      </c>
      <c r="K17" s="20">
        <v>14.164698127644041</v>
      </c>
      <c r="L17" s="20">
        <v>13.975137635700831</v>
      </c>
      <c r="M17" s="20">
        <v>13.78811395603431</v>
      </c>
      <c r="N17" s="20">
        <v>13.603593139499999</v>
      </c>
    </row>
    <row r="18" spans="1:14" x14ac:dyDescent="0.25">
      <c r="B18" s="1" t="s">
        <v>63</v>
      </c>
      <c r="C18" s="1">
        <v>0.995</v>
      </c>
      <c r="D18" s="1">
        <f>((22.26+((5.981*10^-2)*$E$12)+((-3.501*10^-5)*$E$12^2)+((7.469*10^-9)*$E$12^3))/44.01)-(8.314/44.01)</f>
        <v>0.70752826860949791</v>
      </c>
    </row>
    <row r="19" spans="1:14" x14ac:dyDescent="0.25">
      <c r="A19" s="9">
        <v>1.2769999999999999</v>
      </c>
      <c r="B19" s="1" t="s">
        <v>64</v>
      </c>
      <c r="C19" s="8">
        <f>D17/C18</f>
        <v>1.2733690547668453</v>
      </c>
      <c r="D19" s="8">
        <f>D17/C18</f>
        <v>1.2733690547668453</v>
      </c>
      <c r="H19" s="51" t="s">
        <v>121</v>
      </c>
      <c r="I19" s="49"/>
      <c r="J19" s="49"/>
      <c r="K19" s="49"/>
      <c r="L19" s="49"/>
      <c r="M19" s="49"/>
      <c r="N19" s="50"/>
    </row>
    <row r="20" spans="1:14" x14ac:dyDescent="0.25">
      <c r="H20" s="17">
        <v>2024</v>
      </c>
      <c r="I20" s="17">
        <v>2025</v>
      </c>
      <c r="J20" s="17">
        <v>2026</v>
      </c>
      <c r="K20" s="17">
        <v>2027</v>
      </c>
      <c r="L20" s="17">
        <v>2028</v>
      </c>
      <c r="M20" s="17">
        <v>2029</v>
      </c>
      <c r="N20" s="17">
        <v>2030</v>
      </c>
    </row>
    <row r="21" spans="1:14" ht="15.75" customHeight="1" x14ac:dyDescent="0.3">
      <c r="B21" s="1" t="s">
        <v>65</v>
      </c>
      <c r="C21" s="5">
        <f>(1000/(24*3600))*($B$10*C22*$B$7*$B$8/($B$6*$B$9))*(C23/(C23-1))*($B$15^(((C23-1)/C23))-1)</f>
        <v>24995.58089898419</v>
      </c>
      <c r="D21" s="8">
        <f>((22.26+((5.981*10^-2)*$E$12)+((-3.501*10^-5)*$E$12^2)+((7.469*10^-9)*$E$12^3))/44.01)/D22</f>
        <v>1.2670022094930111</v>
      </c>
      <c r="G21" s="18" t="s">
        <v>114</v>
      </c>
      <c r="H21" s="19">
        <f t="shared" ref="H21:N21" si="0">H12*10^6</f>
        <v>29755915.459716029</v>
      </c>
      <c r="I21" s="19">
        <f t="shared" si="0"/>
        <v>29357703.939644448</v>
      </c>
      <c r="J21" s="19">
        <f t="shared" si="0"/>
        <v>28964821.52513954</v>
      </c>
      <c r="K21" s="19">
        <f t="shared" si="0"/>
        <v>28577196.898912087</v>
      </c>
      <c r="L21" s="19">
        <f t="shared" si="0"/>
        <v>28194759.69808368</v>
      </c>
      <c r="M21" s="19">
        <f t="shared" si="0"/>
        <v>27817440.501414139</v>
      </c>
      <c r="N21" s="19">
        <f t="shared" si="0"/>
        <v>27445170.8167</v>
      </c>
    </row>
    <row r="22" spans="1:14" ht="15.75" customHeight="1" x14ac:dyDescent="0.3">
      <c r="B22" s="1" t="s">
        <v>63</v>
      </c>
      <c r="C22" s="1">
        <v>0.98599999999999999</v>
      </c>
      <c r="D22" s="1">
        <f>((22.26+((5.981*10^-2)*$E$12)+((-3.501*10^-5)*$E$12^2)+((7.469*10^-9)*$E$12^3))/44.01)-(8.314/44.01)</f>
        <v>0.70752826860949791</v>
      </c>
      <c r="G22" s="18" t="s">
        <v>115</v>
      </c>
      <c r="H22" s="19">
        <f t="shared" ref="H22:N22" si="1">H13*10^6</f>
        <v>2906592.096027744</v>
      </c>
      <c r="I22" s="19">
        <f t="shared" si="1"/>
        <v>2867694.3360729469</v>
      </c>
      <c r="J22" s="19">
        <f t="shared" si="1"/>
        <v>2829317.129288157</v>
      </c>
      <c r="K22" s="19">
        <f t="shared" si="1"/>
        <v>2791453.509318416</v>
      </c>
      <c r="L22" s="19">
        <f t="shared" si="1"/>
        <v>2754096.6030367147</v>
      </c>
      <c r="M22" s="19">
        <f t="shared" si="1"/>
        <v>2717239.6292963512</v>
      </c>
      <c r="N22" s="19">
        <f t="shared" si="1"/>
        <v>2680875.8977000001</v>
      </c>
    </row>
    <row r="23" spans="1:14" ht="15.75" customHeight="1" x14ac:dyDescent="0.3">
      <c r="A23" s="9">
        <v>1.286</v>
      </c>
      <c r="B23" s="1" t="s">
        <v>64</v>
      </c>
      <c r="C23" s="8">
        <f>D21/C22</f>
        <v>1.2849920988772932</v>
      </c>
      <c r="D23" s="8">
        <f>D21/C22</f>
        <v>1.2849920988772932</v>
      </c>
      <c r="G23" s="18" t="s">
        <v>116</v>
      </c>
      <c r="H23" s="19">
        <f t="shared" ref="H23:N23" si="2">H14*10^6</f>
        <v>1555368.825263673</v>
      </c>
      <c r="I23" s="19">
        <f t="shared" si="2"/>
        <v>1534553.946117417</v>
      </c>
      <c r="J23" s="19">
        <f t="shared" si="2"/>
        <v>1514017.624176909</v>
      </c>
      <c r="K23" s="19">
        <f t="shared" si="2"/>
        <v>1493756.131622433</v>
      </c>
      <c r="L23" s="19">
        <f t="shared" si="2"/>
        <v>1473765.790522194</v>
      </c>
      <c r="M23" s="19">
        <f t="shared" si="2"/>
        <v>1454042.9721646858</v>
      </c>
      <c r="N23" s="19">
        <f t="shared" si="2"/>
        <v>1434584.0964000002</v>
      </c>
    </row>
    <row r="24" spans="1:14" ht="15.75" customHeight="1" x14ac:dyDescent="0.3">
      <c r="G24" s="18" t="s">
        <v>117</v>
      </c>
      <c r="H24" s="19">
        <f t="shared" ref="H24:N24" si="3">H15*10^6</f>
        <v>4031115.955588528</v>
      </c>
      <c r="I24" s="19">
        <f t="shared" si="3"/>
        <v>3977169.1424100562</v>
      </c>
      <c r="J24" s="19">
        <f t="shared" si="3"/>
        <v>3923944.277864214</v>
      </c>
      <c r="K24" s="19">
        <f t="shared" si="3"/>
        <v>3871431.7004010901</v>
      </c>
      <c r="L24" s="19">
        <f t="shared" si="3"/>
        <v>3819621.877767432</v>
      </c>
      <c r="M24" s="19">
        <f t="shared" si="3"/>
        <v>3768505.405276319</v>
      </c>
      <c r="N24" s="19">
        <f t="shared" si="3"/>
        <v>3718073.0041</v>
      </c>
    </row>
    <row r="25" spans="1:14" ht="14.4" x14ac:dyDescent="0.3">
      <c r="B25" s="1" t="s">
        <v>68</v>
      </c>
      <c r="C25" s="5">
        <f>(1000/(24*3600))*($B$10*C26*$B$7*$B$8/($B$6*$B$9))*(C27/(C27-1))*($B$15^(((C27-1)/C27))-1)</f>
        <v>24603.000522556187</v>
      </c>
      <c r="D25" s="8">
        <f>((22.26+((5.981*10^-2)*$E$12)+((-3.501*10^-5)*$E$12^2)+((7.469*10^-9)*$E$12^3))/44.01)/D26</f>
        <v>1.2670022094930111</v>
      </c>
      <c r="G25" s="18" t="s">
        <v>118</v>
      </c>
      <c r="H25" s="19">
        <f t="shared" ref="H25:N25" si="4">H16*10^6</f>
        <v>12588500.870305249</v>
      </c>
      <c r="I25" s="19">
        <f t="shared" si="4"/>
        <v>12420033.996087478</v>
      </c>
      <c r="J25" s="19">
        <f t="shared" si="4"/>
        <v>12253821.646693669</v>
      </c>
      <c r="K25" s="19">
        <f t="shared" si="4"/>
        <v>12089833.65071949</v>
      </c>
      <c r="L25" s="19">
        <f t="shared" si="4"/>
        <v>11928040.24053243</v>
      </c>
      <c r="M25" s="19">
        <f t="shared" si="4"/>
        <v>11768412.04686828</v>
      </c>
      <c r="N25" s="19">
        <f t="shared" si="4"/>
        <v>11610920.093500001</v>
      </c>
    </row>
    <row r="26" spans="1:14" ht="14.4" x14ac:dyDescent="0.3">
      <c r="B26" s="1" t="s">
        <v>63</v>
      </c>
      <c r="C26" s="1">
        <v>0.95899999999999996</v>
      </c>
      <c r="D26" s="1">
        <f>((22.26+((5.981*10^-2)*$E$12)+((-3.501*10^-5)*$E$12^2)+((7.469*10^-9)*$E$12^3))/44.01)-(8.314/44.01)</f>
        <v>0.70752826860949791</v>
      </c>
      <c r="G26" s="18" t="s">
        <v>119</v>
      </c>
      <c r="H26" s="19">
        <f t="shared" ref="H26:N26" si="5">H17*10^6</f>
        <v>14748946.913495891</v>
      </c>
      <c r="I26" s="19">
        <f t="shared" si="5"/>
        <v>14551567.65363647</v>
      </c>
      <c r="J26" s="19">
        <f t="shared" si="5"/>
        <v>14356829.84149879</v>
      </c>
      <c r="K26" s="19">
        <f t="shared" si="5"/>
        <v>14164698.127644042</v>
      </c>
      <c r="L26" s="19">
        <f t="shared" si="5"/>
        <v>13975137.635700831</v>
      </c>
      <c r="M26" s="19">
        <f t="shared" si="5"/>
        <v>13788113.95603431</v>
      </c>
      <c r="N26" s="19">
        <f t="shared" si="5"/>
        <v>13603593.1395</v>
      </c>
    </row>
    <row r="27" spans="1:14" ht="13.2" x14ac:dyDescent="0.25">
      <c r="A27" s="9">
        <v>1.379</v>
      </c>
      <c r="B27" s="1" t="s">
        <v>64</v>
      </c>
      <c r="C27" s="8">
        <f>D25/C26</f>
        <v>1.3211701871668522</v>
      </c>
      <c r="D27" s="8">
        <f>D25/C26</f>
        <v>1.3211701871668522</v>
      </c>
    </row>
    <row r="28" spans="1:14" ht="13.2" x14ac:dyDescent="0.25">
      <c r="H28" s="51" t="s">
        <v>122</v>
      </c>
      <c r="I28" s="49"/>
      <c r="J28" s="49"/>
      <c r="K28" s="49"/>
      <c r="L28" s="49"/>
      <c r="M28" s="49"/>
      <c r="N28" s="50"/>
    </row>
    <row r="29" spans="1:14" ht="13.2" x14ac:dyDescent="0.25">
      <c r="B29" s="1" t="s">
        <v>69</v>
      </c>
      <c r="C29" s="5">
        <f>(1000/(24*3600))*($B$10*C30*$B$7*$B$8/($B$6*$B$9))*(C31/(C31-1))*($B$15^(((C31-1)/C31))-1)</f>
        <v>23303.649744855873</v>
      </c>
      <c r="D29" s="8">
        <f>((22.26+((5.981*10^-2)*$E$12)+((-3.501*10^-5)*$E$12^2)+((7.469*10^-9)*$E$12^3))/44.01)/D30</f>
        <v>1.2670022094930111</v>
      </c>
      <c r="H29" s="17">
        <v>2024</v>
      </c>
      <c r="I29" s="17">
        <v>2025</v>
      </c>
      <c r="J29" s="17">
        <v>2026</v>
      </c>
      <c r="K29" s="17">
        <v>2027</v>
      </c>
      <c r="L29" s="17">
        <v>2028</v>
      </c>
      <c r="M29" s="17">
        <v>2029</v>
      </c>
      <c r="N29" s="17">
        <v>2030</v>
      </c>
    </row>
    <row r="30" spans="1:14" ht="14.4" x14ac:dyDescent="0.3">
      <c r="B30" s="1" t="s">
        <v>63</v>
      </c>
      <c r="C30" s="1">
        <v>0.875</v>
      </c>
      <c r="D30" s="1">
        <f>((22.26+((5.981*10^-2)*$E$12)+((-3.501*10^-5)*$E$12^2)+((7.469*10^-9)*$E$12^3))/44.01)-(8.314/44.01)</f>
        <v>0.70752826860949791</v>
      </c>
      <c r="G30" s="18" t="s">
        <v>114</v>
      </c>
      <c r="H30" s="19">
        <f t="shared" ref="H30:N30" si="6">H3*0.76</f>
        <v>22921241.5612</v>
      </c>
      <c r="I30" s="19">
        <f t="shared" si="6"/>
        <v>22921241.5612</v>
      </c>
      <c r="J30" s="19">
        <f t="shared" si="6"/>
        <v>22921241.5612</v>
      </c>
      <c r="K30" s="19">
        <f t="shared" si="6"/>
        <v>22921241.5612</v>
      </c>
      <c r="L30" s="19">
        <f t="shared" si="6"/>
        <v>22921241.5612</v>
      </c>
      <c r="M30" s="19">
        <f t="shared" si="6"/>
        <v>22921241.5612</v>
      </c>
      <c r="N30" s="19">
        <f t="shared" si="6"/>
        <v>22921241.5612</v>
      </c>
    </row>
    <row r="31" spans="1:14" ht="14.4" x14ac:dyDescent="0.3">
      <c r="A31" s="9">
        <v>1.704</v>
      </c>
      <c r="B31" s="1" t="s">
        <v>64</v>
      </c>
      <c r="C31" s="8">
        <f>D29/C30</f>
        <v>1.4480025251348698</v>
      </c>
      <c r="D31" s="8">
        <f>D29/C30</f>
        <v>1.4480025251348698</v>
      </c>
      <c r="G31" s="18" t="s">
        <v>115</v>
      </c>
      <c r="H31" s="19">
        <f t="shared" ref="H31:N31" si="7">H4*0.76</f>
        <v>2238973.2772000004</v>
      </c>
      <c r="I31" s="19">
        <f t="shared" si="7"/>
        <v>2238973.2772000004</v>
      </c>
      <c r="J31" s="19">
        <f t="shared" si="7"/>
        <v>2238973.2772000004</v>
      </c>
      <c r="K31" s="19">
        <f t="shared" si="7"/>
        <v>2238973.2772000004</v>
      </c>
      <c r="L31" s="19">
        <f t="shared" si="7"/>
        <v>2238973.2772000004</v>
      </c>
      <c r="M31" s="19">
        <f t="shared" si="7"/>
        <v>2238973.2772000004</v>
      </c>
      <c r="N31" s="19">
        <f t="shared" si="7"/>
        <v>2238973.2772000004</v>
      </c>
    </row>
    <row r="32" spans="1:14" ht="14.4" x14ac:dyDescent="0.3">
      <c r="G32" s="18" t="s">
        <v>116</v>
      </c>
      <c r="H32" s="19">
        <f t="shared" ref="H32:N32" si="8">H5*0.76</f>
        <v>1198114.1599999999</v>
      </c>
      <c r="I32" s="19">
        <f t="shared" si="8"/>
        <v>1198114.1599999999</v>
      </c>
      <c r="J32" s="19">
        <f t="shared" si="8"/>
        <v>1198114.1599999999</v>
      </c>
      <c r="K32" s="19">
        <f t="shared" si="8"/>
        <v>1198114.1599999999</v>
      </c>
      <c r="L32" s="19">
        <f t="shared" si="8"/>
        <v>1198114.1599999999</v>
      </c>
      <c r="M32" s="19">
        <f t="shared" si="8"/>
        <v>1198114.1599999999</v>
      </c>
      <c r="N32" s="19">
        <f t="shared" si="8"/>
        <v>1198114.1599999999</v>
      </c>
    </row>
    <row r="33" spans="1:16" ht="14.4" x14ac:dyDescent="0.3">
      <c r="G33" s="18" t="s">
        <v>117</v>
      </c>
      <c r="H33" s="19">
        <f t="shared" ref="H33:N33" si="9">H6*0.76</f>
        <v>3105204.2</v>
      </c>
      <c r="I33" s="19">
        <f t="shared" si="9"/>
        <v>3105204.2</v>
      </c>
      <c r="J33" s="19">
        <f t="shared" si="9"/>
        <v>3105204.2</v>
      </c>
      <c r="K33" s="19">
        <f t="shared" si="9"/>
        <v>3105204.2</v>
      </c>
      <c r="L33" s="19">
        <f t="shared" si="9"/>
        <v>3105204.2</v>
      </c>
      <c r="M33" s="19">
        <f t="shared" si="9"/>
        <v>3105204.2</v>
      </c>
      <c r="N33" s="19">
        <f t="shared" si="9"/>
        <v>3105204.2</v>
      </c>
    </row>
    <row r="34" spans="1:16" ht="14.4" x14ac:dyDescent="0.3">
      <c r="G34" s="18" t="s">
        <v>118</v>
      </c>
      <c r="H34" s="19">
        <f t="shared" ref="H34:N34" si="10">H7*0.76</f>
        <v>9697032.1659999993</v>
      </c>
      <c r="I34" s="19">
        <f t="shared" si="10"/>
        <v>9697032.1659999993</v>
      </c>
      <c r="J34" s="19">
        <f t="shared" si="10"/>
        <v>9697032.1659999993</v>
      </c>
      <c r="K34" s="19">
        <f t="shared" si="10"/>
        <v>9697032.1659999993</v>
      </c>
      <c r="L34" s="19">
        <f t="shared" si="10"/>
        <v>9697032.1659999993</v>
      </c>
      <c r="M34" s="19">
        <f t="shared" si="10"/>
        <v>9697032.1659999993</v>
      </c>
      <c r="N34" s="19">
        <f t="shared" si="10"/>
        <v>9697032.1659999993</v>
      </c>
    </row>
    <row r="35" spans="1:16" ht="14.4" x14ac:dyDescent="0.3">
      <c r="A35" s="1" t="s">
        <v>67</v>
      </c>
      <c r="B35" s="1">
        <f>ROUNDUP(H48/60000,0)</f>
        <v>5</v>
      </c>
      <c r="G35" s="18" t="s">
        <v>119</v>
      </c>
      <c r="H35" s="19">
        <f t="shared" ref="H35:N35" si="11">H8*0.76</f>
        <v>11361242.622</v>
      </c>
      <c r="I35" s="19">
        <f t="shared" si="11"/>
        <v>11361242.622</v>
      </c>
      <c r="J35" s="19">
        <f t="shared" si="11"/>
        <v>11361242.622</v>
      </c>
      <c r="K35" s="19">
        <f t="shared" si="11"/>
        <v>11361242.622</v>
      </c>
      <c r="L35" s="19">
        <f t="shared" si="11"/>
        <v>11361242.622</v>
      </c>
      <c r="M35" s="19">
        <f t="shared" si="11"/>
        <v>11361242.622</v>
      </c>
      <c r="N35" s="19">
        <f t="shared" si="11"/>
        <v>11361242.622</v>
      </c>
    </row>
    <row r="37" spans="1:16" ht="13.2" x14ac:dyDescent="0.25">
      <c r="H37" s="51" t="s">
        <v>123</v>
      </c>
      <c r="I37" s="49"/>
      <c r="J37" s="49"/>
      <c r="K37" s="49"/>
      <c r="L37" s="49"/>
      <c r="M37" s="49"/>
      <c r="N37" s="50"/>
    </row>
    <row r="38" spans="1:16" ht="13.2" x14ac:dyDescent="0.25">
      <c r="H38" s="17">
        <v>2024</v>
      </c>
      <c r="I38" s="17">
        <v>2025</v>
      </c>
      <c r="J38" s="17">
        <v>2026</v>
      </c>
      <c r="K38" s="17">
        <v>2027</v>
      </c>
      <c r="L38" s="17">
        <v>2028</v>
      </c>
      <c r="M38" s="17">
        <v>2029</v>
      </c>
      <c r="N38" s="17">
        <v>2030</v>
      </c>
    </row>
    <row r="39" spans="1:16" ht="14.4" x14ac:dyDescent="0.3">
      <c r="G39" s="18" t="s">
        <v>114</v>
      </c>
      <c r="H39" s="19">
        <f t="shared" ref="H39:N39" si="12">H21*0.76</f>
        <v>22614495.749384183</v>
      </c>
      <c r="I39" s="19">
        <f t="shared" si="12"/>
        <v>22311854.994129781</v>
      </c>
      <c r="J39" s="19">
        <f t="shared" si="12"/>
        <v>22013264.359106053</v>
      </c>
      <c r="K39" s="19">
        <f t="shared" si="12"/>
        <v>21718669.643173188</v>
      </c>
      <c r="L39" s="19">
        <f t="shared" si="12"/>
        <v>21428017.370543595</v>
      </c>
      <c r="M39" s="19">
        <f t="shared" si="12"/>
        <v>21141254.781074747</v>
      </c>
      <c r="N39" s="19">
        <f t="shared" si="12"/>
        <v>20858329.820691999</v>
      </c>
      <c r="O39" s="13">
        <f t="shared" ref="O39:O44" si="13">N39/H39</f>
        <v>0.92234335232789766</v>
      </c>
      <c r="P39" s="5">
        <f t="shared" ref="P39:P44" si="14">H39/365</f>
        <v>61957.522601052558</v>
      </c>
    </row>
    <row r="40" spans="1:16" ht="14.4" x14ac:dyDescent="0.3">
      <c r="G40" s="18" t="s">
        <v>115</v>
      </c>
      <c r="H40" s="19">
        <f t="shared" ref="H40:N40" si="15">H22*0.76</f>
        <v>2209009.9929810856</v>
      </c>
      <c r="I40" s="19">
        <f t="shared" si="15"/>
        <v>2179447.6954154395</v>
      </c>
      <c r="J40" s="19">
        <f t="shared" si="15"/>
        <v>2150281.0182589991</v>
      </c>
      <c r="K40" s="19">
        <f t="shared" si="15"/>
        <v>2121504.6670819963</v>
      </c>
      <c r="L40" s="19">
        <f t="shared" si="15"/>
        <v>2093113.4183079032</v>
      </c>
      <c r="M40" s="19">
        <f t="shared" si="15"/>
        <v>2065102.1182652269</v>
      </c>
      <c r="N40" s="19">
        <f t="shared" si="15"/>
        <v>2037465.6822520001</v>
      </c>
      <c r="O40" s="13">
        <f t="shared" si="13"/>
        <v>0.92234335232789766</v>
      </c>
      <c r="P40" s="5">
        <f t="shared" si="14"/>
        <v>6052.0821725509195</v>
      </c>
    </row>
    <row r="41" spans="1:16" ht="14.4" x14ac:dyDescent="0.3">
      <c r="G41" s="18" t="s">
        <v>116</v>
      </c>
      <c r="H41" s="19">
        <f t="shared" ref="H41:N41" si="16">H23*0.76</f>
        <v>1182080.3072003915</v>
      </c>
      <c r="I41" s="19">
        <f t="shared" si="16"/>
        <v>1166260.999049237</v>
      </c>
      <c r="J41" s="19">
        <f t="shared" si="16"/>
        <v>1150653.3943744509</v>
      </c>
      <c r="K41" s="19">
        <f t="shared" si="16"/>
        <v>1135254.6600330491</v>
      </c>
      <c r="L41" s="19">
        <f t="shared" si="16"/>
        <v>1120062.0007968675</v>
      </c>
      <c r="M41" s="19">
        <f t="shared" si="16"/>
        <v>1105072.6588451613</v>
      </c>
      <c r="N41" s="19">
        <f t="shared" si="16"/>
        <v>1090283.9132640001</v>
      </c>
      <c r="O41" s="13">
        <f t="shared" si="13"/>
        <v>0.92234335232789755</v>
      </c>
      <c r="P41" s="5">
        <f t="shared" si="14"/>
        <v>3238.5761841106619</v>
      </c>
    </row>
    <row r="42" spans="1:16" ht="14.4" x14ac:dyDescent="0.3">
      <c r="G42" s="18" t="s">
        <v>117</v>
      </c>
      <c r="H42" s="19">
        <f t="shared" ref="H42:N42" si="17">H24*0.76</f>
        <v>3063648.1262472812</v>
      </c>
      <c r="I42" s="19">
        <f t="shared" si="17"/>
        <v>3022648.5482316427</v>
      </c>
      <c r="J42" s="19">
        <f t="shared" si="17"/>
        <v>2982197.6511768028</v>
      </c>
      <c r="K42" s="19">
        <f t="shared" si="17"/>
        <v>2942288.0923048286</v>
      </c>
      <c r="L42" s="19">
        <f t="shared" si="17"/>
        <v>2902912.6271032481</v>
      </c>
      <c r="M42" s="19">
        <f t="shared" si="17"/>
        <v>2864064.1080100024</v>
      </c>
      <c r="N42" s="19">
        <f t="shared" si="17"/>
        <v>2825735.483116</v>
      </c>
      <c r="O42" s="13">
        <f t="shared" si="13"/>
        <v>0.92234335232789777</v>
      </c>
      <c r="P42" s="5">
        <f t="shared" si="14"/>
        <v>8393.5565102665241</v>
      </c>
    </row>
    <row r="43" spans="1:16" ht="14.4" x14ac:dyDescent="0.3">
      <c r="G43" s="18" t="s">
        <v>118</v>
      </c>
      <c r="H43" s="19">
        <f t="shared" ref="H43:N43" si="18">H25*0.76</f>
        <v>9567260.6614319906</v>
      </c>
      <c r="I43" s="19">
        <f t="shared" si="18"/>
        <v>9439225.8370264843</v>
      </c>
      <c r="J43" s="19">
        <f t="shared" si="18"/>
        <v>9312904.4514871892</v>
      </c>
      <c r="K43" s="19">
        <f t="shared" si="18"/>
        <v>9188273.5745468121</v>
      </c>
      <c r="L43" s="19">
        <f t="shared" si="18"/>
        <v>9065310.5828046463</v>
      </c>
      <c r="M43" s="19">
        <f t="shared" si="18"/>
        <v>8943993.1556198932</v>
      </c>
      <c r="N43" s="19">
        <f t="shared" si="18"/>
        <v>8824299.2710600011</v>
      </c>
      <c r="O43" s="13">
        <f t="shared" si="13"/>
        <v>0.92234335232789755</v>
      </c>
      <c r="P43" s="5">
        <f t="shared" si="14"/>
        <v>26211.673045019154</v>
      </c>
    </row>
    <row r="44" spans="1:16" ht="14.4" x14ac:dyDescent="0.3">
      <c r="G44" s="18" t="s">
        <v>119</v>
      </c>
      <c r="H44" s="19">
        <f t="shared" ref="H44:N44" si="19">H26*0.76</f>
        <v>11209199.654256877</v>
      </c>
      <c r="I44" s="19">
        <f t="shared" si="19"/>
        <v>11059191.416763717</v>
      </c>
      <c r="J44" s="19">
        <f t="shared" si="19"/>
        <v>10911190.679539081</v>
      </c>
      <c r="K44" s="19">
        <f t="shared" si="19"/>
        <v>10765170.577009471</v>
      </c>
      <c r="L44" s="19">
        <f t="shared" si="19"/>
        <v>10621104.603132632</v>
      </c>
      <c r="M44" s="19">
        <f t="shared" si="19"/>
        <v>10478966.606586076</v>
      </c>
      <c r="N44" s="19">
        <f t="shared" si="19"/>
        <v>10338730.78602</v>
      </c>
      <c r="O44" s="13">
        <f t="shared" si="13"/>
        <v>0.92234335232789766</v>
      </c>
      <c r="P44" s="5">
        <f t="shared" si="14"/>
        <v>30710.136039059937</v>
      </c>
    </row>
    <row r="46" spans="1:16" ht="13.2" x14ac:dyDescent="0.25">
      <c r="H46" s="51" t="s">
        <v>124</v>
      </c>
      <c r="I46" s="49"/>
      <c r="J46" s="49"/>
      <c r="K46" s="49"/>
      <c r="L46" s="49"/>
      <c r="M46" s="49"/>
      <c r="N46" s="50"/>
    </row>
    <row r="47" spans="1:16" ht="13.2" x14ac:dyDescent="0.25">
      <c r="H47" s="17">
        <v>2024</v>
      </c>
      <c r="I47" s="17">
        <v>2025</v>
      </c>
      <c r="J47" s="17">
        <v>2026</v>
      </c>
      <c r="K47" s="17">
        <v>2027</v>
      </c>
      <c r="L47" s="17">
        <v>2028</v>
      </c>
      <c r="M47" s="17">
        <v>2029</v>
      </c>
      <c r="N47" s="17">
        <v>2030</v>
      </c>
    </row>
    <row r="48" spans="1:16" ht="13.2" x14ac:dyDescent="0.25">
      <c r="G48" s="18" t="s">
        <v>125</v>
      </c>
      <c r="H48" s="21">
        <f t="shared" ref="H48:N48" si="20">((1000/(24*3600))*((H30/365)*$C$18*$B$7*$B$8/($B$6*$B$9))*($C$19/($C$19-1))*($B$15^((($C$19-1)/$C$19))-1))+((1000/(24*3600))*((H30/365)*$C$22*$B$7*$B$8/($B$6*$B$9))*($C$23/($C$23-1))*($B$15^((($C$23-1)/$C$23))-1))+((1000/(24*3600))*((H30/365)*$C$26*$B$7*$B$8/($B$6*$B$9))*($C$27/($C$27-1))*($B$15^((($C$27-1)/$C$27))-1))+((1000/(24*3600))*((H30/365)*$C$30*$B$7*$B$8/($B$6*$B$9))*($C$31/($C$31-1))*($B$15^((($C$31-1)/$C$31))-1))</f>
        <v>246233.32507890434</v>
      </c>
      <c r="I48" s="21">
        <f t="shared" si="20"/>
        <v>246233.32507890434</v>
      </c>
      <c r="J48" s="21">
        <f t="shared" si="20"/>
        <v>246233.32507890434</v>
      </c>
      <c r="K48" s="21">
        <f t="shared" si="20"/>
        <v>246233.32507890434</v>
      </c>
      <c r="L48" s="21">
        <f t="shared" si="20"/>
        <v>246233.32507890434</v>
      </c>
      <c r="M48" s="21">
        <f t="shared" si="20"/>
        <v>246233.32507890434</v>
      </c>
      <c r="N48" s="21">
        <f t="shared" si="20"/>
        <v>246233.32507890434</v>
      </c>
    </row>
    <row r="49" spans="7:14" ht="13.2" x14ac:dyDescent="0.25">
      <c r="G49" s="18" t="s">
        <v>126</v>
      </c>
      <c r="H49" s="21">
        <f t="shared" ref="H49:N49" si="21">((1000/(24*3600))*((H31/365)*$C$18*$B$7*$B$8/($B$6*$B$9))*($C$19/($C$19-1))*($B$15^((($C$19-1)/$C$19))-1))+((1000/(24*3600))*((H31/365)*$C$22*$B$7*$B$8/($B$6*$B$9))*($C$23/($C$23-1))*($B$15^((($C$23-1)/$C$23))-1))+((1000/(24*3600))*((H31/365)*$C$26*$B$7*$B$8/($B$6*$B$9))*($C$27/($C$27-1))*($B$15^((($C$27-1)/$C$27))-1))+((1000/(24*3600))*((H31/365)*$C$30*$B$7*$B$8/($B$6*$B$9))*($C$31/($C$31-1))*($B$15^((($C$31-1)/$C$31))-1))</f>
        <v>24052.354814016653</v>
      </c>
      <c r="I49" s="21">
        <f t="shared" si="21"/>
        <v>24052.354814016653</v>
      </c>
      <c r="J49" s="21">
        <f t="shared" si="21"/>
        <v>24052.354814016653</v>
      </c>
      <c r="K49" s="21">
        <f t="shared" si="21"/>
        <v>24052.354814016653</v>
      </c>
      <c r="L49" s="21">
        <f t="shared" si="21"/>
        <v>24052.354814016653</v>
      </c>
      <c r="M49" s="21">
        <f t="shared" si="21"/>
        <v>24052.354814016653</v>
      </c>
      <c r="N49" s="21">
        <f t="shared" si="21"/>
        <v>24052.354814016653</v>
      </c>
    </row>
    <row r="50" spans="7:14" ht="13.2" x14ac:dyDescent="0.25">
      <c r="G50" s="18" t="s">
        <v>127</v>
      </c>
      <c r="H50" s="21">
        <f t="shared" ref="H50:N50" si="22">((1000/(24*3600))*((H32/365)*$C$18*$B$7*$B$8/($B$6*$B$9))*($C$19/($C$19-1))*($B$15^((($C$19-1)/$C$19))-1))+((1000/(24*3600))*((H32/365)*$C$22*$B$7*$B$8/($B$6*$B$9))*($C$23/($C$23-1))*($B$15^((($C$23-1)/$C$23))-1))+((1000/(24*3600))*((H32/365)*$C$26*$B$7*$B$8/($B$6*$B$9))*($C$27/($C$27-1))*($B$15^((($C$27-1)/$C$27))-1))+((1000/(24*3600))*((H32/365)*$C$30*$B$7*$B$8/($B$6*$B$9))*($C$31/($C$31-1))*($B$15^((($C$31-1)/$C$31))-1))</f>
        <v>12870.84003077333</v>
      </c>
      <c r="I50" s="21">
        <f t="shared" si="22"/>
        <v>12870.84003077333</v>
      </c>
      <c r="J50" s="21">
        <f t="shared" si="22"/>
        <v>12870.84003077333</v>
      </c>
      <c r="K50" s="21">
        <f t="shared" si="22"/>
        <v>12870.84003077333</v>
      </c>
      <c r="L50" s="21">
        <f t="shared" si="22"/>
        <v>12870.84003077333</v>
      </c>
      <c r="M50" s="21">
        <f t="shared" si="22"/>
        <v>12870.84003077333</v>
      </c>
      <c r="N50" s="21">
        <f t="shared" si="22"/>
        <v>12870.84003077333</v>
      </c>
    </row>
    <row r="51" spans="7:14" ht="13.2" x14ac:dyDescent="0.25">
      <c r="G51" s="18" t="s">
        <v>128</v>
      </c>
      <c r="H51" s="21">
        <f t="shared" ref="H51:N51" si="23">((1000/(24*3600))*((H33/365)*$C$18*$B$7*$B$8/($B$6*$B$9))*($C$19/($C$19-1))*($B$15^((($C$19-1)/$C$19))-1))+((1000/(24*3600))*((H33/365)*$C$22*$B$7*$B$8/($B$6*$B$9))*($C$23/($C$23-1))*($B$15^((($C$23-1)/$C$23))-1))+((1000/(24*3600))*((H33/365)*$C$26*$B$7*$B$8/($B$6*$B$9))*($C$27/($C$27-1))*($B$15^((($C$27-1)/$C$27))-1))+((1000/(24*3600))*((H33/365)*$C$30*$B$7*$B$8/($B$6*$B$9))*($C$31/($C$31-1))*($B$15^((($C$31-1)/$C$31))-1))</f>
        <v>33357.911837954976</v>
      </c>
      <c r="I51" s="21">
        <f t="shared" si="23"/>
        <v>33357.911837954976</v>
      </c>
      <c r="J51" s="21">
        <f t="shared" si="23"/>
        <v>33357.911837954976</v>
      </c>
      <c r="K51" s="21">
        <f t="shared" si="23"/>
        <v>33357.911837954976</v>
      </c>
      <c r="L51" s="21">
        <f t="shared" si="23"/>
        <v>33357.911837954976</v>
      </c>
      <c r="M51" s="21">
        <f t="shared" si="23"/>
        <v>33357.911837954976</v>
      </c>
      <c r="N51" s="21">
        <f t="shared" si="23"/>
        <v>33357.911837954976</v>
      </c>
    </row>
    <row r="52" spans="7:14" ht="13.2" x14ac:dyDescent="0.25">
      <c r="G52" s="18" t="s">
        <v>129</v>
      </c>
      <c r="H52" s="21">
        <f t="shared" ref="H52:N52" si="24">((1000/(24*3600))*((H34/365)*$C$18*$B$7*$B$8/($B$6*$B$9))*($C$19/($C$19-1))*($B$15^((($C$19-1)/$C$19))-1))+((1000/(24*3600))*((H34/365)*$C$22*$B$7*$B$8/($B$6*$B$9))*($C$23/($C$23-1))*($B$15^((($C$23-1)/$C$23))-1))+((1000/(24*3600))*((H34/365)*$C$26*$B$7*$B$8/($B$6*$B$9))*($C$27/($C$27-1))*($B$15^((($C$27-1)/$C$27))-1))+((1000/(24*3600))*((H34/365)*$C$30*$B$7*$B$8/($B$6*$B$9))*($C$31/($C$31-1))*($B$15^((($C$31-1)/$C$31))-1))</f>
        <v>104171.16661224456</v>
      </c>
      <c r="I52" s="21">
        <f t="shared" si="24"/>
        <v>104171.16661224456</v>
      </c>
      <c r="J52" s="21">
        <f t="shared" si="24"/>
        <v>104171.16661224456</v>
      </c>
      <c r="K52" s="21">
        <f t="shared" si="24"/>
        <v>104171.16661224456</v>
      </c>
      <c r="L52" s="21">
        <f t="shared" si="24"/>
        <v>104171.16661224456</v>
      </c>
      <c r="M52" s="21">
        <f t="shared" si="24"/>
        <v>104171.16661224456</v>
      </c>
      <c r="N52" s="21">
        <f t="shared" si="24"/>
        <v>104171.16661224456</v>
      </c>
    </row>
    <row r="53" spans="7:14" ht="13.2" x14ac:dyDescent="0.25">
      <c r="G53" s="18" t="s">
        <v>130</v>
      </c>
      <c r="H53" s="21">
        <f t="shared" ref="H53:N53" si="25">((1000/(24*3600))*((H35/365)*$C$18*$B$7*$B$8/($B$6*$B$9))*($C$19/($C$19-1))*($B$15^((($C$19-1)/$C$19))-1))+((1000/(24*3600))*((H35/365)*$C$22*$B$7*$B$8/($B$6*$B$9))*($C$23/($C$23-1))*($B$15^((($C$23-1)/$C$23))-1))+((1000/(24*3600))*((H35/365)*$C$26*$B$7*$B$8/($B$6*$B$9))*($C$27/($C$27-1))*($B$15^((($C$27-1)/$C$27))-1))+((1000/(24*3600))*((H35/365)*$C$30*$B$7*$B$8/($B$6*$B$9))*($C$31/($C$31-1))*($B$15^((($C$31-1)/$C$31))-1))</f>
        <v>122049.0844867118</v>
      </c>
      <c r="I53" s="21">
        <f t="shared" si="25"/>
        <v>122049.0844867118</v>
      </c>
      <c r="J53" s="21">
        <f t="shared" si="25"/>
        <v>122049.0844867118</v>
      </c>
      <c r="K53" s="21">
        <f t="shared" si="25"/>
        <v>122049.0844867118</v>
      </c>
      <c r="L53" s="21">
        <f t="shared" si="25"/>
        <v>122049.0844867118</v>
      </c>
      <c r="M53" s="21">
        <f t="shared" si="25"/>
        <v>122049.0844867118</v>
      </c>
      <c r="N53" s="21">
        <f t="shared" si="25"/>
        <v>122049.0844867118</v>
      </c>
    </row>
    <row r="55" spans="7:14" ht="13.2" x14ac:dyDescent="0.25">
      <c r="H55" s="51" t="s">
        <v>131</v>
      </c>
      <c r="I55" s="49"/>
      <c r="J55" s="49"/>
      <c r="K55" s="49"/>
      <c r="L55" s="49"/>
      <c r="M55" s="49"/>
      <c r="N55" s="50"/>
    </row>
    <row r="56" spans="7:14" ht="13.2" x14ac:dyDescent="0.25">
      <c r="H56" s="17">
        <v>2024</v>
      </c>
      <c r="I56" s="17">
        <v>2025</v>
      </c>
      <c r="J56" s="17">
        <v>2026</v>
      </c>
      <c r="K56" s="17">
        <v>2027</v>
      </c>
      <c r="L56" s="17">
        <v>2028</v>
      </c>
      <c r="M56" s="17">
        <v>2029</v>
      </c>
      <c r="N56" s="17">
        <v>2030</v>
      </c>
    </row>
    <row r="57" spans="7:14" ht="13.2" x14ac:dyDescent="0.25">
      <c r="G57" s="18" t="s">
        <v>132</v>
      </c>
      <c r="H57" s="21">
        <f t="shared" ref="H57:N57" si="26">((1000/(24*3600))*((H39/365)*$C$18*$B$7*$B$8/($B$6*$B$9))*($C$19/($C$19-1))*($B$15^((($C$19-1)/$C$19))-1))+((1000/(24*3600))*((H39/365)*$C$22*$B$7*$B$8/($B$6*$B$9))*($C$23/($C$23-1))*($B$15^((($C$23-1)/$C$23))-1))+((1000/(24*3600))*((H39/365)*$C$26*$B$7*$B$8/($B$6*$B$9))*($C$27/($C$27-1))*($B$15^((($C$27-1)/$C$27))-1))+((1000/(24*3600))*((H39/365)*$C$30*$B$7*$B$8/($B$6*$B$9))*($C$31/($C$31-1))*($B$15^((($C$31-1)/$C$31))-1))</f>
        <v>242938.08293437358</v>
      </c>
      <c r="I57" s="21">
        <f t="shared" si="26"/>
        <v>239686.93969801298</v>
      </c>
      <c r="J57" s="21">
        <f t="shared" si="26"/>
        <v>236479.30521176552</v>
      </c>
      <c r="K57" s="21">
        <f t="shared" si="26"/>
        <v>233314.59721542316</v>
      </c>
      <c r="L57" s="21">
        <f t="shared" si="26"/>
        <v>230192.24124093386</v>
      </c>
      <c r="M57" s="21">
        <f t="shared" si="26"/>
        <v>227111.67050812166</v>
      </c>
      <c r="N57" s="21">
        <f t="shared" si="26"/>
        <v>224072.32582180292</v>
      </c>
    </row>
    <row r="58" spans="7:14" ht="13.2" x14ac:dyDescent="0.25">
      <c r="G58" s="18" t="s">
        <v>133</v>
      </c>
      <c r="H58" s="21">
        <f t="shared" ref="H58:N58" si="27">((1000/(24*3600))*((H40/365)*$C$18*$B$7*$B$8/($B$6*$B$9))*($C$19/($C$19-1))*($B$15^((($C$19-1)/$C$19))-1))+((1000/(24*3600))*((H40/365)*$C$22*$B$7*$B$8/($B$6*$B$9))*($C$23/($C$23-1))*($B$15^((($C$23-1)/$C$23))-1))+((1000/(24*3600))*((H40/365)*$C$26*$B$7*$B$8/($B$6*$B$9))*($C$27/($C$27-1))*($B$15^((($C$27-1)/$C$27))-1))+((1000/(24*3600))*((H40/365)*$C$30*$B$7*$B$8/($B$6*$B$9))*($C$31/($C$31-1))*($B$15^((($C$31-1)/$C$31))-1))</f>
        <v>23730.471765761682</v>
      </c>
      <c r="I58" s="21">
        <f t="shared" si="27"/>
        <v>23412.896349651463</v>
      </c>
      <c r="J58" s="21">
        <f t="shared" si="27"/>
        <v>23099.570918367222</v>
      </c>
      <c r="K58" s="21">
        <f t="shared" si="27"/>
        <v>22790.438596061173</v>
      </c>
      <c r="L58" s="21">
        <f t="shared" si="27"/>
        <v>22485.443268032293</v>
      </c>
      <c r="M58" s="21">
        <f t="shared" si="27"/>
        <v>22184.529570540162</v>
      </c>
      <c r="N58" s="21">
        <f t="shared" si="27"/>
        <v>21887.642880755153</v>
      </c>
    </row>
    <row r="59" spans="7:14" ht="13.2" x14ac:dyDescent="0.25">
      <c r="G59" s="18" t="s">
        <v>134</v>
      </c>
      <c r="H59" s="21">
        <f t="shared" ref="H59:N59" si="28">((1000/(24*3600))*((H41/365)*$C$18*$B$7*$B$8/($B$6*$B$9))*($C$19/($C$19-1))*($B$15^((($C$19-1)/$C$19))-1))+((1000/(24*3600))*((H41/365)*$C$22*$B$7*$B$8/($B$6*$B$9))*($C$23/($C$23-1))*($B$15^((($C$23-1)/$C$23))-1))+((1000/(24*3600))*((H41/365)*$C$26*$B$7*$B$8/($B$6*$B$9))*($C$27/($C$27-1))*($B$15^((($C$27-1)/$C$27))-1))+((1000/(24*3600))*((H41/365)*$C$30*$B$7*$B$8/($B$6*$B$9))*($C$31/($C$31-1))*($B$15^((($C$31-1)/$C$31))-1))</f>
        <v>12698.595046655351</v>
      </c>
      <c r="I59" s="21">
        <f t="shared" si="28"/>
        <v>12528.654826091546</v>
      </c>
      <c r="J59" s="21">
        <f t="shared" si="28"/>
        <v>12360.98884755681</v>
      </c>
      <c r="K59" s="21">
        <f t="shared" si="28"/>
        <v>12195.566675779324</v>
      </c>
      <c r="L59" s="21">
        <f t="shared" si="28"/>
        <v>12032.358282790341</v>
      </c>
      <c r="M59" s="21">
        <f t="shared" si="28"/>
        <v>11871.334042473401</v>
      </c>
      <c r="N59" s="21">
        <f t="shared" si="28"/>
        <v>11712.464725186532</v>
      </c>
    </row>
    <row r="60" spans="7:14" ht="13.2" x14ac:dyDescent="0.25">
      <c r="G60" s="18" t="s">
        <v>135</v>
      </c>
      <c r="H60" s="21">
        <f t="shared" ref="H60:N60" si="29">((1000/(24*3600))*((H42/365)*$C$18*$B$7*$B$8/($B$6*$B$9))*($C$19/($C$19-1))*($B$15^((($C$19-1)/$C$19))-1))+((1000/(24*3600))*((H42/365)*$C$22*$B$7*$B$8/($B$6*$B$9))*($C$23/($C$23-1))*($B$15^((($C$23-1)/$C$23))-1))+((1000/(24*3600))*((H42/365)*$C$26*$B$7*$B$8/($B$6*$B$9))*($C$27/($C$27-1))*($B$15^((($C$27-1)/$C$27))-1))+((1000/(24*3600))*((H42/365)*$C$30*$B$7*$B$8/($B$6*$B$9))*($C$31/($C$31-1))*($B$15^((($C$31-1)/$C$31))-1))</f>
        <v>32911.492293444906</v>
      </c>
      <c r="I60" s="21">
        <f t="shared" si="29"/>
        <v>32471.050950218902</v>
      </c>
      <c r="J60" s="21">
        <f t="shared" si="29"/>
        <v>32036.503857399202</v>
      </c>
      <c r="K60" s="21">
        <f t="shared" si="29"/>
        <v>31607.772134589155</v>
      </c>
      <c r="L60" s="21">
        <f t="shared" si="29"/>
        <v>31184.77795701694</v>
      </c>
      <c r="M60" s="21">
        <f t="shared" si="29"/>
        <v>30767.444541408524</v>
      </c>
      <c r="N60" s="21">
        <f t="shared" si="29"/>
        <v>30355.696132049747</v>
      </c>
    </row>
    <row r="61" spans="7:14" ht="13.2" x14ac:dyDescent="0.25">
      <c r="G61" s="18" t="s">
        <v>136</v>
      </c>
      <c r="H61" s="21">
        <f t="shared" ref="H61:N61" si="30">((1000/(24*3600))*((H43/365)*$C$18*$B$7*$B$8/($B$6*$B$9))*($C$19/($C$19-1))*($B$15^((($C$19-1)/$C$19))-1))+((1000/(24*3600))*((H43/365)*$C$22*$B$7*$B$8/($B$6*$B$9))*($C$23/($C$23-1))*($B$15^((($C$23-1)/$C$23))-1))+((1000/(24*3600))*((H43/365)*$C$26*$B$7*$B$8/($B$6*$B$9))*($C$27/($C$27-1))*($B$15^((($C$27-1)/$C$27))-1))+((1000/(24*3600))*((H43/365)*$C$30*$B$7*$B$8/($B$6*$B$9))*($C$31/($C$31-1))*($B$15^((($C$31-1)/$C$31))-1))</f>
        <v>102777.0855374932</v>
      </c>
      <c r="I61" s="21">
        <f t="shared" si="30"/>
        <v>101401.66089240643</v>
      </c>
      <c r="J61" s="21">
        <f t="shared" si="30"/>
        <v>100044.64300544489</v>
      </c>
      <c r="K61" s="21">
        <f t="shared" si="30"/>
        <v>98705.785546323808</v>
      </c>
      <c r="L61" s="21">
        <f t="shared" si="30"/>
        <v>97384.84548129802</v>
      </c>
      <c r="M61" s="21">
        <f t="shared" si="30"/>
        <v>96081.583029045607</v>
      </c>
      <c r="N61" s="21">
        <f t="shared" si="30"/>
        <v>94795.761617142547</v>
      </c>
    </row>
    <row r="62" spans="7:14" ht="13.2" x14ac:dyDescent="0.25">
      <c r="G62" s="18" t="s">
        <v>137</v>
      </c>
      <c r="H62" s="21">
        <f t="shared" ref="H62:N62" si="31">((1000/(24*3600))*((H44/365)*$C$18*$B$7*$B$8/($B$6*$B$9))*($C$19/($C$19-1))*($B$15^((($C$19-1)/$C$19))-1))+((1000/(24*3600))*((H44/365)*$C$22*$B$7*$B$8/($B$6*$B$9))*($C$23/($C$23-1))*($B$15^((($C$23-1)/$C$23))-1))+((1000/(24*3600))*((H44/365)*$C$26*$B$7*$B$8/($B$6*$B$9))*($C$27/($C$27-1))*($B$15^((($C$27-1)/$C$27))-1))+((1000/(24*3600))*((H44/365)*$C$30*$B$7*$B$8/($B$6*$B$9))*($C$31/($C$31-1))*($B$15^((($C$31-1)/$C$31))-1))</f>
        <v>120415.75038470459</v>
      </c>
      <c r="I62" s="21">
        <f t="shared" si="31"/>
        <v>118804.27453997146</v>
      </c>
      <c r="J62" s="21">
        <f t="shared" si="31"/>
        <v>117214.36443219442</v>
      </c>
      <c r="K62" s="21">
        <f t="shared" si="31"/>
        <v>115645.73145573768</v>
      </c>
      <c r="L62" s="21">
        <f t="shared" si="31"/>
        <v>114098.09086725958</v>
      </c>
      <c r="M62" s="21">
        <f t="shared" si="31"/>
        <v>112571.16173402463</v>
      </c>
      <c r="N62" s="21">
        <f t="shared" si="31"/>
        <v>111064.66688290775</v>
      </c>
    </row>
    <row r="100" spans="1:14" ht="13.2" x14ac:dyDescent="0.25">
      <c r="A100" s="1" t="s">
        <v>77</v>
      </c>
      <c r="B100" s="1">
        <v>9.3600000000000003E-2</v>
      </c>
      <c r="H100" s="51" t="s">
        <v>138</v>
      </c>
      <c r="I100" s="49"/>
      <c r="J100" s="49"/>
      <c r="K100" s="49"/>
      <c r="L100" s="49"/>
      <c r="M100" s="49"/>
      <c r="N100" s="50"/>
    </row>
    <row r="101" spans="1:14" ht="13.2" x14ac:dyDescent="0.25">
      <c r="A101" s="1" t="s">
        <v>92</v>
      </c>
      <c r="B101" s="1">
        <v>0.05</v>
      </c>
      <c r="H101" s="17">
        <v>2024</v>
      </c>
      <c r="I101" s="17">
        <v>2025</v>
      </c>
      <c r="J101" s="17">
        <v>2026</v>
      </c>
      <c r="K101" s="17">
        <v>2027</v>
      </c>
      <c r="L101" s="17">
        <v>2028</v>
      </c>
      <c r="M101" s="17">
        <v>2029</v>
      </c>
      <c r="N101" s="17">
        <v>2030</v>
      </c>
    </row>
    <row r="102" spans="1:14" ht="13.2" x14ac:dyDescent="0.25">
      <c r="A102" s="1" t="s">
        <v>93</v>
      </c>
      <c r="B102" s="8">
        <v>8.1500000000000003E-2</v>
      </c>
      <c r="G102" s="18" t="s">
        <v>125</v>
      </c>
      <c r="H102" s="21">
        <f t="shared" ref="H102:N102" si="32">(((1000*H30/365)/(24*3600*(ROUNDUP(H48/60000,0))))*(ROUNDUP(H48/60000,0)))*(((0.13*(10^6))/(((1000*H30/365)/(24*3600*(ROUNDUP(H48/60000,0))))^0.71))+(((1.14*(10^6))*(LN($B$4/$B$2)))/(((1000*H30/365)/(24*3600*(ROUNDUP(H48/60000,0))))^0.6)))*2.107</f>
        <v>384359115.44458789</v>
      </c>
      <c r="I102" s="21">
        <f t="shared" si="32"/>
        <v>384359115.44458789</v>
      </c>
      <c r="J102" s="21">
        <f t="shared" si="32"/>
        <v>384359115.44458789</v>
      </c>
      <c r="K102" s="21">
        <f t="shared" si="32"/>
        <v>384359115.44458789</v>
      </c>
      <c r="L102" s="21">
        <f t="shared" si="32"/>
        <v>384359115.44458789</v>
      </c>
      <c r="M102" s="21">
        <f t="shared" si="32"/>
        <v>384359115.44458789</v>
      </c>
      <c r="N102" s="21">
        <f t="shared" si="32"/>
        <v>384359115.44458789</v>
      </c>
    </row>
    <row r="103" spans="1:14" ht="13.2" x14ac:dyDescent="0.25">
      <c r="A103" s="1" t="s">
        <v>71</v>
      </c>
      <c r="B103" s="1">
        <v>0.8</v>
      </c>
      <c r="G103" s="18" t="s">
        <v>126</v>
      </c>
      <c r="H103" s="21">
        <f t="shared" ref="H103:N103" si="33">(((1000*H31/365)/(24*3600*(ROUNDUP(H49/60000,0))))*(ROUNDUP(H49/60000,0)))*(((0.13*(10^6))/(((1000*H31/365)/(24*3600*(ROUNDUP(H49/60000,0))))^0.71))+(((1.14*(10^6))*(LN($B$4/$B$2)))/(((1000*H31/365)/(24*3600*(ROUNDUP(H49/60000,0))))^0.6)))*2.107</f>
        <v>57785248.650321372</v>
      </c>
      <c r="I103" s="21">
        <f t="shared" si="33"/>
        <v>57785248.650321372</v>
      </c>
      <c r="J103" s="21">
        <f t="shared" si="33"/>
        <v>57785248.650321372</v>
      </c>
      <c r="K103" s="21">
        <f t="shared" si="33"/>
        <v>57785248.650321372</v>
      </c>
      <c r="L103" s="21">
        <f t="shared" si="33"/>
        <v>57785248.650321372</v>
      </c>
      <c r="M103" s="21">
        <f t="shared" si="33"/>
        <v>57785248.650321372</v>
      </c>
      <c r="N103" s="21">
        <f t="shared" si="33"/>
        <v>57785248.650321372</v>
      </c>
    </row>
    <row r="104" spans="1:14" ht="13.2" x14ac:dyDescent="0.25">
      <c r="D104" s="5"/>
      <c r="G104" s="18" t="s">
        <v>127</v>
      </c>
      <c r="H104" s="21">
        <f t="shared" ref="H104:N104" si="34">(((1000*H32/365)/(24*3600*(ROUNDUP(H50/60000,0))))*(ROUNDUP(H50/60000,0)))*(((0.13*(10^6))/(((1000*H32/365)/(24*3600*(ROUNDUP(H50/60000,0))))^0.71))+(((1.14*(10^6))*(LN($B$4/$B$2)))/(((1000*H32/365)/(24*3600*(ROUNDUP(H50/60000,0))))^0.6)))*2.107</f>
        <v>45050640.840402864</v>
      </c>
      <c r="I104" s="21">
        <f t="shared" si="34"/>
        <v>45050640.840402864</v>
      </c>
      <c r="J104" s="21">
        <f t="shared" si="34"/>
        <v>45050640.840402864</v>
      </c>
      <c r="K104" s="21">
        <f t="shared" si="34"/>
        <v>45050640.840402864</v>
      </c>
      <c r="L104" s="21">
        <f t="shared" si="34"/>
        <v>45050640.840402864</v>
      </c>
      <c r="M104" s="21">
        <f t="shared" si="34"/>
        <v>45050640.840402864</v>
      </c>
      <c r="N104" s="21">
        <f t="shared" si="34"/>
        <v>45050640.840402864</v>
      </c>
    </row>
    <row r="105" spans="1:14" ht="13.2" x14ac:dyDescent="0.25">
      <c r="G105" s="18" t="s">
        <v>128</v>
      </c>
      <c r="H105" s="21">
        <f t="shared" ref="H105:N105" si="35">(((1000*H33/365)/(24*3600*(ROUNDUP(H51/60000,0))))*(ROUNDUP(H51/60000,0)))*(((0.13*(10^6))/(((1000*H33/365)/(24*3600*(ROUNDUP(H51/60000,0))))^0.71))+(((1.14*(10^6))*(LN($B$4/$B$2)))/(((1000*H33/365)/(24*3600*(ROUNDUP(H51/60000,0))))^0.6)))*2.107</f>
        <v>65823806.868642457</v>
      </c>
      <c r="I105" s="21">
        <f t="shared" si="35"/>
        <v>65823806.868642457</v>
      </c>
      <c r="J105" s="21">
        <f t="shared" si="35"/>
        <v>65823806.868642457</v>
      </c>
      <c r="K105" s="21">
        <f t="shared" si="35"/>
        <v>65823806.868642457</v>
      </c>
      <c r="L105" s="21">
        <f t="shared" si="35"/>
        <v>65823806.868642457</v>
      </c>
      <c r="M105" s="21">
        <f t="shared" si="35"/>
        <v>65823806.868642457</v>
      </c>
      <c r="N105" s="21">
        <f t="shared" si="35"/>
        <v>65823806.868642457</v>
      </c>
    </row>
    <row r="106" spans="1:14" ht="13.2" x14ac:dyDescent="0.25">
      <c r="A106" s="1" t="s">
        <v>73</v>
      </c>
      <c r="B106" s="7">
        <f>(1000*H30/365)/(24*3600*B35)</f>
        <v>145.36556038305429</v>
      </c>
      <c r="C106" s="1" t="s">
        <v>74</v>
      </c>
      <c r="G106" s="18" t="s">
        <v>129</v>
      </c>
      <c r="H106" s="21">
        <f t="shared" ref="H106:N106" si="36">(((1000*H34/365)/(24*3600*(ROUNDUP(H52/60000,0))))*(ROUNDUP(H52/60000,0)))*(((0.13*(10^6))/(((1000*H34/365)/(24*3600*(ROUNDUP(H52/60000,0))))^0.71))+(((1.14*(10^6))*(LN($B$4/$B$2)))/(((1000*H34/365)/(24*3600*(ROUNDUP(H52/60000,0))))^0.6)))*2.107</f>
        <v>157214700.95260668</v>
      </c>
      <c r="I106" s="21">
        <f t="shared" si="36"/>
        <v>157214700.95260668</v>
      </c>
      <c r="J106" s="21">
        <f t="shared" si="36"/>
        <v>157214700.95260668</v>
      </c>
      <c r="K106" s="21">
        <f t="shared" si="36"/>
        <v>157214700.95260668</v>
      </c>
      <c r="L106" s="21">
        <f t="shared" si="36"/>
        <v>157214700.95260668</v>
      </c>
      <c r="M106" s="21">
        <f t="shared" si="36"/>
        <v>157214700.95260668</v>
      </c>
      <c r="N106" s="21">
        <f t="shared" si="36"/>
        <v>157214700.95260668</v>
      </c>
    </row>
    <row r="107" spans="1:14" ht="13.2" x14ac:dyDescent="0.25">
      <c r="A107" s="1" t="s">
        <v>88</v>
      </c>
      <c r="B107" s="5">
        <f>(B106*B35)*(((0.13*(10^6))/(B106^0.71))+(((1.14*(10^6))*(LN($B$4/$B$2)))/(B106^0.6)))*2.107</f>
        <v>384359115.44458789</v>
      </c>
      <c r="D107" s="5">
        <f>(B107/H48)</f>
        <v>1560.9549004848218</v>
      </c>
      <c r="G107" s="18" t="s">
        <v>130</v>
      </c>
      <c r="H107" s="21">
        <f t="shared" ref="H107:N107" si="37">(((1000*H35/365)/(24*3600*(ROUNDUP(H53/60000,0))))*(ROUNDUP(H53/60000,0)))*(((0.13*(10^6))/(((1000*H35/365)/(24*3600*(ROUNDUP(H53/60000,0))))^0.71))+(((1.14*(10^6))*(LN($B$4/$B$2)))/(((1000*H35/365)/(24*3600*(ROUNDUP(H53/60000,0))))^0.6)))*2.107</f>
        <v>213718562.79143429</v>
      </c>
      <c r="I107" s="21">
        <f t="shared" si="37"/>
        <v>213718562.79143429</v>
      </c>
      <c r="J107" s="21">
        <f t="shared" si="37"/>
        <v>213718562.79143429</v>
      </c>
      <c r="K107" s="21">
        <f t="shared" si="37"/>
        <v>213718562.79143429</v>
      </c>
      <c r="L107" s="21">
        <f t="shared" si="37"/>
        <v>213718562.79143429</v>
      </c>
      <c r="M107" s="21">
        <f t="shared" si="37"/>
        <v>213718562.79143429</v>
      </c>
      <c r="N107" s="21">
        <f t="shared" si="37"/>
        <v>213718562.79143429</v>
      </c>
    </row>
    <row r="109" spans="1:14" ht="13.2" x14ac:dyDescent="0.25">
      <c r="H109" s="51" t="s">
        <v>139</v>
      </c>
      <c r="I109" s="49"/>
      <c r="J109" s="49"/>
      <c r="K109" s="49"/>
      <c r="L109" s="49"/>
      <c r="M109" s="49"/>
      <c r="N109" s="50"/>
    </row>
    <row r="110" spans="1:14" ht="13.2" x14ac:dyDescent="0.25">
      <c r="H110" s="17">
        <v>2024</v>
      </c>
      <c r="I110" s="17">
        <v>2025</v>
      </c>
      <c r="J110" s="17">
        <v>2026</v>
      </c>
      <c r="K110" s="17">
        <v>2027</v>
      </c>
      <c r="L110" s="17">
        <v>2028</v>
      </c>
      <c r="M110" s="17">
        <v>2029</v>
      </c>
      <c r="N110" s="17">
        <v>2030</v>
      </c>
    </row>
    <row r="111" spans="1:14" ht="13.2" x14ac:dyDescent="0.25">
      <c r="B111" s="5"/>
      <c r="G111" s="18" t="s">
        <v>132</v>
      </c>
      <c r="H111" s="21">
        <f t="shared" ref="H111:N111" si="38">(((1000*H39/365)/(24*3600*(ROUNDUP(H57/60000,0))))*(ROUNDUP(H57/60000,0)))*(((0.13*(10^6))/(((1000*H39/365)/(24*3600*(ROUNDUP(H57/60000,0))))^0.71))+(((1.14*(10^6))*(LN($B$4/$B$2)))/(((1000*H39/365)/(24*3600*(ROUNDUP(H57/60000,0))))^0.6)))*2.107</f>
        <v>382301866.93222493</v>
      </c>
      <c r="I111" s="21">
        <f t="shared" si="38"/>
        <v>332483551.4860673</v>
      </c>
      <c r="J111" s="21">
        <f t="shared" si="38"/>
        <v>330703806.61102772</v>
      </c>
      <c r="K111" s="21">
        <f t="shared" si="38"/>
        <v>328933599.03500253</v>
      </c>
      <c r="L111" s="21">
        <f t="shared" si="38"/>
        <v>327172877.6082471</v>
      </c>
      <c r="M111" s="21">
        <f t="shared" si="38"/>
        <v>325421591.45550066</v>
      </c>
      <c r="N111" s="21">
        <f t="shared" si="38"/>
        <v>323679689.97451252</v>
      </c>
    </row>
    <row r="112" spans="1:14" ht="13.2" x14ac:dyDescent="0.25">
      <c r="C112" s="5"/>
      <c r="G112" s="18" t="s">
        <v>133</v>
      </c>
      <c r="H112" s="21">
        <f t="shared" ref="H112:N112" si="39">(((1000*H40/365)/(24*3600*(ROUNDUP(H58/60000,0))))*(ROUNDUP(H58/60000,0)))*(((0.13*(10^6))/(((1000*H40/365)/(24*3600*(ROUNDUP(H58/60000,0))))^0.71))+(((1.14*(10^6))*(LN($B$4/$B$2)))/(((1000*H40/365)/(24*3600*(ROUNDUP(H58/60000,0))))^0.6)))*2.107</f>
        <v>57476062.007101119</v>
      </c>
      <c r="I112" s="21">
        <f t="shared" si="39"/>
        <v>57168531.721057728</v>
      </c>
      <c r="J112" s="21">
        <f t="shared" si="39"/>
        <v>56862648.910942309</v>
      </c>
      <c r="K112" s="21">
        <f t="shared" si="39"/>
        <v>56558404.74315729</v>
      </c>
      <c r="L112" s="21">
        <f t="shared" si="39"/>
        <v>56255790.431501001</v>
      </c>
      <c r="M112" s="21">
        <f t="shared" si="39"/>
        <v>55954797.236912809</v>
      </c>
      <c r="N112" s="21">
        <f t="shared" si="39"/>
        <v>55655416.467220277</v>
      </c>
    </row>
    <row r="113" spans="3:14" ht="13.2" x14ac:dyDescent="0.25">
      <c r="C113" s="5"/>
      <c r="G113" s="18" t="s">
        <v>134</v>
      </c>
      <c r="H113" s="21">
        <f t="shared" ref="H113:N113" si="40">(((1000*H41/365)/(24*3600*(ROUNDUP(H59/60000,0))))*(ROUNDUP(H59/60000,0)))*(((0.13*(10^6))/(((1000*H41/365)/(24*3600*(ROUNDUP(H59/60000,0))))^0.71))+(((1.14*(10^6))*(LN($B$4/$B$2)))/(((1000*H41/365)/(24*3600*(ROUNDUP(H59/60000,0))))^0.6)))*2.107</f>
        <v>44809668.500102825</v>
      </c>
      <c r="I113" s="21">
        <f t="shared" si="40"/>
        <v>44569986.33342576</v>
      </c>
      <c r="J113" s="21">
        <f t="shared" si="40"/>
        <v>44331587.876327552</v>
      </c>
      <c r="K113" s="21">
        <f t="shared" si="40"/>
        <v>44094466.246846698</v>
      </c>
      <c r="L113" s="21">
        <f t="shared" si="40"/>
        <v>43858614.599941581</v>
      </c>
      <c r="M113" s="21">
        <f t="shared" si="40"/>
        <v>43624026.127292193</v>
      </c>
      <c r="N113" s="21">
        <f t="shared" si="40"/>
        <v>43390694.057103209</v>
      </c>
    </row>
    <row r="114" spans="3:14" ht="13.2" x14ac:dyDescent="0.25">
      <c r="G114" s="18" t="s">
        <v>135</v>
      </c>
      <c r="H114" s="21">
        <f t="shared" ref="H114:N114" si="41">(((1000*H42/365)/(24*3600*(ROUNDUP(H60/60000,0))))*(ROUNDUP(H60/60000,0)))*(((0.13*(10^6))/(((1000*H42/365)/(24*3600*(ROUNDUP(H60/60000,0))))^0.71))+(((1.14*(10^6))*(LN($B$4/$B$2)))/(((1000*H42/365)/(24*3600*(ROUNDUP(H60/60000,0))))^0.6)))*2.107</f>
        <v>65471550.757162742</v>
      </c>
      <c r="I114" s="21">
        <f t="shared" si="41"/>
        <v>65121185.075156644</v>
      </c>
      <c r="J114" s="21">
        <f t="shared" si="41"/>
        <v>64772696.558349505</v>
      </c>
      <c r="K114" s="21">
        <f t="shared" si="41"/>
        <v>64426075.140732236</v>
      </c>
      <c r="L114" s="21">
        <f t="shared" si="41"/>
        <v>64081310.810307063</v>
      </c>
      <c r="M114" s="21">
        <f t="shared" si="41"/>
        <v>63738393.608797632</v>
      </c>
      <c r="N114" s="21">
        <f t="shared" si="41"/>
        <v>63397313.631360546</v>
      </c>
    </row>
    <row r="115" spans="3:14" ht="13.2" x14ac:dyDescent="0.25">
      <c r="G115" s="18" t="s">
        <v>136</v>
      </c>
      <c r="H115" s="21">
        <f t="shared" ref="H115:N115" si="42">(((1000*H43/365)/(24*3600*(ROUNDUP(H61/60000,0))))*(ROUNDUP(H61/60000,0)))*(((0.13*(10^6))/(((1000*H43/365)/(24*3600*(ROUNDUP(H61/60000,0))))^0.71))+(((1.14*(10^6))*(LN($B$4/$B$2)))/(((1000*H43/365)/(24*3600*(ROUNDUP(H61/60000,0))))^0.6)))*2.107</f>
        <v>156373201.83162341</v>
      </c>
      <c r="I115" s="21">
        <f t="shared" si="42"/>
        <v>155536211.93175784</v>
      </c>
      <c r="J115" s="21">
        <f t="shared" si="42"/>
        <v>154703707.07028833</v>
      </c>
      <c r="K115" s="21">
        <f t="shared" si="42"/>
        <v>153875663.19426146</v>
      </c>
      <c r="L115" s="21">
        <f t="shared" si="42"/>
        <v>153052056.37979507</v>
      </c>
      <c r="M115" s="21">
        <f t="shared" si="42"/>
        <v>152232862.83138606</v>
      </c>
      <c r="N115" s="21">
        <f t="shared" si="42"/>
        <v>151418058.88122031</v>
      </c>
    </row>
    <row r="116" spans="3:14" ht="13.2" x14ac:dyDescent="0.25">
      <c r="G116" s="18" t="s">
        <v>137</v>
      </c>
      <c r="H116" s="21">
        <f t="shared" ref="H116:N116" si="43">(((1000*H44/365)/(24*3600*(ROUNDUP(H62/60000,0))))*(ROUNDUP(H62/60000,0)))*(((0.13*(10^6))/(((1000*H44/365)/(24*3600*(ROUNDUP(H62/60000,0))))^0.71))+(((1.14*(10^6))*(LN($B$4/$B$2)))/(((1000*H44/365)/(24*3600*(ROUNDUP(H62/60000,0))))^0.6)))*2.107</f>
        <v>212574752.42641139</v>
      </c>
      <c r="I116" s="21">
        <f t="shared" si="43"/>
        <v>165666004.77766851</v>
      </c>
      <c r="J116" s="21">
        <f t="shared" si="43"/>
        <v>164779217.78466976</v>
      </c>
      <c r="K116" s="21">
        <f t="shared" si="43"/>
        <v>163897182.89353853</v>
      </c>
      <c r="L116" s="21">
        <f t="shared" si="43"/>
        <v>163019874.61820176</v>
      </c>
      <c r="M116" s="21">
        <f t="shared" si="43"/>
        <v>162147267.60935181</v>
      </c>
      <c r="N116" s="21">
        <f t="shared" si="43"/>
        <v>161279336.65371174</v>
      </c>
    </row>
    <row r="118" spans="3:14" ht="13.2" x14ac:dyDescent="0.25">
      <c r="H118" s="51" t="s">
        <v>140</v>
      </c>
      <c r="I118" s="49"/>
      <c r="J118" s="49"/>
      <c r="K118" s="49"/>
      <c r="L118" s="49"/>
      <c r="M118" s="49"/>
      <c r="N118" s="50"/>
    </row>
    <row r="119" spans="3:14" ht="13.2" x14ac:dyDescent="0.25">
      <c r="H119" s="17">
        <v>2024</v>
      </c>
      <c r="I119" s="17">
        <v>2025</v>
      </c>
      <c r="J119" s="17">
        <v>2026</v>
      </c>
      <c r="K119" s="17">
        <v>2027</v>
      </c>
      <c r="L119" s="17">
        <v>2028</v>
      </c>
      <c r="M119" s="17">
        <v>2029</v>
      </c>
      <c r="N119" s="17">
        <v>2030</v>
      </c>
    </row>
    <row r="120" spans="3:14" ht="13.2" x14ac:dyDescent="0.25">
      <c r="G120" s="18" t="s">
        <v>125</v>
      </c>
      <c r="H120" s="21">
        <f t="shared" ref="H120:N120" si="44">H102/H48</f>
        <v>1560.9549004848218</v>
      </c>
      <c r="I120" s="21">
        <f t="shared" si="44"/>
        <v>1560.9549004848218</v>
      </c>
      <c r="J120" s="21">
        <f t="shared" si="44"/>
        <v>1560.9549004848218</v>
      </c>
      <c r="K120" s="21">
        <f t="shared" si="44"/>
        <v>1560.9549004848218</v>
      </c>
      <c r="L120" s="21">
        <f t="shared" si="44"/>
        <v>1560.9549004848218</v>
      </c>
      <c r="M120" s="21">
        <f t="shared" si="44"/>
        <v>1560.9549004848218</v>
      </c>
      <c r="N120" s="21">
        <f t="shared" si="44"/>
        <v>1560.9549004848218</v>
      </c>
    </row>
    <row r="121" spans="3:14" ht="13.2" x14ac:dyDescent="0.25">
      <c r="G121" s="18" t="s">
        <v>126</v>
      </c>
      <c r="H121" s="21">
        <f t="shared" ref="H121:N121" si="45">H103/H49</f>
        <v>2402.4778071478754</v>
      </c>
      <c r="I121" s="21">
        <f t="shared" si="45"/>
        <v>2402.4778071478754</v>
      </c>
      <c r="J121" s="21">
        <f t="shared" si="45"/>
        <v>2402.4778071478754</v>
      </c>
      <c r="K121" s="21">
        <f t="shared" si="45"/>
        <v>2402.4778071478754</v>
      </c>
      <c r="L121" s="21">
        <f t="shared" si="45"/>
        <v>2402.4778071478754</v>
      </c>
      <c r="M121" s="21">
        <f t="shared" si="45"/>
        <v>2402.4778071478754</v>
      </c>
      <c r="N121" s="21">
        <f t="shared" si="45"/>
        <v>2402.4778071478754</v>
      </c>
    </row>
    <row r="122" spans="3:14" ht="13.2" x14ac:dyDescent="0.25">
      <c r="G122" s="18" t="s">
        <v>127</v>
      </c>
      <c r="H122" s="21">
        <f t="shared" ref="H122:N122" si="46">H104/H50</f>
        <v>3500.2098334444181</v>
      </c>
      <c r="I122" s="21">
        <f t="shared" si="46"/>
        <v>3500.2098334444181</v>
      </c>
      <c r="J122" s="21">
        <f t="shared" si="46"/>
        <v>3500.2098334444181</v>
      </c>
      <c r="K122" s="21">
        <f t="shared" si="46"/>
        <v>3500.2098334444181</v>
      </c>
      <c r="L122" s="21">
        <f t="shared" si="46"/>
        <v>3500.2098334444181</v>
      </c>
      <c r="M122" s="21">
        <f t="shared" si="46"/>
        <v>3500.2098334444181</v>
      </c>
      <c r="N122" s="21">
        <f t="shared" si="46"/>
        <v>3500.2098334444181</v>
      </c>
    </row>
    <row r="123" spans="3:14" ht="13.2" x14ac:dyDescent="0.25">
      <c r="G123" s="18" t="s">
        <v>128</v>
      </c>
      <c r="H123" s="21">
        <f t="shared" ref="H123:N123" si="47">H105/H51</f>
        <v>1973.2592132385053</v>
      </c>
      <c r="I123" s="21">
        <f t="shared" si="47"/>
        <v>1973.2592132385053</v>
      </c>
      <c r="J123" s="21">
        <f t="shared" si="47"/>
        <v>1973.2592132385053</v>
      </c>
      <c r="K123" s="21">
        <f t="shared" si="47"/>
        <v>1973.2592132385053</v>
      </c>
      <c r="L123" s="21">
        <f t="shared" si="47"/>
        <v>1973.2592132385053</v>
      </c>
      <c r="M123" s="21">
        <f t="shared" si="47"/>
        <v>1973.2592132385053</v>
      </c>
      <c r="N123" s="21">
        <f t="shared" si="47"/>
        <v>1973.2592132385053</v>
      </c>
    </row>
    <row r="124" spans="3:14" ht="13.2" x14ac:dyDescent="0.25">
      <c r="G124" s="18" t="s">
        <v>129</v>
      </c>
      <c r="H124" s="21">
        <f t="shared" ref="H124:N124" si="48">H106/H52</f>
        <v>1509.1959326692156</v>
      </c>
      <c r="I124" s="21">
        <f t="shared" si="48"/>
        <v>1509.1959326692156</v>
      </c>
      <c r="J124" s="21">
        <f t="shared" si="48"/>
        <v>1509.1959326692156</v>
      </c>
      <c r="K124" s="21">
        <f t="shared" si="48"/>
        <v>1509.1959326692156</v>
      </c>
      <c r="L124" s="21">
        <f t="shared" si="48"/>
        <v>1509.1959326692156</v>
      </c>
      <c r="M124" s="21">
        <f t="shared" si="48"/>
        <v>1509.1959326692156</v>
      </c>
      <c r="N124" s="21">
        <f t="shared" si="48"/>
        <v>1509.1959326692156</v>
      </c>
    </row>
    <row r="125" spans="3:14" ht="13.2" x14ac:dyDescent="0.25">
      <c r="G125" s="18" t="s">
        <v>130</v>
      </c>
      <c r="H125" s="21">
        <f t="shared" ref="H125:N125" si="49">H107/H53</f>
        <v>1751.0869802116629</v>
      </c>
      <c r="I125" s="21">
        <f t="shared" si="49"/>
        <v>1751.0869802116629</v>
      </c>
      <c r="J125" s="21">
        <f t="shared" si="49"/>
        <v>1751.0869802116629</v>
      </c>
      <c r="K125" s="21">
        <f t="shared" si="49"/>
        <v>1751.0869802116629</v>
      </c>
      <c r="L125" s="21">
        <f t="shared" si="49"/>
        <v>1751.0869802116629</v>
      </c>
      <c r="M125" s="21">
        <f t="shared" si="49"/>
        <v>1751.0869802116629</v>
      </c>
      <c r="N125" s="21">
        <f t="shared" si="49"/>
        <v>1751.0869802116629</v>
      </c>
    </row>
    <row r="127" spans="3:14" ht="13.2" x14ac:dyDescent="0.25">
      <c r="H127" s="51" t="s">
        <v>141</v>
      </c>
      <c r="I127" s="49"/>
      <c r="J127" s="49"/>
      <c r="K127" s="49"/>
      <c r="L127" s="49"/>
      <c r="M127" s="49"/>
      <c r="N127" s="50"/>
    </row>
    <row r="128" spans="3:14" ht="13.2" x14ac:dyDescent="0.25">
      <c r="H128" s="17">
        <v>2024</v>
      </c>
      <c r="I128" s="17">
        <v>2025</v>
      </c>
      <c r="J128" s="17">
        <v>2026</v>
      </c>
      <c r="K128" s="17">
        <v>2027</v>
      </c>
      <c r="L128" s="17">
        <v>2028</v>
      </c>
      <c r="M128" s="17">
        <v>2029</v>
      </c>
      <c r="N128" s="17">
        <v>2030</v>
      </c>
    </row>
    <row r="129" spans="7:14" ht="13.2" x14ac:dyDescent="0.25">
      <c r="G129" s="18" t="s">
        <v>132</v>
      </c>
      <c r="H129" s="21">
        <f t="shared" ref="H129:N129" si="50">H111/H57</f>
        <v>1573.6596844534192</v>
      </c>
      <c r="I129" s="21">
        <f t="shared" si="50"/>
        <v>1387.1575643836534</v>
      </c>
      <c r="J129" s="21">
        <f t="shared" si="50"/>
        <v>1398.4471339463926</v>
      </c>
      <c r="K129" s="21">
        <f t="shared" si="50"/>
        <v>1409.8286303590889</v>
      </c>
      <c r="L129" s="21">
        <f t="shared" si="50"/>
        <v>1421.3028025814613</v>
      </c>
      <c r="M129" s="21">
        <f t="shared" si="50"/>
        <v>1432.8704056794095</v>
      </c>
      <c r="N129" s="21">
        <f t="shared" si="50"/>
        <v>1444.5322008748369</v>
      </c>
    </row>
    <row r="130" spans="7:14" ht="13.2" x14ac:dyDescent="0.25">
      <c r="G130" s="18" t="s">
        <v>133</v>
      </c>
      <c r="H130" s="21">
        <f t="shared" ref="H130:N130" si="51">H112/H58</f>
        <v>2422.0362146372313</v>
      </c>
      <c r="I130" s="21">
        <f t="shared" si="51"/>
        <v>2441.7539319909374</v>
      </c>
      <c r="J130" s="21">
        <f t="shared" si="51"/>
        <v>2461.6322576679968</v>
      </c>
      <c r="K130" s="21">
        <f t="shared" si="51"/>
        <v>2481.6725007184446</v>
      </c>
      <c r="L130" s="21">
        <f t="shared" si="51"/>
        <v>2501.8759808698205</v>
      </c>
      <c r="M130" s="21">
        <f t="shared" si="51"/>
        <v>2522.2440286143237</v>
      </c>
      <c r="N130" s="21">
        <f t="shared" si="51"/>
        <v>2542.7779852967014</v>
      </c>
    </row>
    <row r="131" spans="7:14" ht="13.2" x14ac:dyDescent="0.25">
      <c r="G131" s="18" t="s">
        <v>134</v>
      </c>
      <c r="H131" s="21">
        <f t="shared" ref="H131:N131" si="52">H113/H59</f>
        <v>3528.7107223649218</v>
      </c>
      <c r="I131" s="21">
        <f t="shared" si="52"/>
        <v>3557.4438718358297</v>
      </c>
      <c r="J131" s="21">
        <f t="shared" si="52"/>
        <v>3586.4111215576281</v>
      </c>
      <c r="K131" s="21">
        <f t="shared" si="52"/>
        <v>3615.6143801353096</v>
      </c>
      <c r="L131" s="21">
        <f t="shared" si="52"/>
        <v>3645.0555717470402</v>
      </c>
      <c r="M131" s="21">
        <f t="shared" si="52"/>
        <v>3674.7366362713433</v>
      </c>
      <c r="N131" s="21">
        <f t="shared" si="52"/>
        <v>3704.6595294153317</v>
      </c>
    </row>
    <row r="132" spans="7:14" ht="13.2" x14ac:dyDescent="0.25">
      <c r="G132" s="18" t="s">
        <v>135</v>
      </c>
      <c r="H132" s="21">
        <f t="shared" ref="H132:N132" si="53">H114/H60</f>
        <v>1989.3218506595319</v>
      </c>
      <c r="I132" s="21">
        <f t="shared" si="53"/>
        <v>2005.5151641070502</v>
      </c>
      <c r="J132" s="21">
        <f t="shared" si="53"/>
        <v>2021.8403620652725</v>
      </c>
      <c r="K132" s="21">
        <f t="shared" si="53"/>
        <v>2038.2985193135207</v>
      </c>
      <c r="L132" s="21">
        <f t="shared" si="53"/>
        <v>2054.8907193962564</v>
      </c>
      <c r="M132" s="21">
        <f t="shared" si="53"/>
        <v>2071.6180546946298</v>
      </c>
      <c r="N132" s="21">
        <f t="shared" si="53"/>
        <v>2088.4816264986011</v>
      </c>
    </row>
    <row r="133" spans="7:14" ht="13.2" x14ac:dyDescent="0.25">
      <c r="G133" s="18" t="s">
        <v>136</v>
      </c>
      <c r="H133" s="21">
        <f t="shared" ref="H133:N133" si="54">H115/H61</f>
        <v>1521.4792384298373</v>
      </c>
      <c r="I133" s="21">
        <f t="shared" si="54"/>
        <v>1533.8625675647618</v>
      </c>
      <c r="J133" s="21">
        <f t="shared" si="54"/>
        <v>1546.3467350457599</v>
      </c>
      <c r="K133" s="21">
        <f t="shared" si="54"/>
        <v>1558.9325624894173</v>
      </c>
      <c r="L133" s="21">
        <f t="shared" si="54"/>
        <v>1571.6208782113588</v>
      </c>
      <c r="M133" s="21">
        <f t="shared" si="54"/>
        <v>1584.412517280922</v>
      </c>
      <c r="N133" s="21">
        <f t="shared" si="54"/>
        <v>1597.3083215762506</v>
      </c>
    </row>
    <row r="134" spans="7:14" ht="13.2" x14ac:dyDescent="0.25">
      <c r="G134" s="18" t="s">
        <v>137</v>
      </c>
      <c r="H134" s="21">
        <f t="shared" ref="H134:N134" si="55">H116/H62</f>
        <v>1765.3400966840049</v>
      </c>
      <c r="I134" s="21">
        <f t="shared" si="55"/>
        <v>1394.4448162252825</v>
      </c>
      <c r="J134" s="21">
        <f t="shared" si="55"/>
        <v>1405.7937231745211</v>
      </c>
      <c r="K134" s="21">
        <f t="shared" si="55"/>
        <v>1417.2350404153797</v>
      </c>
      <c r="L134" s="21">
        <f t="shared" si="55"/>
        <v>1428.7695208490143</v>
      </c>
      <c r="M134" s="21">
        <f t="shared" si="55"/>
        <v>1440.3979235149245</v>
      </c>
      <c r="N134" s="21">
        <f t="shared" si="55"/>
        <v>1452.1210136410336</v>
      </c>
    </row>
    <row r="168" spans="7:32" ht="13.2" x14ac:dyDescent="0.25">
      <c r="H168" s="51" t="s">
        <v>142</v>
      </c>
      <c r="I168" s="49"/>
      <c r="J168" s="49"/>
      <c r="K168" s="49"/>
      <c r="L168" s="49"/>
      <c r="M168" s="49"/>
      <c r="N168" s="50"/>
      <c r="Q168" s="51" t="s">
        <v>143</v>
      </c>
      <c r="R168" s="49"/>
      <c r="S168" s="49"/>
      <c r="T168" s="49"/>
      <c r="U168" s="49"/>
      <c r="V168" s="49"/>
      <c r="W168" s="50"/>
      <c r="Z168" s="51" t="s">
        <v>144</v>
      </c>
      <c r="AA168" s="49"/>
      <c r="AB168" s="49"/>
      <c r="AC168" s="49"/>
      <c r="AD168" s="49"/>
      <c r="AE168" s="49"/>
      <c r="AF168" s="50"/>
    </row>
    <row r="169" spans="7:32" ht="13.2" x14ac:dyDescent="0.25">
      <c r="H169" s="17">
        <v>2024</v>
      </c>
      <c r="I169" s="17">
        <v>2025</v>
      </c>
      <c r="J169" s="17">
        <v>2026</v>
      </c>
      <c r="K169" s="17">
        <v>2027</v>
      </c>
      <c r="L169" s="17">
        <v>2028</v>
      </c>
      <c r="M169" s="17">
        <v>2029</v>
      </c>
      <c r="N169" s="17">
        <v>2030</v>
      </c>
      <c r="Q169" s="17">
        <v>2024</v>
      </c>
      <c r="R169" s="17">
        <v>2025</v>
      </c>
      <c r="S169" s="17">
        <v>2026</v>
      </c>
      <c r="T169" s="17">
        <v>2027</v>
      </c>
      <c r="U169" s="17">
        <v>2028</v>
      </c>
      <c r="V169" s="17">
        <v>2029</v>
      </c>
      <c r="W169" s="17">
        <v>2030</v>
      </c>
      <c r="Z169" s="17">
        <v>2024</v>
      </c>
      <c r="AA169" s="17">
        <v>2025</v>
      </c>
      <c r="AB169" s="17">
        <v>2026</v>
      </c>
      <c r="AC169" s="17">
        <v>2027</v>
      </c>
      <c r="AD169" s="17">
        <v>2028</v>
      </c>
      <c r="AE169" s="17">
        <v>2029</v>
      </c>
      <c r="AF169" s="17">
        <v>2030</v>
      </c>
    </row>
    <row r="170" spans="7:32" ht="13.2" x14ac:dyDescent="0.25">
      <c r="G170" s="18" t="s">
        <v>125</v>
      </c>
      <c r="H170" s="21">
        <f t="shared" ref="H170:N170" si="56">H102*$B$100</f>
        <v>35976013.205613427</v>
      </c>
      <c r="I170" s="21">
        <f t="shared" si="56"/>
        <v>35976013.205613427</v>
      </c>
      <c r="J170" s="21">
        <f t="shared" si="56"/>
        <v>35976013.205613427</v>
      </c>
      <c r="K170" s="21">
        <f t="shared" si="56"/>
        <v>35976013.205613427</v>
      </c>
      <c r="L170" s="21">
        <f t="shared" si="56"/>
        <v>35976013.205613427</v>
      </c>
      <c r="M170" s="21">
        <f t="shared" si="56"/>
        <v>35976013.205613427</v>
      </c>
      <c r="N170" s="21">
        <f t="shared" si="56"/>
        <v>35976013.205613427</v>
      </c>
      <c r="P170" s="18" t="s">
        <v>125</v>
      </c>
      <c r="Q170" s="21">
        <f t="shared" ref="Q170:W170" si="57">H102*$B$101</f>
        <v>19217955.772229396</v>
      </c>
      <c r="R170" s="21">
        <f t="shared" si="57"/>
        <v>19217955.772229396</v>
      </c>
      <c r="S170" s="21">
        <f t="shared" si="57"/>
        <v>19217955.772229396</v>
      </c>
      <c r="T170" s="21">
        <f t="shared" si="57"/>
        <v>19217955.772229396</v>
      </c>
      <c r="U170" s="21">
        <f t="shared" si="57"/>
        <v>19217955.772229396</v>
      </c>
      <c r="V170" s="21">
        <f t="shared" si="57"/>
        <v>19217955.772229396</v>
      </c>
      <c r="W170" s="21">
        <f t="shared" si="57"/>
        <v>19217955.772229396</v>
      </c>
      <c r="Y170" s="18" t="s">
        <v>125</v>
      </c>
      <c r="Z170" s="21">
        <f t="shared" ref="Z170:AF170" si="58">H48*$B$102*$B$103*24*365</f>
        <v>140636656.08546638</v>
      </c>
      <c r="AA170" s="21">
        <f t="shared" si="58"/>
        <v>140636656.08546638</v>
      </c>
      <c r="AB170" s="21">
        <f t="shared" si="58"/>
        <v>140636656.08546638</v>
      </c>
      <c r="AC170" s="21">
        <f t="shared" si="58"/>
        <v>140636656.08546638</v>
      </c>
      <c r="AD170" s="21">
        <f t="shared" si="58"/>
        <v>140636656.08546638</v>
      </c>
      <c r="AE170" s="21">
        <f t="shared" si="58"/>
        <v>140636656.08546638</v>
      </c>
      <c r="AF170" s="21">
        <f t="shared" si="58"/>
        <v>140636656.08546638</v>
      </c>
    </row>
    <row r="171" spans="7:32" ht="13.2" x14ac:dyDescent="0.25">
      <c r="G171" s="18" t="s">
        <v>126</v>
      </c>
      <c r="H171" s="21">
        <f t="shared" ref="H171:N171" si="59">H103*$B$100</f>
        <v>5408699.2736700801</v>
      </c>
      <c r="I171" s="21">
        <f t="shared" si="59"/>
        <v>5408699.2736700801</v>
      </c>
      <c r="J171" s="21">
        <f t="shared" si="59"/>
        <v>5408699.2736700801</v>
      </c>
      <c r="K171" s="21">
        <f t="shared" si="59"/>
        <v>5408699.2736700801</v>
      </c>
      <c r="L171" s="21">
        <f t="shared" si="59"/>
        <v>5408699.2736700801</v>
      </c>
      <c r="M171" s="21">
        <f t="shared" si="59"/>
        <v>5408699.2736700801</v>
      </c>
      <c r="N171" s="21">
        <f t="shared" si="59"/>
        <v>5408699.2736700801</v>
      </c>
      <c r="P171" s="18" t="s">
        <v>126</v>
      </c>
      <c r="Q171" s="21">
        <f t="shared" ref="Q171:W171" si="60">H103*$B$101</f>
        <v>2889262.4325160687</v>
      </c>
      <c r="R171" s="21">
        <f t="shared" si="60"/>
        <v>2889262.4325160687</v>
      </c>
      <c r="S171" s="21">
        <f t="shared" si="60"/>
        <v>2889262.4325160687</v>
      </c>
      <c r="T171" s="21">
        <f t="shared" si="60"/>
        <v>2889262.4325160687</v>
      </c>
      <c r="U171" s="21">
        <f t="shared" si="60"/>
        <v>2889262.4325160687</v>
      </c>
      <c r="V171" s="21">
        <f t="shared" si="60"/>
        <v>2889262.4325160687</v>
      </c>
      <c r="W171" s="21">
        <f t="shared" si="60"/>
        <v>2889262.4325160687</v>
      </c>
      <c r="Y171" s="18" t="s">
        <v>126</v>
      </c>
      <c r="Z171" s="21">
        <f t="shared" ref="Z171:AF171" si="61">H49*$B$102*$B$103*24*365</f>
        <v>13737550.556735242</v>
      </c>
      <c r="AA171" s="21">
        <f t="shared" si="61"/>
        <v>13737550.556735242</v>
      </c>
      <c r="AB171" s="21">
        <f t="shared" si="61"/>
        <v>13737550.556735242</v>
      </c>
      <c r="AC171" s="21">
        <f t="shared" si="61"/>
        <v>13737550.556735242</v>
      </c>
      <c r="AD171" s="21">
        <f t="shared" si="61"/>
        <v>13737550.556735242</v>
      </c>
      <c r="AE171" s="21">
        <f t="shared" si="61"/>
        <v>13737550.556735242</v>
      </c>
      <c r="AF171" s="21">
        <f t="shared" si="61"/>
        <v>13737550.556735242</v>
      </c>
    </row>
    <row r="172" spans="7:32" ht="13.2" x14ac:dyDescent="0.25">
      <c r="G172" s="18" t="s">
        <v>127</v>
      </c>
      <c r="H172" s="21">
        <f t="shared" ref="H172:N172" si="62">H104*$B$100</f>
        <v>4216739.9826617083</v>
      </c>
      <c r="I172" s="21">
        <f t="shared" si="62"/>
        <v>4216739.9826617083</v>
      </c>
      <c r="J172" s="21">
        <f t="shared" si="62"/>
        <v>4216739.9826617083</v>
      </c>
      <c r="K172" s="21">
        <f t="shared" si="62"/>
        <v>4216739.9826617083</v>
      </c>
      <c r="L172" s="21">
        <f t="shared" si="62"/>
        <v>4216739.9826617083</v>
      </c>
      <c r="M172" s="21">
        <f t="shared" si="62"/>
        <v>4216739.9826617083</v>
      </c>
      <c r="N172" s="21">
        <f t="shared" si="62"/>
        <v>4216739.9826617083</v>
      </c>
      <c r="P172" s="18" t="s">
        <v>127</v>
      </c>
      <c r="Q172" s="21">
        <f t="shared" ref="Q172:W172" si="63">H104*$B$101</f>
        <v>2252532.0420201435</v>
      </c>
      <c r="R172" s="21">
        <f t="shared" si="63"/>
        <v>2252532.0420201435</v>
      </c>
      <c r="S172" s="21">
        <f t="shared" si="63"/>
        <v>2252532.0420201435</v>
      </c>
      <c r="T172" s="21">
        <f t="shared" si="63"/>
        <v>2252532.0420201435</v>
      </c>
      <c r="U172" s="21">
        <f t="shared" si="63"/>
        <v>2252532.0420201435</v>
      </c>
      <c r="V172" s="21">
        <f t="shared" si="63"/>
        <v>2252532.0420201435</v>
      </c>
      <c r="W172" s="21">
        <f t="shared" si="63"/>
        <v>2252532.0420201435</v>
      </c>
      <c r="Y172" s="18" t="s">
        <v>127</v>
      </c>
      <c r="Z172" s="21">
        <f t="shared" ref="Z172:AF172" si="64">H50*$B$102*$B$103*24*365</f>
        <v>7351206.0252562491</v>
      </c>
      <c r="AA172" s="21">
        <f t="shared" si="64"/>
        <v>7351206.0252562491</v>
      </c>
      <c r="AB172" s="21">
        <f t="shared" si="64"/>
        <v>7351206.0252562491</v>
      </c>
      <c r="AC172" s="21">
        <f t="shared" si="64"/>
        <v>7351206.0252562491</v>
      </c>
      <c r="AD172" s="21">
        <f t="shared" si="64"/>
        <v>7351206.0252562491</v>
      </c>
      <c r="AE172" s="21">
        <f t="shared" si="64"/>
        <v>7351206.0252562491</v>
      </c>
      <c r="AF172" s="21">
        <f t="shared" si="64"/>
        <v>7351206.0252562491</v>
      </c>
    </row>
    <row r="173" spans="7:32" ht="13.2" x14ac:dyDescent="0.25">
      <c r="G173" s="18" t="s">
        <v>128</v>
      </c>
      <c r="H173" s="21">
        <f t="shared" ref="H173:N173" si="65">H105*$B$100</f>
        <v>6161108.3229049342</v>
      </c>
      <c r="I173" s="21">
        <f t="shared" si="65"/>
        <v>6161108.3229049342</v>
      </c>
      <c r="J173" s="21">
        <f t="shared" si="65"/>
        <v>6161108.3229049342</v>
      </c>
      <c r="K173" s="21">
        <f t="shared" si="65"/>
        <v>6161108.3229049342</v>
      </c>
      <c r="L173" s="21">
        <f t="shared" si="65"/>
        <v>6161108.3229049342</v>
      </c>
      <c r="M173" s="21">
        <f t="shared" si="65"/>
        <v>6161108.3229049342</v>
      </c>
      <c r="N173" s="21">
        <f t="shared" si="65"/>
        <v>6161108.3229049342</v>
      </c>
      <c r="P173" s="18" t="s">
        <v>128</v>
      </c>
      <c r="Q173" s="21">
        <f t="shared" ref="Q173:W173" si="66">H105*$B$101</f>
        <v>3291190.3434321228</v>
      </c>
      <c r="R173" s="21">
        <f t="shared" si="66"/>
        <v>3291190.3434321228</v>
      </c>
      <c r="S173" s="21">
        <f t="shared" si="66"/>
        <v>3291190.3434321228</v>
      </c>
      <c r="T173" s="21">
        <f t="shared" si="66"/>
        <v>3291190.3434321228</v>
      </c>
      <c r="U173" s="21">
        <f t="shared" si="66"/>
        <v>3291190.3434321228</v>
      </c>
      <c r="V173" s="21">
        <f t="shared" si="66"/>
        <v>3291190.3434321228</v>
      </c>
      <c r="W173" s="21">
        <f t="shared" si="66"/>
        <v>3291190.3434321228</v>
      </c>
      <c r="Y173" s="18" t="s">
        <v>128</v>
      </c>
      <c r="Z173" s="21">
        <f t="shared" ref="Z173:AF173" si="67">H51*$B$102*$B$103*24*365</f>
        <v>19052438.062071662</v>
      </c>
      <c r="AA173" s="21">
        <f t="shared" si="67"/>
        <v>19052438.062071662</v>
      </c>
      <c r="AB173" s="21">
        <f t="shared" si="67"/>
        <v>19052438.062071662</v>
      </c>
      <c r="AC173" s="21">
        <f t="shared" si="67"/>
        <v>19052438.062071662</v>
      </c>
      <c r="AD173" s="21">
        <f t="shared" si="67"/>
        <v>19052438.062071662</v>
      </c>
      <c r="AE173" s="21">
        <f t="shared" si="67"/>
        <v>19052438.062071662</v>
      </c>
      <c r="AF173" s="21">
        <f t="shared" si="67"/>
        <v>19052438.062071662</v>
      </c>
    </row>
    <row r="174" spans="7:32" ht="13.2" x14ac:dyDescent="0.25">
      <c r="G174" s="18" t="s">
        <v>129</v>
      </c>
      <c r="H174" s="21">
        <f t="shared" ref="H174:N174" si="68">H106*$B$100</f>
        <v>14715296.009163985</v>
      </c>
      <c r="I174" s="21">
        <f t="shared" si="68"/>
        <v>14715296.009163985</v>
      </c>
      <c r="J174" s="21">
        <f t="shared" si="68"/>
        <v>14715296.009163985</v>
      </c>
      <c r="K174" s="21">
        <f t="shared" si="68"/>
        <v>14715296.009163985</v>
      </c>
      <c r="L174" s="21">
        <f t="shared" si="68"/>
        <v>14715296.009163985</v>
      </c>
      <c r="M174" s="21">
        <f t="shared" si="68"/>
        <v>14715296.009163985</v>
      </c>
      <c r="N174" s="21">
        <f t="shared" si="68"/>
        <v>14715296.009163985</v>
      </c>
      <c r="P174" s="18" t="s">
        <v>129</v>
      </c>
      <c r="Q174" s="21">
        <f t="shared" ref="Q174:W174" si="69">H106*$B$101</f>
        <v>7860735.0476303343</v>
      </c>
      <c r="R174" s="21">
        <f t="shared" si="69"/>
        <v>7860735.0476303343</v>
      </c>
      <c r="S174" s="21">
        <f t="shared" si="69"/>
        <v>7860735.0476303343</v>
      </c>
      <c r="T174" s="21">
        <f t="shared" si="69"/>
        <v>7860735.0476303343</v>
      </c>
      <c r="U174" s="21">
        <f t="shared" si="69"/>
        <v>7860735.0476303343</v>
      </c>
      <c r="V174" s="21">
        <f t="shared" si="69"/>
        <v>7860735.0476303343</v>
      </c>
      <c r="W174" s="21">
        <f t="shared" si="69"/>
        <v>7860735.0476303343</v>
      </c>
      <c r="Y174" s="18" t="s">
        <v>129</v>
      </c>
      <c r="Z174" s="21">
        <f t="shared" ref="Z174:AF174" si="70">H52*$B$102*$B$103*24*365</f>
        <v>59497570.152916707</v>
      </c>
      <c r="AA174" s="21">
        <f t="shared" si="70"/>
        <v>59497570.152916707</v>
      </c>
      <c r="AB174" s="21">
        <f t="shared" si="70"/>
        <v>59497570.152916707</v>
      </c>
      <c r="AC174" s="21">
        <f t="shared" si="70"/>
        <v>59497570.152916707</v>
      </c>
      <c r="AD174" s="21">
        <f t="shared" si="70"/>
        <v>59497570.152916707</v>
      </c>
      <c r="AE174" s="21">
        <f t="shared" si="70"/>
        <v>59497570.152916707</v>
      </c>
      <c r="AF174" s="21">
        <f t="shared" si="70"/>
        <v>59497570.152916707</v>
      </c>
    </row>
    <row r="175" spans="7:32" ht="13.2" x14ac:dyDescent="0.25">
      <c r="G175" s="18" t="s">
        <v>130</v>
      </c>
      <c r="H175" s="21">
        <f t="shared" ref="H175:N175" si="71">H107*$B$100</f>
        <v>20004057.477278251</v>
      </c>
      <c r="I175" s="21">
        <f t="shared" si="71"/>
        <v>20004057.477278251</v>
      </c>
      <c r="J175" s="21">
        <f t="shared" si="71"/>
        <v>20004057.477278251</v>
      </c>
      <c r="K175" s="21">
        <f t="shared" si="71"/>
        <v>20004057.477278251</v>
      </c>
      <c r="L175" s="21">
        <f t="shared" si="71"/>
        <v>20004057.477278251</v>
      </c>
      <c r="M175" s="21">
        <f t="shared" si="71"/>
        <v>20004057.477278251</v>
      </c>
      <c r="N175" s="21">
        <f t="shared" si="71"/>
        <v>20004057.477278251</v>
      </c>
      <c r="P175" s="18" t="s">
        <v>130</v>
      </c>
      <c r="Q175" s="21">
        <f t="shared" ref="Q175:W175" si="72">H107*$B$101</f>
        <v>10685928.139571715</v>
      </c>
      <c r="R175" s="21">
        <f t="shared" si="72"/>
        <v>10685928.139571715</v>
      </c>
      <c r="S175" s="21">
        <f t="shared" si="72"/>
        <v>10685928.139571715</v>
      </c>
      <c r="T175" s="21">
        <f t="shared" si="72"/>
        <v>10685928.139571715</v>
      </c>
      <c r="U175" s="21">
        <f t="shared" si="72"/>
        <v>10685928.139571715</v>
      </c>
      <c r="V175" s="21">
        <f t="shared" si="72"/>
        <v>10685928.139571715</v>
      </c>
      <c r="W175" s="21">
        <f t="shared" si="72"/>
        <v>10685928.139571715</v>
      </c>
      <c r="Y175" s="18" t="s">
        <v>130</v>
      </c>
      <c r="Z175" s="21">
        <f t="shared" ref="Z175:AF175" si="73">H53*$B$102*$B$103*24*365</f>
        <v>69708578.702754423</v>
      </c>
      <c r="AA175" s="21">
        <f t="shared" si="73"/>
        <v>69708578.702754423</v>
      </c>
      <c r="AB175" s="21">
        <f t="shared" si="73"/>
        <v>69708578.702754423</v>
      </c>
      <c r="AC175" s="21">
        <f t="shared" si="73"/>
        <v>69708578.702754423</v>
      </c>
      <c r="AD175" s="21">
        <f t="shared" si="73"/>
        <v>69708578.702754423</v>
      </c>
      <c r="AE175" s="21">
        <f t="shared" si="73"/>
        <v>69708578.702754423</v>
      </c>
      <c r="AF175" s="21">
        <f t="shared" si="73"/>
        <v>69708578.702754423</v>
      </c>
    </row>
    <row r="177" spans="7:32" ht="13.2" x14ac:dyDescent="0.25">
      <c r="H177" s="51" t="s">
        <v>145</v>
      </c>
      <c r="I177" s="49"/>
      <c r="J177" s="49"/>
      <c r="K177" s="49"/>
      <c r="L177" s="49"/>
      <c r="M177" s="49"/>
      <c r="N177" s="50"/>
      <c r="Q177" s="51" t="s">
        <v>146</v>
      </c>
      <c r="R177" s="49"/>
      <c r="S177" s="49"/>
      <c r="T177" s="49"/>
      <c r="U177" s="49"/>
      <c r="V177" s="49"/>
      <c r="W177" s="50"/>
      <c r="Z177" s="51" t="s">
        <v>147</v>
      </c>
      <c r="AA177" s="49"/>
      <c r="AB177" s="49"/>
      <c r="AC177" s="49"/>
      <c r="AD177" s="49"/>
      <c r="AE177" s="49"/>
      <c r="AF177" s="50"/>
    </row>
    <row r="178" spans="7:32" ht="13.2" x14ac:dyDescent="0.25">
      <c r="H178" s="17">
        <v>2024</v>
      </c>
      <c r="I178" s="17">
        <v>2025</v>
      </c>
      <c r="J178" s="17">
        <v>2026</v>
      </c>
      <c r="K178" s="17">
        <v>2027</v>
      </c>
      <c r="L178" s="17">
        <v>2028</v>
      </c>
      <c r="M178" s="17">
        <v>2029</v>
      </c>
      <c r="N178" s="17">
        <v>2030</v>
      </c>
      <c r="Q178" s="17">
        <v>2024</v>
      </c>
      <c r="R178" s="17">
        <v>2025</v>
      </c>
      <c r="S178" s="17">
        <v>2026</v>
      </c>
      <c r="T178" s="17">
        <v>2027</v>
      </c>
      <c r="U178" s="17">
        <v>2028</v>
      </c>
      <c r="V178" s="17">
        <v>2029</v>
      </c>
      <c r="W178" s="17">
        <v>2030</v>
      </c>
      <c r="Z178" s="17">
        <v>2024</v>
      </c>
      <c r="AA178" s="17">
        <v>2025</v>
      </c>
      <c r="AB178" s="17">
        <v>2026</v>
      </c>
      <c r="AC178" s="17">
        <v>2027</v>
      </c>
      <c r="AD178" s="17">
        <v>2028</v>
      </c>
      <c r="AE178" s="17">
        <v>2029</v>
      </c>
      <c r="AF178" s="17">
        <v>2030</v>
      </c>
    </row>
    <row r="179" spans="7:32" ht="13.2" x14ac:dyDescent="0.25">
      <c r="G179" s="18" t="s">
        <v>132</v>
      </c>
      <c r="H179" s="21">
        <f t="shared" ref="H179:N179" si="74">H111*$B$100</f>
        <v>35783454.744856253</v>
      </c>
      <c r="I179" s="21">
        <f t="shared" si="74"/>
        <v>31120460.4190959</v>
      </c>
      <c r="J179" s="21">
        <f t="shared" si="74"/>
        <v>30953876.298792195</v>
      </c>
      <c r="K179" s="21">
        <f t="shared" si="74"/>
        <v>30788184.869676236</v>
      </c>
      <c r="L179" s="21">
        <f t="shared" si="74"/>
        <v>30623381.344131928</v>
      </c>
      <c r="M179" s="21">
        <f t="shared" si="74"/>
        <v>30459460.960234862</v>
      </c>
      <c r="N179" s="21">
        <f t="shared" si="74"/>
        <v>30296418.981614374</v>
      </c>
      <c r="P179" s="18" t="s">
        <v>132</v>
      </c>
      <c r="Q179" s="21">
        <f t="shared" ref="Q179:W179" si="75">H111*$B$101</f>
        <v>19115093.346611246</v>
      </c>
      <c r="R179" s="21">
        <f t="shared" si="75"/>
        <v>16624177.574303366</v>
      </c>
      <c r="S179" s="21">
        <f t="shared" si="75"/>
        <v>16535190.330551386</v>
      </c>
      <c r="T179" s="21">
        <f t="shared" si="75"/>
        <v>16446679.951750128</v>
      </c>
      <c r="U179" s="21">
        <f t="shared" si="75"/>
        <v>16358643.880412355</v>
      </c>
      <c r="V179" s="21">
        <f t="shared" si="75"/>
        <v>16271079.572775034</v>
      </c>
      <c r="W179" s="21">
        <f t="shared" si="75"/>
        <v>16183984.498725627</v>
      </c>
      <c r="Y179" s="18" t="s">
        <v>132</v>
      </c>
      <c r="Z179" s="21">
        <f t="shared" ref="Z179:AF179" si="76">H57*$B$102*$B$103*24*365</f>
        <v>138754571.94413337</v>
      </c>
      <c r="AA179" s="21">
        <f t="shared" si="76"/>
        <v>136897674.98239952</v>
      </c>
      <c r="AB179" s="21">
        <f t="shared" si="76"/>
        <v>135065628.1303103</v>
      </c>
      <c r="AC179" s="21">
        <f t="shared" si="76"/>
        <v>133258098.82878338</v>
      </c>
      <c r="AD179" s="21">
        <f t="shared" si="76"/>
        <v>131474758.96924187</v>
      </c>
      <c r="AE179" s="21">
        <f t="shared" si="76"/>
        <v>129715284.83405469</v>
      </c>
      <c r="AF179" s="21">
        <f t="shared" si="76"/>
        <v>127979357.0377744</v>
      </c>
    </row>
    <row r="180" spans="7:32" ht="13.2" x14ac:dyDescent="0.25">
      <c r="G180" s="18" t="s">
        <v>133</v>
      </c>
      <c r="H180" s="21">
        <f t="shared" ref="H180:N180" si="77">H112*$B$100</f>
        <v>5379759.403864665</v>
      </c>
      <c r="I180" s="21">
        <f t="shared" si="77"/>
        <v>5350974.5690910034</v>
      </c>
      <c r="J180" s="21">
        <f t="shared" si="77"/>
        <v>5322343.9380641999</v>
      </c>
      <c r="K180" s="21">
        <f t="shared" si="77"/>
        <v>5293866.6839595223</v>
      </c>
      <c r="L180" s="21">
        <f t="shared" si="77"/>
        <v>5265541.9843884939</v>
      </c>
      <c r="M180" s="21">
        <f t="shared" si="77"/>
        <v>5237369.0213750387</v>
      </c>
      <c r="N180" s="21">
        <f t="shared" si="77"/>
        <v>5209346.9813318178</v>
      </c>
      <c r="P180" s="18" t="s">
        <v>133</v>
      </c>
      <c r="Q180" s="21">
        <f t="shared" ref="Q180:W180" si="78">H112*$B$101</f>
        <v>2873803.1003550561</v>
      </c>
      <c r="R180" s="21">
        <f t="shared" si="78"/>
        <v>2858426.5860528867</v>
      </c>
      <c r="S180" s="21">
        <f t="shared" si="78"/>
        <v>2843132.4455471155</v>
      </c>
      <c r="T180" s="21">
        <f t="shared" si="78"/>
        <v>2827920.2371578645</v>
      </c>
      <c r="U180" s="21">
        <f t="shared" si="78"/>
        <v>2812789.5215750504</v>
      </c>
      <c r="V180" s="21">
        <f t="shared" si="78"/>
        <v>2797739.8618456405</v>
      </c>
      <c r="W180" s="21">
        <f t="shared" si="78"/>
        <v>2782770.823361014</v>
      </c>
      <c r="Y180" s="18" t="s">
        <v>133</v>
      </c>
      <c r="Z180" s="21">
        <f t="shared" ref="Z180:AF180" si="79">H58*$B$102*$B$103*24*365</f>
        <v>13553706.409958318</v>
      </c>
      <c r="AA180" s="21">
        <f t="shared" si="79"/>
        <v>13372322.575896135</v>
      </c>
      <c r="AB180" s="21">
        <f t="shared" si="79"/>
        <v>13193366.129167277</v>
      </c>
      <c r="AC180" s="21">
        <f t="shared" si="79"/>
        <v>13016804.585017532</v>
      </c>
      <c r="AD180" s="21">
        <f t="shared" si="79"/>
        <v>12842605.893423181</v>
      </c>
      <c r="AE180" s="21">
        <f t="shared" si="79"/>
        <v>12670738.433273155</v>
      </c>
      <c r="AF180" s="21">
        <f t="shared" si="79"/>
        <v>12501171.00662907</v>
      </c>
    </row>
    <row r="181" spans="7:32" ht="13.2" x14ac:dyDescent="0.25">
      <c r="G181" s="18" t="s">
        <v>134</v>
      </c>
      <c r="H181" s="21">
        <f t="shared" ref="H181:N181" si="80">H113*$B$100</f>
        <v>4194184.9716096246</v>
      </c>
      <c r="I181" s="21">
        <f t="shared" si="80"/>
        <v>4171750.7208086513</v>
      </c>
      <c r="J181" s="21">
        <f t="shared" si="80"/>
        <v>4149436.6252242588</v>
      </c>
      <c r="K181" s="21">
        <f t="shared" si="80"/>
        <v>4127242.040704851</v>
      </c>
      <c r="L181" s="21">
        <f t="shared" si="80"/>
        <v>4105166.3265545322</v>
      </c>
      <c r="M181" s="21">
        <f t="shared" si="80"/>
        <v>4083208.8455145494</v>
      </c>
      <c r="N181" s="21">
        <f t="shared" si="80"/>
        <v>4061368.9637448606</v>
      </c>
      <c r="P181" s="18" t="s">
        <v>134</v>
      </c>
      <c r="Q181" s="21">
        <f t="shared" ref="Q181:W181" si="81">H113*$B$101</f>
        <v>2240483.4250051412</v>
      </c>
      <c r="R181" s="21">
        <f t="shared" si="81"/>
        <v>2228499.3166712881</v>
      </c>
      <c r="S181" s="21">
        <f t="shared" si="81"/>
        <v>2216579.3938163775</v>
      </c>
      <c r="T181" s="21">
        <f t="shared" si="81"/>
        <v>2204723.312342335</v>
      </c>
      <c r="U181" s="21">
        <f t="shared" si="81"/>
        <v>2192930.7299970794</v>
      </c>
      <c r="V181" s="21">
        <f t="shared" si="81"/>
        <v>2181201.3063646099</v>
      </c>
      <c r="W181" s="21">
        <f t="shared" si="81"/>
        <v>2169534.7028551605</v>
      </c>
      <c r="Y181" s="18" t="s">
        <v>134</v>
      </c>
      <c r="Z181" s="21">
        <f t="shared" ref="Z181:AF181" si="82">H59*$B$102*$B$103*24*365</f>
        <v>7252827.9580872981</v>
      </c>
      <c r="AA181" s="21">
        <f t="shared" si="82"/>
        <v>7155766.2612318397</v>
      </c>
      <c r="AB181" s="21">
        <f t="shared" si="82"/>
        <v>7060003.5022597667</v>
      </c>
      <c r="AC181" s="21">
        <f t="shared" si="82"/>
        <v>6965522.2980047129</v>
      </c>
      <c r="AD181" s="21">
        <f t="shared" si="82"/>
        <v>6872305.4979322702</v>
      </c>
      <c r="AE181" s="21">
        <f t="shared" si="82"/>
        <v>6780336.1810267679</v>
      </c>
      <c r="AF181" s="21">
        <f t="shared" si="82"/>
        <v>6689597.6527197398</v>
      </c>
    </row>
    <row r="182" spans="7:32" ht="13.2" x14ac:dyDescent="0.25">
      <c r="G182" s="18" t="s">
        <v>135</v>
      </c>
      <c r="H182" s="21">
        <f t="shared" ref="H182:N182" si="83">H114*$B$100</f>
        <v>6128137.1508704331</v>
      </c>
      <c r="I182" s="21">
        <f t="shared" si="83"/>
        <v>6095342.9230346624</v>
      </c>
      <c r="J182" s="21">
        <f t="shared" si="83"/>
        <v>6062724.3978615142</v>
      </c>
      <c r="K182" s="21">
        <f t="shared" si="83"/>
        <v>6030280.6331725372</v>
      </c>
      <c r="L182" s="21">
        <f t="shared" si="83"/>
        <v>5998010.6918447409</v>
      </c>
      <c r="M182" s="21">
        <f t="shared" si="83"/>
        <v>5965913.6417834582</v>
      </c>
      <c r="N182" s="21">
        <f t="shared" si="83"/>
        <v>5933988.5558953471</v>
      </c>
      <c r="P182" s="18" t="s">
        <v>135</v>
      </c>
      <c r="Q182" s="21">
        <f t="shared" ref="Q182:W182" si="84">H114*$B$101</f>
        <v>3273577.5378581374</v>
      </c>
      <c r="R182" s="21">
        <f t="shared" si="84"/>
        <v>3256059.2537578326</v>
      </c>
      <c r="S182" s="21">
        <f t="shared" si="84"/>
        <v>3238634.8279174753</v>
      </c>
      <c r="T182" s="21">
        <f t="shared" si="84"/>
        <v>3221303.7570366119</v>
      </c>
      <c r="U182" s="21">
        <f t="shared" si="84"/>
        <v>3204065.5405153534</v>
      </c>
      <c r="V182" s="21">
        <f t="shared" si="84"/>
        <v>3186919.680439882</v>
      </c>
      <c r="W182" s="21">
        <f t="shared" si="84"/>
        <v>3169865.6815680275</v>
      </c>
      <c r="Y182" s="18" t="s">
        <v>135</v>
      </c>
      <c r="Z182" s="21">
        <f t="shared" ref="Z182:AF182" si="85">H60*$B$102*$B$103*24*365</f>
        <v>18797464.646385647</v>
      </c>
      <c r="AA182" s="21">
        <f t="shared" si="85"/>
        <v>18545905.69231943</v>
      </c>
      <c r="AB182" s="21">
        <f t="shared" si="85"/>
        <v>18297713.25116127</v>
      </c>
      <c r="AC182" s="21">
        <f t="shared" si="85"/>
        <v>18052842.270214867</v>
      </c>
      <c r="AD182" s="21">
        <f t="shared" si="85"/>
        <v>17811248.299706142</v>
      </c>
      <c r="AE182" s="21">
        <f t="shared" si="85"/>
        <v>17572887.484714564</v>
      </c>
      <c r="AF182" s="21">
        <f t="shared" si="85"/>
        <v>17337716.557212476</v>
      </c>
    </row>
    <row r="183" spans="7:32" ht="13.2" x14ac:dyDescent="0.25">
      <c r="G183" s="18" t="s">
        <v>136</v>
      </c>
      <c r="H183" s="21">
        <f t="shared" ref="H183:N183" si="86">H115*$B$100</f>
        <v>14636531.691439951</v>
      </c>
      <c r="I183" s="21">
        <f t="shared" si="86"/>
        <v>14558189.436812535</v>
      </c>
      <c r="J183" s="21">
        <f t="shared" si="86"/>
        <v>14480266.981778989</v>
      </c>
      <c r="K183" s="21">
        <f t="shared" si="86"/>
        <v>14402762.074982874</v>
      </c>
      <c r="L183" s="21">
        <f t="shared" si="86"/>
        <v>14325672.47714882</v>
      </c>
      <c r="M183" s="21">
        <f t="shared" si="86"/>
        <v>14248995.961017735</v>
      </c>
      <c r="N183" s="21">
        <f t="shared" si="86"/>
        <v>14172730.311282221</v>
      </c>
      <c r="P183" s="18" t="s">
        <v>136</v>
      </c>
      <c r="Q183" s="21">
        <f t="shared" ref="Q183:W183" si="87">H115*$B$101</f>
        <v>7818660.0915811704</v>
      </c>
      <c r="R183" s="21">
        <f t="shared" si="87"/>
        <v>7776810.5965878926</v>
      </c>
      <c r="S183" s="21">
        <f t="shared" si="87"/>
        <v>7735185.3535144171</v>
      </c>
      <c r="T183" s="21">
        <f t="shared" si="87"/>
        <v>7693783.1597130736</v>
      </c>
      <c r="U183" s="21">
        <f t="shared" si="87"/>
        <v>7652602.8189897537</v>
      </c>
      <c r="V183" s="21">
        <f t="shared" si="87"/>
        <v>7611643.1415693033</v>
      </c>
      <c r="W183" s="21">
        <f t="shared" si="87"/>
        <v>7570902.9440610157</v>
      </c>
      <c r="Y183" s="18" t="s">
        <v>136</v>
      </c>
      <c r="Z183" s="21">
        <f t="shared" ref="Z183:AF183" si="88">H61*$B$102*$B$103*24*365</f>
        <v>58701337.958910316</v>
      </c>
      <c r="AA183" s="21">
        <f t="shared" si="88"/>
        <v>57915761.42201972</v>
      </c>
      <c r="AB183" s="21">
        <f t="shared" si="88"/>
        <v>57140697.941845857</v>
      </c>
      <c r="AC183" s="21">
        <f t="shared" si="88"/>
        <v>56376006.826353945</v>
      </c>
      <c r="AD183" s="21">
        <f t="shared" si="88"/>
        <v>55621549.266334333</v>
      </c>
      <c r="AE183" s="21">
        <f t="shared" si="88"/>
        <v>54877188.31020546</v>
      </c>
      <c r="AF183" s="21">
        <f t="shared" si="88"/>
        <v>54142788.839154206</v>
      </c>
    </row>
    <row r="184" spans="7:32" ht="13.2" x14ac:dyDescent="0.25">
      <c r="G184" s="18" t="s">
        <v>137</v>
      </c>
      <c r="H184" s="21">
        <f t="shared" ref="H184:N184" si="89">H116*$B$100</f>
        <v>19896996.827112108</v>
      </c>
      <c r="I184" s="21">
        <f t="shared" si="89"/>
        <v>15506338.047189772</v>
      </c>
      <c r="J184" s="21">
        <f t="shared" si="89"/>
        <v>15423334.78464509</v>
      </c>
      <c r="K184" s="21">
        <f t="shared" si="89"/>
        <v>15340776.318835208</v>
      </c>
      <c r="L184" s="21">
        <f t="shared" si="89"/>
        <v>15258660.264263686</v>
      </c>
      <c r="M184" s="21">
        <f t="shared" si="89"/>
        <v>15176984.24823533</v>
      </c>
      <c r="N184" s="21">
        <f t="shared" si="89"/>
        <v>15095745.910787418</v>
      </c>
      <c r="P184" s="18" t="s">
        <v>137</v>
      </c>
      <c r="Q184" s="21">
        <f t="shared" ref="Q184:W184" si="90">H116*$B$101</f>
        <v>10628737.62132057</v>
      </c>
      <c r="R184" s="21">
        <f t="shared" si="90"/>
        <v>8283300.2388834255</v>
      </c>
      <c r="S184" s="21">
        <f t="shared" si="90"/>
        <v>8238960.8892334886</v>
      </c>
      <c r="T184" s="21">
        <f t="shared" si="90"/>
        <v>8194859.1446769275</v>
      </c>
      <c r="U184" s="21">
        <f t="shared" si="90"/>
        <v>8150993.7309100889</v>
      </c>
      <c r="V184" s="21">
        <f t="shared" si="90"/>
        <v>8107363.3804675909</v>
      </c>
      <c r="W184" s="21">
        <f t="shared" si="90"/>
        <v>8063966.832685587</v>
      </c>
      <c r="Y184" s="18" t="s">
        <v>137</v>
      </c>
      <c r="Z184" s="21">
        <f t="shared" ref="Z184:AF184" si="91">H62*$B$102*$B$103*24*365</f>
        <v>68775696.663724795</v>
      </c>
      <c r="AA184" s="21">
        <f t="shared" si="91"/>
        <v>67855299.012053788</v>
      </c>
      <c r="AB184" s="21">
        <f t="shared" si="91"/>
        <v>66947218.674176708</v>
      </c>
      <c r="AC184" s="21">
        <f t="shared" si="91"/>
        <v>66051290.812407501</v>
      </c>
      <c r="AD184" s="21">
        <f t="shared" si="91"/>
        <v>65167352.795017056</v>
      </c>
      <c r="AE184" s="21">
        <f t="shared" si="91"/>
        <v>64295244.166711643</v>
      </c>
      <c r="AF184" s="21">
        <f t="shared" si="91"/>
        <v>63434806.61950653</v>
      </c>
    </row>
    <row r="187" spans="7:32" ht="13.2" x14ac:dyDescent="0.25">
      <c r="S187" s="1" t="s">
        <v>148</v>
      </c>
      <c r="T187" s="1" t="s">
        <v>149</v>
      </c>
      <c r="U187" s="1" t="s">
        <v>150</v>
      </c>
    </row>
    <row r="188" spans="7:32" ht="13.2" x14ac:dyDescent="0.25">
      <c r="H188" s="51" t="s">
        <v>151</v>
      </c>
      <c r="I188" s="49"/>
      <c r="J188" s="49"/>
      <c r="K188" s="49"/>
      <c r="L188" s="49"/>
      <c r="M188" s="49"/>
      <c r="N188" s="50"/>
      <c r="Q188" s="1">
        <v>2024</v>
      </c>
      <c r="R188" s="18" t="s">
        <v>125</v>
      </c>
      <c r="S188" s="5">
        <f>H170</f>
        <v>35976013.205613427</v>
      </c>
      <c r="T188" s="5">
        <f>Q170</f>
        <v>19217955.772229396</v>
      </c>
      <c r="U188" s="5">
        <f>Z170</f>
        <v>140636656.08546638</v>
      </c>
    </row>
    <row r="189" spans="7:32" ht="13.2" x14ac:dyDescent="0.25">
      <c r="H189" s="17">
        <v>2024</v>
      </c>
      <c r="I189" s="17">
        <v>2025</v>
      </c>
      <c r="J189" s="17">
        <v>2026</v>
      </c>
      <c r="K189" s="17">
        <v>2027</v>
      </c>
      <c r="L189" s="17">
        <v>2028</v>
      </c>
      <c r="M189" s="17">
        <v>2029</v>
      </c>
      <c r="N189" s="17">
        <v>2030</v>
      </c>
      <c r="Q189" s="1">
        <v>2024</v>
      </c>
      <c r="R189" s="18" t="s">
        <v>132</v>
      </c>
      <c r="S189" s="5">
        <f>H179</f>
        <v>35783454.744856253</v>
      </c>
      <c r="T189" s="5">
        <f>Q179</f>
        <v>19115093.346611246</v>
      </c>
      <c r="U189" s="5">
        <f>Z179</f>
        <v>138754571.94413337</v>
      </c>
      <c r="V189" s="5"/>
      <c r="W189" s="5"/>
    </row>
    <row r="190" spans="7:32" ht="13.2" x14ac:dyDescent="0.25">
      <c r="G190" s="18" t="s">
        <v>125</v>
      </c>
      <c r="H190" s="21">
        <f t="shared" ref="H190:N190" si="92">H170+Q170+Z170</f>
        <v>195830625.06330919</v>
      </c>
      <c r="I190" s="21">
        <f t="shared" si="92"/>
        <v>195830625.06330919</v>
      </c>
      <c r="J190" s="21">
        <f t="shared" si="92"/>
        <v>195830625.06330919</v>
      </c>
      <c r="K190" s="21">
        <f t="shared" si="92"/>
        <v>195830625.06330919</v>
      </c>
      <c r="L190" s="21">
        <f t="shared" si="92"/>
        <v>195830625.06330919</v>
      </c>
      <c r="M190" s="21">
        <f t="shared" si="92"/>
        <v>195830625.06330919</v>
      </c>
      <c r="N190" s="21">
        <f t="shared" si="92"/>
        <v>195830625.06330919</v>
      </c>
      <c r="Q190" s="1">
        <v>2024</v>
      </c>
      <c r="R190" s="18" t="s">
        <v>126</v>
      </c>
      <c r="S190" s="5">
        <f>H171</f>
        <v>5408699.2736700801</v>
      </c>
      <c r="T190" s="5">
        <f>Q171</f>
        <v>2889262.4325160687</v>
      </c>
      <c r="U190" s="5">
        <f>Z171</f>
        <v>13737550.556735242</v>
      </c>
      <c r="V190" s="5"/>
      <c r="W190" s="5"/>
    </row>
    <row r="191" spans="7:32" ht="13.2" x14ac:dyDescent="0.25">
      <c r="G191" s="18" t="s">
        <v>126</v>
      </c>
      <c r="H191" s="21">
        <f t="shared" ref="H191:N191" si="93">H171+Q171+Z171</f>
        <v>22035512.262921393</v>
      </c>
      <c r="I191" s="21">
        <f t="shared" si="93"/>
        <v>22035512.262921393</v>
      </c>
      <c r="J191" s="21">
        <f t="shared" si="93"/>
        <v>22035512.262921393</v>
      </c>
      <c r="K191" s="21">
        <f t="shared" si="93"/>
        <v>22035512.262921393</v>
      </c>
      <c r="L191" s="21">
        <f t="shared" si="93"/>
        <v>22035512.262921393</v>
      </c>
      <c r="M191" s="21">
        <f t="shared" si="93"/>
        <v>22035512.262921393</v>
      </c>
      <c r="N191" s="21">
        <f t="shared" si="93"/>
        <v>22035512.262921393</v>
      </c>
      <c r="Q191" s="1">
        <v>2024</v>
      </c>
      <c r="R191" s="18" t="s">
        <v>133</v>
      </c>
      <c r="S191" s="5">
        <f>H180</f>
        <v>5379759.403864665</v>
      </c>
      <c r="T191" s="5">
        <f>Q180</f>
        <v>2873803.1003550561</v>
      </c>
      <c r="U191" s="5">
        <f>Z180</f>
        <v>13553706.409958318</v>
      </c>
      <c r="V191" s="5"/>
      <c r="W191" s="5"/>
    </row>
    <row r="192" spans="7:32" ht="13.2" x14ac:dyDescent="0.25">
      <c r="G192" s="18" t="s">
        <v>127</v>
      </c>
      <c r="H192" s="21">
        <f t="shared" ref="H192:N192" si="94">H172+Q172+Z172</f>
        <v>13820478.049938101</v>
      </c>
      <c r="I192" s="21">
        <f t="shared" si="94"/>
        <v>13820478.049938101</v>
      </c>
      <c r="J192" s="21">
        <f t="shared" si="94"/>
        <v>13820478.049938101</v>
      </c>
      <c r="K192" s="21">
        <f t="shared" si="94"/>
        <v>13820478.049938101</v>
      </c>
      <c r="L192" s="21">
        <f t="shared" si="94"/>
        <v>13820478.049938101</v>
      </c>
      <c r="M192" s="21">
        <f t="shared" si="94"/>
        <v>13820478.049938101</v>
      </c>
      <c r="N192" s="21">
        <f t="shared" si="94"/>
        <v>13820478.049938101</v>
      </c>
      <c r="Q192" s="1">
        <v>2024</v>
      </c>
      <c r="R192" s="18" t="s">
        <v>127</v>
      </c>
      <c r="S192" s="5">
        <f>H172</f>
        <v>4216739.9826617083</v>
      </c>
      <c r="T192" s="5">
        <f>Q172</f>
        <v>2252532.0420201435</v>
      </c>
      <c r="U192" s="5">
        <f>Z172</f>
        <v>7351206.0252562491</v>
      </c>
      <c r="V192" s="5"/>
      <c r="W192" s="5"/>
    </row>
    <row r="193" spans="7:23" ht="13.2" x14ac:dyDescent="0.25">
      <c r="G193" s="18" t="s">
        <v>128</v>
      </c>
      <c r="H193" s="21">
        <f t="shared" ref="H193:N193" si="95">H173+Q173+Z173</f>
        <v>28504736.72840872</v>
      </c>
      <c r="I193" s="21">
        <f t="shared" si="95"/>
        <v>28504736.72840872</v>
      </c>
      <c r="J193" s="21">
        <f t="shared" si="95"/>
        <v>28504736.72840872</v>
      </c>
      <c r="K193" s="21">
        <f t="shared" si="95"/>
        <v>28504736.72840872</v>
      </c>
      <c r="L193" s="21">
        <f t="shared" si="95"/>
        <v>28504736.72840872</v>
      </c>
      <c r="M193" s="21">
        <f t="shared" si="95"/>
        <v>28504736.72840872</v>
      </c>
      <c r="N193" s="21">
        <f t="shared" si="95"/>
        <v>28504736.72840872</v>
      </c>
      <c r="Q193" s="1">
        <v>2024</v>
      </c>
      <c r="R193" s="18" t="s">
        <v>134</v>
      </c>
      <c r="S193" s="5">
        <f>H181</f>
        <v>4194184.9716096246</v>
      </c>
      <c r="T193" s="5">
        <f>Q181</f>
        <v>2240483.4250051412</v>
      </c>
      <c r="U193" s="5">
        <f>Z181</f>
        <v>7252827.9580872981</v>
      </c>
      <c r="V193" s="5"/>
      <c r="W193" s="5"/>
    </row>
    <row r="194" spans="7:23" ht="13.2" x14ac:dyDescent="0.25">
      <c r="G194" s="18" t="s">
        <v>129</v>
      </c>
      <c r="H194" s="21">
        <f t="shared" ref="H194:N194" si="96">H174+Q174+Z174</f>
        <v>82073601.20971103</v>
      </c>
      <c r="I194" s="21">
        <f t="shared" si="96"/>
        <v>82073601.20971103</v>
      </c>
      <c r="J194" s="21">
        <f t="shared" si="96"/>
        <v>82073601.20971103</v>
      </c>
      <c r="K194" s="21">
        <f t="shared" si="96"/>
        <v>82073601.20971103</v>
      </c>
      <c r="L194" s="21">
        <f t="shared" si="96"/>
        <v>82073601.20971103</v>
      </c>
      <c r="M194" s="21">
        <f t="shared" si="96"/>
        <v>82073601.20971103</v>
      </c>
      <c r="N194" s="21">
        <f t="shared" si="96"/>
        <v>82073601.20971103</v>
      </c>
      <c r="Q194" s="1">
        <v>2024</v>
      </c>
      <c r="R194" s="18" t="s">
        <v>128</v>
      </c>
      <c r="S194" s="5">
        <f>H173</f>
        <v>6161108.3229049342</v>
      </c>
      <c r="T194" s="5">
        <f>Q173</f>
        <v>3291190.3434321228</v>
      </c>
      <c r="U194" s="5">
        <f>Z173</f>
        <v>19052438.062071662</v>
      </c>
      <c r="V194" s="5"/>
      <c r="W194" s="5"/>
    </row>
    <row r="195" spans="7:23" ht="13.2" x14ac:dyDescent="0.25">
      <c r="G195" s="18" t="s">
        <v>130</v>
      </c>
      <c r="H195" s="21">
        <f t="shared" ref="H195:N195" si="97">H175+Q175+Z175</f>
        <v>100398564.3196044</v>
      </c>
      <c r="I195" s="21">
        <f t="shared" si="97"/>
        <v>100398564.3196044</v>
      </c>
      <c r="J195" s="21">
        <f t="shared" si="97"/>
        <v>100398564.3196044</v>
      </c>
      <c r="K195" s="21">
        <f t="shared" si="97"/>
        <v>100398564.3196044</v>
      </c>
      <c r="L195" s="21">
        <f t="shared" si="97"/>
        <v>100398564.3196044</v>
      </c>
      <c r="M195" s="21">
        <f t="shared" si="97"/>
        <v>100398564.3196044</v>
      </c>
      <c r="N195" s="21">
        <f t="shared" si="97"/>
        <v>100398564.3196044</v>
      </c>
      <c r="Q195" s="1">
        <v>2024</v>
      </c>
      <c r="R195" s="18" t="s">
        <v>135</v>
      </c>
      <c r="S195" s="5">
        <f>H182</f>
        <v>6128137.1508704331</v>
      </c>
      <c r="T195" s="5">
        <f>Q182</f>
        <v>3273577.5378581374</v>
      </c>
      <c r="U195" s="5">
        <f>Z182</f>
        <v>18797464.646385647</v>
      </c>
      <c r="V195" s="5"/>
      <c r="W195" s="5"/>
    </row>
    <row r="196" spans="7:23" ht="13.2" x14ac:dyDescent="0.25">
      <c r="Q196" s="1">
        <v>2024</v>
      </c>
      <c r="R196" s="18" t="s">
        <v>129</v>
      </c>
      <c r="S196" s="5">
        <f>H174</f>
        <v>14715296.009163985</v>
      </c>
      <c r="T196" s="5">
        <f>Q174</f>
        <v>7860735.0476303343</v>
      </c>
      <c r="U196" s="5">
        <f>Z174</f>
        <v>59497570.152916707</v>
      </c>
    </row>
    <row r="197" spans="7:23" ht="13.2" x14ac:dyDescent="0.25">
      <c r="H197" s="51" t="s">
        <v>152</v>
      </c>
      <c r="I197" s="49"/>
      <c r="J197" s="49"/>
      <c r="K197" s="49"/>
      <c r="L197" s="49"/>
      <c r="M197" s="49"/>
      <c r="N197" s="50"/>
      <c r="Q197" s="1">
        <v>2024</v>
      </c>
      <c r="R197" s="18" t="s">
        <v>136</v>
      </c>
      <c r="S197" s="5">
        <f>H183</f>
        <v>14636531.691439951</v>
      </c>
      <c r="T197" s="5">
        <f>Q183</f>
        <v>7818660.0915811704</v>
      </c>
      <c r="U197" s="5">
        <f>Z183</f>
        <v>58701337.958910316</v>
      </c>
    </row>
    <row r="198" spans="7:23" ht="13.2" x14ac:dyDescent="0.25">
      <c r="H198" s="17">
        <v>2024</v>
      </c>
      <c r="I198" s="17">
        <v>2025</v>
      </c>
      <c r="J198" s="17">
        <v>2026</v>
      </c>
      <c r="K198" s="17">
        <v>2027</v>
      </c>
      <c r="L198" s="17">
        <v>2028</v>
      </c>
      <c r="M198" s="17">
        <v>2029</v>
      </c>
      <c r="N198" s="17">
        <v>2030</v>
      </c>
      <c r="Q198" s="1">
        <v>2024</v>
      </c>
      <c r="R198" s="18" t="s">
        <v>130</v>
      </c>
      <c r="S198" s="5">
        <f>H175</f>
        <v>20004057.477278251</v>
      </c>
      <c r="T198" s="5">
        <f>Q175</f>
        <v>10685928.139571715</v>
      </c>
      <c r="U198" s="5">
        <f>Z175</f>
        <v>69708578.702754423</v>
      </c>
      <c r="V198" s="5"/>
      <c r="W198" s="5"/>
    </row>
    <row r="199" spans="7:23" ht="13.2" x14ac:dyDescent="0.25">
      <c r="G199" s="18" t="s">
        <v>132</v>
      </c>
      <c r="H199" s="21">
        <f t="shared" ref="H199:N199" si="98">H179+Q179+Z179</f>
        <v>193653120.03560087</v>
      </c>
      <c r="I199" s="21">
        <f t="shared" si="98"/>
        <v>184642312.97579879</v>
      </c>
      <c r="J199" s="21">
        <f t="shared" si="98"/>
        <v>182554694.75965387</v>
      </c>
      <c r="K199" s="21">
        <f t="shared" si="98"/>
        <v>180492963.65020972</v>
      </c>
      <c r="L199" s="21">
        <f t="shared" si="98"/>
        <v>178456784.19378614</v>
      </c>
      <c r="M199" s="21">
        <f t="shared" si="98"/>
        <v>176445825.3670646</v>
      </c>
      <c r="N199" s="21">
        <f t="shared" si="98"/>
        <v>174459760.51811439</v>
      </c>
      <c r="Q199" s="1">
        <v>2024</v>
      </c>
      <c r="R199" s="18" t="s">
        <v>137</v>
      </c>
      <c r="S199" s="5">
        <f>H184</f>
        <v>19896996.827112108</v>
      </c>
      <c r="T199" s="5">
        <f>Q184</f>
        <v>10628737.62132057</v>
      </c>
      <c r="U199" s="5">
        <f>Z184</f>
        <v>68775696.663724795</v>
      </c>
      <c r="V199" s="5"/>
      <c r="W199" s="5"/>
    </row>
    <row r="200" spans="7:23" ht="13.2" x14ac:dyDescent="0.25">
      <c r="G200" s="18" t="s">
        <v>133</v>
      </c>
      <c r="H200" s="21">
        <f t="shared" ref="H200:N200" si="99">H180+Q180+Z180</f>
        <v>21807268.91417804</v>
      </c>
      <c r="I200" s="21">
        <f t="shared" si="99"/>
        <v>21581723.731040023</v>
      </c>
      <c r="J200" s="21">
        <f t="shared" si="99"/>
        <v>21358842.512778595</v>
      </c>
      <c r="K200" s="21">
        <f t="shared" si="99"/>
        <v>21138591.50613492</v>
      </c>
      <c r="L200" s="21">
        <f t="shared" si="99"/>
        <v>20920937.399386726</v>
      </c>
      <c r="M200" s="21">
        <f t="shared" si="99"/>
        <v>20705847.316493835</v>
      </c>
      <c r="N200" s="21">
        <f t="shared" si="99"/>
        <v>20493288.811321903</v>
      </c>
      <c r="V200" s="5"/>
      <c r="W200" s="5"/>
    </row>
    <row r="201" spans="7:23" ht="13.2" x14ac:dyDescent="0.25">
      <c r="G201" s="18" t="s">
        <v>134</v>
      </c>
      <c r="H201" s="21">
        <f t="shared" ref="H201:N201" si="100">H181+Q181+Z181</f>
        <v>13687496.354702063</v>
      </c>
      <c r="I201" s="21">
        <f t="shared" si="100"/>
        <v>13556016.298711779</v>
      </c>
      <c r="J201" s="21">
        <f t="shared" si="100"/>
        <v>13426019.521300403</v>
      </c>
      <c r="K201" s="21">
        <f t="shared" si="100"/>
        <v>13297487.651051899</v>
      </c>
      <c r="L201" s="21">
        <f t="shared" si="100"/>
        <v>13170402.554483881</v>
      </c>
      <c r="M201" s="21">
        <f t="shared" si="100"/>
        <v>13044746.332905928</v>
      </c>
      <c r="N201" s="21">
        <f t="shared" si="100"/>
        <v>12920501.31931976</v>
      </c>
      <c r="Q201" s="1">
        <v>2025</v>
      </c>
      <c r="R201" s="18" t="s">
        <v>125</v>
      </c>
      <c r="S201" s="5">
        <f t="shared" ref="S201:S206" si="101">I170</f>
        <v>35976013.205613427</v>
      </c>
      <c r="T201" s="5">
        <f t="shared" ref="T201:T206" si="102">R170</f>
        <v>19217955.772229396</v>
      </c>
      <c r="U201" s="5">
        <f t="shared" ref="U201:U206" si="103">AA170</f>
        <v>140636656.08546638</v>
      </c>
      <c r="V201" s="5"/>
      <c r="W201" s="5"/>
    </row>
    <row r="202" spans="7:23" ht="13.2" x14ac:dyDescent="0.25">
      <c r="G202" s="18" t="s">
        <v>135</v>
      </c>
      <c r="H202" s="21">
        <f t="shared" ref="H202:N202" si="104">H182+Q182+Z182</f>
        <v>28199179.335114218</v>
      </c>
      <c r="I202" s="21">
        <f t="shared" si="104"/>
        <v>27897307.869111925</v>
      </c>
      <c r="J202" s="21">
        <f t="shared" si="104"/>
        <v>27599072.476940259</v>
      </c>
      <c r="K202" s="21">
        <f t="shared" si="104"/>
        <v>27304426.660424016</v>
      </c>
      <c r="L202" s="21">
        <f t="shared" si="104"/>
        <v>27013324.532066237</v>
      </c>
      <c r="M202" s="21">
        <f t="shared" si="104"/>
        <v>26725720.806937903</v>
      </c>
      <c r="N202" s="21">
        <f t="shared" si="104"/>
        <v>26441570.794675849</v>
      </c>
      <c r="Q202" s="1">
        <v>2025</v>
      </c>
      <c r="R202" s="18" t="s">
        <v>126</v>
      </c>
      <c r="S202" s="5">
        <f t="shared" si="101"/>
        <v>5408699.2736700801</v>
      </c>
      <c r="T202" s="5">
        <f t="shared" si="102"/>
        <v>2889262.4325160687</v>
      </c>
      <c r="U202" s="5">
        <f t="shared" si="103"/>
        <v>13737550.556735242</v>
      </c>
      <c r="V202" s="5"/>
      <c r="W202" s="5"/>
    </row>
    <row r="203" spans="7:23" ht="13.2" x14ac:dyDescent="0.25">
      <c r="G203" s="18" t="s">
        <v>136</v>
      </c>
      <c r="H203" s="21">
        <f t="shared" ref="H203:N203" si="105">H183+Q183+Z183</f>
        <v>81156529.741931438</v>
      </c>
      <c r="I203" s="21">
        <f t="shared" si="105"/>
        <v>80250761.455420151</v>
      </c>
      <c r="J203" s="21">
        <f t="shared" si="105"/>
        <v>79356150.277139261</v>
      </c>
      <c r="K203" s="21">
        <f t="shared" si="105"/>
        <v>78472552.061049893</v>
      </c>
      <c r="L203" s="21">
        <f t="shared" si="105"/>
        <v>77599824.56247291</v>
      </c>
      <c r="M203" s="21">
        <f t="shared" si="105"/>
        <v>76737827.412792504</v>
      </c>
      <c r="N203" s="21">
        <f t="shared" si="105"/>
        <v>75886422.094497442</v>
      </c>
      <c r="Q203" s="1">
        <v>2025</v>
      </c>
      <c r="R203" s="18" t="s">
        <v>127</v>
      </c>
      <c r="S203" s="5">
        <f t="shared" si="101"/>
        <v>4216739.9826617083</v>
      </c>
      <c r="T203" s="5">
        <f t="shared" si="102"/>
        <v>2252532.0420201435</v>
      </c>
      <c r="U203" s="5">
        <f t="shared" si="103"/>
        <v>7351206.0252562491</v>
      </c>
      <c r="V203" s="5"/>
      <c r="W203" s="5"/>
    </row>
    <row r="204" spans="7:23" ht="13.2" x14ac:dyDescent="0.25">
      <c r="G204" s="18" t="s">
        <v>137</v>
      </c>
      <c r="H204" s="21">
        <f t="shared" ref="H204:N204" si="106">H184+Q184+Z184</f>
        <v>99301431.112157464</v>
      </c>
      <c r="I204" s="21">
        <f t="shared" si="106"/>
        <v>91644937.298126981</v>
      </c>
      <c r="J204" s="21">
        <f t="shared" si="106"/>
        <v>90609514.348055288</v>
      </c>
      <c r="K204" s="21">
        <f t="shared" si="106"/>
        <v>89586926.275919646</v>
      </c>
      <c r="L204" s="21">
        <f t="shared" si="106"/>
        <v>88577006.790190831</v>
      </c>
      <c r="M204" s="21">
        <f t="shared" si="106"/>
        <v>87579591.795414567</v>
      </c>
      <c r="N204" s="21">
        <f t="shared" si="106"/>
        <v>86594519.362979531</v>
      </c>
      <c r="Q204" s="1">
        <v>2025</v>
      </c>
      <c r="R204" s="18" t="s">
        <v>128</v>
      </c>
      <c r="S204" s="5">
        <f t="shared" si="101"/>
        <v>6161108.3229049342</v>
      </c>
      <c r="T204" s="5">
        <f t="shared" si="102"/>
        <v>3291190.3434321228</v>
      </c>
      <c r="U204" s="5">
        <f t="shared" si="103"/>
        <v>19052438.062071662</v>
      </c>
      <c r="V204" s="5"/>
      <c r="W204" s="5"/>
    </row>
    <row r="205" spans="7:23" ht="13.2" x14ac:dyDescent="0.25">
      <c r="Q205" s="1">
        <v>2025</v>
      </c>
      <c r="R205" s="18" t="s">
        <v>129</v>
      </c>
      <c r="S205" s="5">
        <f t="shared" si="101"/>
        <v>14715296.009163985</v>
      </c>
      <c r="T205" s="5">
        <f t="shared" si="102"/>
        <v>7860735.0476303343</v>
      </c>
      <c r="U205" s="5">
        <f t="shared" si="103"/>
        <v>59497570.152916707</v>
      </c>
    </row>
    <row r="206" spans="7:23" ht="13.2" x14ac:dyDescent="0.25">
      <c r="Q206" s="1">
        <v>2025</v>
      </c>
      <c r="R206" s="18" t="s">
        <v>130</v>
      </c>
      <c r="S206" s="5">
        <f t="shared" si="101"/>
        <v>20004057.477278251</v>
      </c>
      <c r="T206" s="5">
        <f t="shared" si="102"/>
        <v>10685928.139571715</v>
      </c>
      <c r="U206" s="5">
        <f t="shared" si="103"/>
        <v>69708578.702754423</v>
      </c>
    </row>
    <row r="207" spans="7:23" ht="13.2" x14ac:dyDescent="0.25">
      <c r="Q207" s="1">
        <v>2025</v>
      </c>
      <c r="R207" s="18" t="s">
        <v>132</v>
      </c>
      <c r="S207" s="5">
        <f t="shared" ref="S207:S212" si="107">I179</f>
        <v>31120460.4190959</v>
      </c>
      <c r="T207" s="5">
        <f t="shared" ref="T207:T212" si="108">R179</f>
        <v>16624177.574303366</v>
      </c>
      <c r="U207" s="5">
        <f t="shared" ref="U207:U212" si="109">AA179</f>
        <v>136897674.98239952</v>
      </c>
      <c r="V207" s="5"/>
      <c r="W207" s="5"/>
    </row>
    <row r="208" spans="7:23" ht="13.2" x14ac:dyDescent="0.25">
      <c r="Q208" s="1">
        <v>2025</v>
      </c>
      <c r="R208" s="18" t="s">
        <v>133</v>
      </c>
      <c r="S208" s="5">
        <f t="shared" si="107"/>
        <v>5350974.5690910034</v>
      </c>
      <c r="T208" s="5">
        <f t="shared" si="108"/>
        <v>2858426.5860528867</v>
      </c>
      <c r="U208" s="5">
        <f t="shared" si="109"/>
        <v>13372322.575896135</v>
      </c>
      <c r="V208" s="5"/>
      <c r="W208" s="5"/>
    </row>
    <row r="209" spans="17:23" ht="13.2" x14ac:dyDescent="0.25">
      <c r="Q209" s="1">
        <v>2025</v>
      </c>
      <c r="R209" s="18" t="s">
        <v>134</v>
      </c>
      <c r="S209" s="5">
        <f t="shared" si="107"/>
        <v>4171750.7208086513</v>
      </c>
      <c r="T209" s="5">
        <f t="shared" si="108"/>
        <v>2228499.3166712881</v>
      </c>
      <c r="U209" s="5">
        <f t="shared" si="109"/>
        <v>7155766.2612318397</v>
      </c>
      <c r="V209" s="5"/>
      <c r="W209" s="5"/>
    </row>
    <row r="210" spans="17:23" ht="13.2" x14ac:dyDescent="0.25">
      <c r="Q210" s="1">
        <v>2025</v>
      </c>
      <c r="R210" s="18" t="s">
        <v>135</v>
      </c>
      <c r="S210" s="5">
        <f t="shared" si="107"/>
        <v>6095342.9230346624</v>
      </c>
      <c r="T210" s="5">
        <f t="shared" si="108"/>
        <v>3256059.2537578326</v>
      </c>
      <c r="U210" s="5">
        <f t="shared" si="109"/>
        <v>18545905.69231943</v>
      </c>
      <c r="V210" s="5"/>
      <c r="W210" s="5"/>
    </row>
    <row r="211" spans="17:23" ht="13.2" x14ac:dyDescent="0.25">
      <c r="Q211" s="1">
        <v>2025</v>
      </c>
      <c r="R211" s="18" t="s">
        <v>136</v>
      </c>
      <c r="S211" s="5">
        <f t="shared" si="107"/>
        <v>14558189.436812535</v>
      </c>
      <c r="T211" s="5">
        <f t="shared" si="108"/>
        <v>7776810.5965878926</v>
      </c>
      <c r="U211" s="5">
        <f t="shared" si="109"/>
        <v>57915761.42201972</v>
      </c>
      <c r="V211" s="5"/>
      <c r="W211" s="5"/>
    </row>
    <row r="212" spans="17:23" ht="13.2" x14ac:dyDescent="0.25">
      <c r="Q212" s="1">
        <v>2025</v>
      </c>
      <c r="R212" s="18" t="s">
        <v>137</v>
      </c>
      <c r="S212" s="5">
        <f t="shared" si="107"/>
        <v>15506338.047189772</v>
      </c>
      <c r="T212" s="5">
        <f t="shared" si="108"/>
        <v>8283300.2388834255</v>
      </c>
      <c r="U212" s="5">
        <f t="shared" si="109"/>
        <v>67855299.012053788</v>
      </c>
      <c r="V212" s="5"/>
      <c r="W212" s="5"/>
    </row>
    <row r="213" spans="17:23" ht="13.2" x14ac:dyDescent="0.25">
      <c r="Q213" s="1">
        <v>2026</v>
      </c>
      <c r="R213" s="18" t="s">
        <v>125</v>
      </c>
      <c r="S213" s="5">
        <f t="shared" ref="S213:U213" si="110">J170</f>
        <v>35976013.205613427</v>
      </c>
      <c r="T213" s="5">
        <f t="shared" si="110"/>
        <v>35976013.205613427</v>
      </c>
      <c r="U213" s="5">
        <f t="shared" si="110"/>
        <v>35976013.205613427</v>
      </c>
      <c r="V213" s="5"/>
      <c r="W213" s="5"/>
    </row>
    <row r="214" spans="17:23" ht="13.2" x14ac:dyDescent="0.25">
      <c r="Q214" s="1">
        <v>2026</v>
      </c>
      <c r="R214" s="18" t="s">
        <v>126</v>
      </c>
      <c r="S214" s="5">
        <f t="shared" ref="S214:U214" si="111">J171</f>
        <v>5408699.2736700801</v>
      </c>
      <c r="T214" s="5">
        <f t="shared" si="111"/>
        <v>5408699.2736700801</v>
      </c>
      <c r="U214" s="5">
        <f t="shared" si="111"/>
        <v>5408699.2736700801</v>
      </c>
    </row>
    <row r="215" spans="17:23" ht="13.2" x14ac:dyDescent="0.25">
      <c r="Q215" s="1">
        <v>2026</v>
      </c>
      <c r="R215" s="18" t="s">
        <v>127</v>
      </c>
      <c r="S215" s="5">
        <f t="shared" ref="S215:U215" si="112">J172</f>
        <v>4216739.9826617083</v>
      </c>
      <c r="T215" s="5">
        <f t="shared" si="112"/>
        <v>4216739.9826617083</v>
      </c>
      <c r="U215" s="5">
        <f t="shared" si="112"/>
        <v>4216739.9826617083</v>
      </c>
    </row>
    <row r="216" spans="17:23" ht="13.2" x14ac:dyDescent="0.25">
      <c r="Q216" s="1">
        <v>2026</v>
      </c>
      <c r="R216" s="18" t="s">
        <v>128</v>
      </c>
      <c r="S216" s="5">
        <f t="shared" ref="S216:U216" si="113">J173</f>
        <v>6161108.3229049342</v>
      </c>
      <c r="T216" s="5">
        <f t="shared" si="113"/>
        <v>6161108.3229049342</v>
      </c>
      <c r="U216" s="5">
        <f t="shared" si="113"/>
        <v>6161108.3229049342</v>
      </c>
    </row>
    <row r="217" spans="17:23" ht="13.2" x14ac:dyDescent="0.25">
      <c r="Q217" s="1">
        <v>2026</v>
      </c>
      <c r="R217" s="18" t="s">
        <v>129</v>
      </c>
      <c r="S217" s="5">
        <f t="shared" ref="S217:U217" si="114">J174</f>
        <v>14715296.009163985</v>
      </c>
      <c r="T217" s="5">
        <f t="shared" si="114"/>
        <v>14715296.009163985</v>
      </c>
      <c r="U217" s="5">
        <f t="shared" si="114"/>
        <v>14715296.009163985</v>
      </c>
    </row>
    <row r="218" spans="17:23" ht="13.2" x14ac:dyDescent="0.25">
      <c r="Q218" s="1">
        <v>2026</v>
      </c>
      <c r="R218" s="18" t="s">
        <v>130</v>
      </c>
      <c r="S218" s="5">
        <f t="shared" ref="S218:U218" si="115">J175</f>
        <v>20004057.477278251</v>
      </c>
      <c r="T218" s="5">
        <f t="shared" si="115"/>
        <v>20004057.477278251</v>
      </c>
      <c r="U218" s="5">
        <f t="shared" si="115"/>
        <v>20004057.477278251</v>
      </c>
    </row>
    <row r="219" spans="17:23" ht="13.2" x14ac:dyDescent="0.25">
      <c r="Q219" s="1">
        <v>2026</v>
      </c>
      <c r="R219" s="18" t="s">
        <v>132</v>
      </c>
      <c r="S219" s="5">
        <f t="shared" ref="S219:U219" si="116">J179</f>
        <v>30953876.298792195</v>
      </c>
      <c r="T219" s="5">
        <f t="shared" si="116"/>
        <v>30788184.869676236</v>
      </c>
      <c r="U219" s="5">
        <f t="shared" si="116"/>
        <v>30623381.344131928</v>
      </c>
    </row>
    <row r="220" spans="17:23" ht="13.2" x14ac:dyDescent="0.25">
      <c r="Q220" s="1">
        <v>2026</v>
      </c>
      <c r="R220" s="18" t="s">
        <v>133</v>
      </c>
      <c r="S220" s="5">
        <f t="shared" ref="S220:U220" si="117">J180</f>
        <v>5322343.9380641999</v>
      </c>
      <c r="T220" s="5">
        <f t="shared" si="117"/>
        <v>5293866.6839595223</v>
      </c>
      <c r="U220" s="5">
        <f t="shared" si="117"/>
        <v>5265541.9843884939</v>
      </c>
    </row>
    <row r="221" spans="17:23" ht="13.2" x14ac:dyDescent="0.25">
      <c r="Q221" s="1">
        <v>2026</v>
      </c>
      <c r="R221" s="18" t="s">
        <v>134</v>
      </c>
      <c r="S221" s="5">
        <f t="shared" ref="S221:U221" si="118">J181</f>
        <v>4149436.6252242588</v>
      </c>
      <c r="T221" s="5">
        <f t="shared" si="118"/>
        <v>4127242.040704851</v>
      </c>
      <c r="U221" s="5">
        <f t="shared" si="118"/>
        <v>4105166.3265545322</v>
      </c>
    </row>
    <row r="222" spans="17:23" ht="13.2" x14ac:dyDescent="0.25">
      <c r="Q222" s="1">
        <v>2026</v>
      </c>
      <c r="R222" s="18" t="s">
        <v>135</v>
      </c>
      <c r="S222" s="5">
        <f t="shared" ref="S222:U222" si="119">J182</f>
        <v>6062724.3978615142</v>
      </c>
      <c r="T222" s="5">
        <f t="shared" si="119"/>
        <v>6030280.6331725372</v>
      </c>
      <c r="U222" s="5">
        <f t="shared" si="119"/>
        <v>5998010.6918447409</v>
      </c>
    </row>
    <row r="223" spans="17:23" ht="13.2" x14ac:dyDescent="0.25">
      <c r="Q223" s="1">
        <v>2026</v>
      </c>
      <c r="R223" s="18" t="s">
        <v>136</v>
      </c>
      <c r="S223" s="5">
        <f t="shared" ref="S223:U223" si="120">J183</f>
        <v>14480266.981778989</v>
      </c>
      <c r="T223" s="5">
        <f t="shared" si="120"/>
        <v>14402762.074982874</v>
      </c>
      <c r="U223" s="5">
        <f t="shared" si="120"/>
        <v>14325672.47714882</v>
      </c>
    </row>
    <row r="224" spans="17:23" ht="13.2" x14ac:dyDescent="0.25">
      <c r="Q224" s="1">
        <v>2026</v>
      </c>
      <c r="R224" s="18" t="s">
        <v>137</v>
      </c>
      <c r="S224" s="5">
        <f t="shared" ref="S224:U224" si="121">J184</f>
        <v>15423334.78464509</v>
      </c>
      <c r="T224" s="5">
        <f t="shared" si="121"/>
        <v>15340776.318835208</v>
      </c>
      <c r="U224" s="5">
        <f t="shared" si="121"/>
        <v>15258660.264263686</v>
      </c>
    </row>
  </sheetData>
  <mergeCells count="19">
    <mergeCell ref="H188:N188"/>
    <mergeCell ref="H197:N197"/>
    <mergeCell ref="H100:N100"/>
    <mergeCell ref="H109:N109"/>
    <mergeCell ref="H118:N118"/>
    <mergeCell ref="H127:N127"/>
    <mergeCell ref="H168:N168"/>
    <mergeCell ref="H46:N46"/>
    <mergeCell ref="H55:N55"/>
    <mergeCell ref="H177:N177"/>
    <mergeCell ref="Q177:W177"/>
    <mergeCell ref="Z177:AF177"/>
    <mergeCell ref="Q168:W168"/>
    <mergeCell ref="Z168:AF168"/>
    <mergeCell ref="H1:N1"/>
    <mergeCell ref="H10:N10"/>
    <mergeCell ref="H19:N19"/>
    <mergeCell ref="H28:N28"/>
    <mergeCell ref="H37:N37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44"/>
  <sheetViews>
    <sheetView showGridLines="0" workbookViewId="0"/>
  </sheetViews>
  <sheetFormatPr defaultColWidth="12.6640625" defaultRowHeight="15.75" customHeight="1" x14ac:dyDescent="0.25"/>
  <cols>
    <col min="1" max="1" width="9.88671875" customWidth="1"/>
    <col min="2" max="2" width="8" customWidth="1"/>
    <col min="3" max="3" width="11.21875" customWidth="1"/>
    <col min="4" max="4" width="15.44140625" customWidth="1"/>
    <col min="5" max="5" width="16.88671875" customWidth="1"/>
    <col min="7" max="7" width="5.6640625" customWidth="1"/>
    <col min="8" max="8" width="25.6640625" customWidth="1"/>
    <col min="9" max="10" width="18.77734375" customWidth="1"/>
  </cols>
  <sheetData>
    <row r="1" spans="1:12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 spans="1:12" x14ac:dyDescent="0.25">
      <c r="A2" s="1" t="s">
        <v>4</v>
      </c>
      <c r="B2" s="2">
        <v>0.1</v>
      </c>
      <c r="C2" s="1" t="s">
        <v>5</v>
      </c>
      <c r="D2" s="1" t="s">
        <v>6</v>
      </c>
      <c r="E2" s="1" t="s">
        <v>7</v>
      </c>
    </row>
    <row r="3" spans="1:12" x14ac:dyDescent="0.25">
      <c r="A3" s="1" t="s">
        <v>8</v>
      </c>
      <c r="B3" s="2">
        <v>15</v>
      </c>
      <c r="C3" s="1" t="s">
        <v>5</v>
      </c>
      <c r="D3" s="1" t="s">
        <v>9</v>
      </c>
      <c r="E3" s="1" t="s">
        <v>10</v>
      </c>
    </row>
    <row r="4" spans="1:12" x14ac:dyDescent="0.25">
      <c r="A4" s="1" t="s">
        <v>11</v>
      </c>
      <c r="B4" s="2">
        <v>7.38</v>
      </c>
      <c r="C4" s="1" t="s">
        <v>5</v>
      </c>
      <c r="D4" s="1" t="s">
        <v>12</v>
      </c>
      <c r="E4" s="1" t="s">
        <v>7</v>
      </c>
      <c r="G4" s="1"/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 x14ac:dyDescent="0.25">
      <c r="A5" s="1" t="s">
        <v>18</v>
      </c>
      <c r="B5" s="2">
        <v>4</v>
      </c>
      <c r="C5" s="4" t="s">
        <v>19</v>
      </c>
      <c r="D5" s="1" t="s">
        <v>20</v>
      </c>
      <c r="E5" s="1" t="s">
        <v>21</v>
      </c>
      <c r="G5" s="1"/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</row>
    <row r="6" spans="1:12" x14ac:dyDescent="0.25">
      <c r="A6" s="1" t="s">
        <v>27</v>
      </c>
      <c r="B6" s="2">
        <v>44.01</v>
      </c>
      <c r="C6" s="1" t="s">
        <v>28</v>
      </c>
      <c r="D6" s="1" t="s">
        <v>29</v>
      </c>
      <c r="E6" s="1" t="s">
        <v>30</v>
      </c>
      <c r="H6" s="3" t="s">
        <v>31</v>
      </c>
      <c r="I6" s="3" t="s">
        <v>32</v>
      </c>
      <c r="J6" s="3" t="s">
        <v>33</v>
      </c>
      <c r="K6" s="3" t="s">
        <v>34</v>
      </c>
      <c r="L6" s="3" t="s">
        <v>35</v>
      </c>
    </row>
    <row r="7" spans="1:12" x14ac:dyDescent="0.25">
      <c r="A7" s="1" t="s">
        <v>36</v>
      </c>
      <c r="B7" s="2">
        <v>8.3140000000000001</v>
      </c>
      <c r="C7" s="1" t="s">
        <v>37</v>
      </c>
      <c r="D7" s="1" t="s">
        <v>38</v>
      </c>
      <c r="E7" s="1" t="s">
        <v>30</v>
      </c>
      <c r="H7" s="3" t="s">
        <v>39</v>
      </c>
      <c r="I7" s="3" t="s">
        <v>40</v>
      </c>
      <c r="J7" s="3" t="s">
        <v>41</v>
      </c>
      <c r="K7" s="3" t="s">
        <v>42</v>
      </c>
      <c r="L7" s="3" t="s">
        <v>43</v>
      </c>
    </row>
    <row r="8" spans="1:12" x14ac:dyDescent="0.25">
      <c r="A8" s="1" t="s">
        <v>44</v>
      </c>
      <c r="B8" s="2">
        <v>313.14999999999998</v>
      </c>
      <c r="C8" s="1" t="s">
        <v>45</v>
      </c>
      <c r="D8" s="1" t="s">
        <v>46</v>
      </c>
      <c r="E8" s="1" t="s">
        <v>21</v>
      </c>
    </row>
    <row r="9" spans="1:12" x14ac:dyDescent="0.25">
      <c r="A9" s="1" t="s">
        <v>47</v>
      </c>
      <c r="B9" s="2">
        <v>0.82</v>
      </c>
      <c r="C9" s="4" t="s">
        <v>19</v>
      </c>
      <c r="D9" s="1" t="s">
        <v>48</v>
      </c>
      <c r="E9" s="1" t="s">
        <v>49</v>
      </c>
    </row>
    <row r="10" spans="1:12" x14ac:dyDescent="0.25">
      <c r="A10" s="1" t="s">
        <v>50</v>
      </c>
      <c r="B10" s="1">
        <v>25000</v>
      </c>
      <c r="F10" s="1">
        <v>82628.850000000006</v>
      </c>
    </row>
    <row r="11" spans="1:12" x14ac:dyDescent="0.25">
      <c r="A11" s="1" t="s">
        <v>51</v>
      </c>
      <c r="B11" s="1">
        <v>630</v>
      </c>
    </row>
    <row r="12" spans="1:12" x14ac:dyDescent="0.25">
      <c r="A12" s="1" t="s">
        <v>52</v>
      </c>
      <c r="B12" s="1">
        <v>0.75</v>
      </c>
      <c r="E12" s="1">
        <v>356</v>
      </c>
    </row>
    <row r="13" spans="1:12" x14ac:dyDescent="0.25">
      <c r="A13" s="1"/>
      <c r="E13" s="1"/>
      <c r="H13" s="48" t="s">
        <v>53</v>
      </c>
      <c r="I13" s="49"/>
      <c r="J13" s="50"/>
    </row>
    <row r="14" spans="1:12" x14ac:dyDescent="0.25">
      <c r="A14" s="1" t="s">
        <v>54</v>
      </c>
      <c r="E14" s="1" t="s">
        <v>55</v>
      </c>
      <c r="H14" s="6" t="s">
        <v>56</v>
      </c>
      <c r="I14" s="48" t="s">
        <v>57</v>
      </c>
      <c r="J14" s="50"/>
    </row>
    <row r="15" spans="1:12" x14ac:dyDescent="0.25">
      <c r="A15" s="1" t="s">
        <v>58</v>
      </c>
      <c r="B15" s="7">
        <f>(B4/B2)^(1/B5)</f>
        <v>2.9309883380808275</v>
      </c>
      <c r="H15" s="6"/>
      <c r="I15" s="6" t="s">
        <v>59</v>
      </c>
      <c r="J15" s="6" t="s">
        <v>60</v>
      </c>
    </row>
    <row r="16" spans="1:12" x14ac:dyDescent="0.25">
      <c r="A16" s="1"/>
      <c r="H16" s="6">
        <v>300</v>
      </c>
      <c r="I16" s="6">
        <v>1176</v>
      </c>
      <c r="J16" s="6">
        <v>56</v>
      </c>
    </row>
    <row r="17" spans="1:10" x14ac:dyDescent="0.25">
      <c r="B17" s="1" t="s">
        <v>61</v>
      </c>
      <c r="C17" s="5">
        <f>(1000/(24*3600))*($B$10*C18*$B$7*$B$8/($B$6*$B$9))*(C19/(C19-1))*($B$15^(((C19-1)/C19))-1)</f>
        <v>25123.83279465956</v>
      </c>
      <c r="D17" s="8">
        <f>((22.26+((5.981*10^-2)*$E$12)+((-3.501*10^-5)*$E$12^2)+((7.469*10^-9)*$E$12^3))/44.01)/D18</f>
        <v>1.2670022094930111</v>
      </c>
      <c r="E17" s="1" t="s">
        <v>62</v>
      </c>
      <c r="F17" s="5">
        <f>((1000*10)/(24*36))*((B10*(B3-B4))/(B11*B12))</f>
        <v>4666.3727219282782</v>
      </c>
      <c r="H17" s="6">
        <v>5000</v>
      </c>
      <c r="I17" s="6">
        <v>19605</v>
      </c>
      <c r="J17" s="6">
        <v>933</v>
      </c>
    </row>
    <row r="18" spans="1:10" x14ac:dyDescent="0.25">
      <c r="B18" s="1" t="s">
        <v>63</v>
      </c>
      <c r="C18" s="1">
        <v>0.995</v>
      </c>
      <c r="D18" s="1">
        <f>((22.26+((5.981*10^-2)*$E$12)+((-3.501*10^-5)*$E$12^2)+((7.469*10^-9)*$E$12^3))/44.01)-(8.314/44.01)</f>
        <v>0.70752826860949791</v>
      </c>
      <c r="H18" s="6">
        <v>10000</v>
      </c>
      <c r="I18" s="6">
        <v>39210</v>
      </c>
      <c r="J18" s="6">
        <v>1867</v>
      </c>
    </row>
    <row r="19" spans="1:10" x14ac:dyDescent="0.25">
      <c r="A19" s="9">
        <v>1.2769999999999999</v>
      </c>
      <c r="B19" s="1" t="s">
        <v>64</v>
      </c>
      <c r="C19" s="8">
        <f>D17/C18</f>
        <v>1.2733690547668453</v>
      </c>
      <c r="D19" s="8">
        <f>D17/C18</f>
        <v>1.2733690547668453</v>
      </c>
      <c r="H19" s="6">
        <v>15000</v>
      </c>
      <c r="I19" s="6">
        <v>58816</v>
      </c>
      <c r="J19" s="6">
        <v>2800</v>
      </c>
    </row>
    <row r="20" spans="1:10" x14ac:dyDescent="0.25">
      <c r="H20" s="6">
        <v>20000</v>
      </c>
      <c r="I20" s="6">
        <v>78421</v>
      </c>
      <c r="J20" s="6">
        <v>3733</v>
      </c>
    </row>
    <row r="21" spans="1:10" x14ac:dyDescent="0.25">
      <c r="B21" s="1" t="s">
        <v>65</v>
      </c>
      <c r="C21" s="5">
        <f>(1000/(24*3600))*($B$10*C22*$B$7*$B$8/($B$6*$B$9))*(C23/(C23-1))*($B$15^(((C23-1)/C23))-1)</f>
        <v>24995.58089898419</v>
      </c>
      <c r="D21" s="8">
        <f>((22.26+((5.981*10^-2)*$E$12)+((-3.501*10^-5)*$E$12^2)+((7.469*10^-9)*$E$12^3))/44.01)/D22</f>
        <v>1.2670022094930111</v>
      </c>
      <c r="H21" s="6">
        <v>25000</v>
      </c>
      <c r="I21" s="6">
        <v>98026</v>
      </c>
      <c r="J21" s="6">
        <v>4666</v>
      </c>
    </row>
    <row r="22" spans="1:10" x14ac:dyDescent="0.25">
      <c r="B22" s="1" t="s">
        <v>63</v>
      </c>
      <c r="C22" s="1">
        <v>0.98599999999999999</v>
      </c>
      <c r="D22" s="1">
        <f>((22.26+((5.981*10^-2)*$E$12)+((-3.501*10^-5)*$E$12^2)+((7.469*10^-9)*$E$12^3))/44.01)-(8.314/44.01)</f>
        <v>0.70752826860949791</v>
      </c>
      <c r="E22" s="1" t="s">
        <v>66</v>
      </c>
      <c r="F22" s="5">
        <f>SUM(C17,C21,C25,C29)</f>
        <v>98026.063961055799</v>
      </c>
      <c r="H22" s="6">
        <v>30000</v>
      </c>
      <c r="I22" s="6">
        <v>117631</v>
      </c>
      <c r="J22" s="6">
        <v>5600</v>
      </c>
    </row>
    <row r="23" spans="1:10" x14ac:dyDescent="0.25">
      <c r="A23" s="9">
        <v>1.286</v>
      </c>
      <c r="B23" s="1" t="s">
        <v>64</v>
      </c>
      <c r="C23" s="8">
        <f>D21/C22</f>
        <v>1.2849920988772932</v>
      </c>
      <c r="D23" s="8">
        <f>D21/C22</f>
        <v>1.2849920988772932</v>
      </c>
      <c r="E23" s="1" t="s">
        <v>67</v>
      </c>
      <c r="F23" s="1">
        <f>ROUNDUP(F22/60000,0)</f>
        <v>2</v>
      </c>
      <c r="H23" s="6">
        <v>35000</v>
      </c>
      <c r="I23" s="6">
        <v>137236</v>
      </c>
      <c r="J23" s="6">
        <v>6533</v>
      </c>
    </row>
    <row r="24" spans="1:10" x14ac:dyDescent="0.25">
      <c r="H24" s="6">
        <v>40000</v>
      </c>
      <c r="I24" s="6">
        <v>156842</v>
      </c>
      <c r="J24" s="6">
        <v>7466</v>
      </c>
    </row>
    <row r="25" spans="1:10" x14ac:dyDescent="0.25">
      <c r="B25" s="1" t="s">
        <v>68</v>
      </c>
      <c r="C25" s="5">
        <f>(1000/(24*3600))*($B$10*C26*$B$7*$B$8/($B$6*$B$9))*(C27/(C27-1))*($B$15^(((C27-1)/C27))-1)</f>
        <v>24603.000522556187</v>
      </c>
      <c r="D25" s="8">
        <f>((22.26+((5.981*10^-2)*$E$12)+((-3.501*10^-5)*$E$12^2)+((7.469*10^-9)*$E$12^3))/44.01)/D26</f>
        <v>1.2670022094930111</v>
      </c>
      <c r="H25" s="6">
        <v>45000</v>
      </c>
      <c r="I25" s="6">
        <v>176447</v>
      </c>
      <c r="J25" s="6">
        <v>8399</v>
      </c>
    </row>
    <row r="26" spans="1:10" x14ac:dyDescent="0.25">
      <c r="B26" s="1" t="s">
        <v>63</v>
      </c>
      <c r="C26" s="1">
        <v>0.95899999999999996</v>
      </c>
      <c r="D26" s="1">
        <f>((22.26+((5.981*10^-2)*$E$12)+((-3.501*10^-5)*$E$12^2)+((7.469*10^-9)*$E$12^3))/44.01)-(8.314/44.01)</f>
        <v>0.70752826860949791</v>
      </c>
      <c r="H26" s="6">
        <v>50000</v>
      </c>
      <c r="I26" s="6">
        <v>196052</v>
      </c>
      <c r="J26" s="6">
        <v>9333</v>
      </c>
    </row>
    <row r="27" spans="1:10" x14ac:dyDescent="0.25">
      <c r="A27" s="9">
        <v>1.379</v>
      </c>
      <c r="B27" s="1" t="s">
        <v>64</v>
      </c>
      <c r="C27" s="8">
        <f>D25/C26</f>
        <v>1.3211701871668522</v>
      </c>
      <c r="D27" s="8">
        <f>D25/C26</f>
        <v>1.3211701871668522</v>
      </c>
      <c r="H27" s="6">
        <v>55000</v>
      </c>
      <c r="I27" s="6">
        <v>215657</v>
      </c>
      <c r="J27" s="6">
        <v>10266</v>
      </c>
    </row>
    <row r="28" spans="1:10" x14ac:dyDescent="0.25">
      <c r="H28" s="6">
        <v>60000</v>
      </c>
      <c r="I28" s="6">
        <v>235263</v>
      </c>
      <c r="J28" s="6">
        <v>11199</v>
      </c>
    </row>
    <row r="29" spans="1:10" x14ac:dyDescent="0.25">
      <c r="B29" s="1" t="s">
        <v>69</v>
      </c>
      <c r="C29" s="5">
        <f>(1000/(24*3600))*($B$10*C30*$B$7*$B$8/($B$6*$B$9))*(C31/(C31-1))*($B$15^(((C31-1)/C31))-1)</f>
        <v>23303.649744855873</v>
      </c>
      <c r="D29" s="8">
        <f>((22.26+((5.981*10^-2)*$E$12)+((-3.501*10^-5)*$E$12^2)+((7.469*10^-9)*$E$12^3))/44.01)/D30</f>
        <v>1.2670022094930111</v>
      </c>
      <c r="H29" s="6">
        <v>65000</v>
      </c>
      <c r="I29" s="6">
        <v>254868</v>
      </c>
      <c r="J29" s="6">
        <v>12133</v>
      </c>
    </row>
    <row r="30" spans="1:10" x14ac:dyDescent="0.25">
      <c r="B30" s="1" t="s">
        <v>63</v>
      </c>
      <c r="C30" s="1">
        <v>0.875</v>
      </c>
      <c r="D30" s="1">
        <f>((22.26+((5.981*10^-2)*$E$12)+((-3.501*10^-5)*$E$12^2)+((7.469*10^-9)*$E$12^3))/44.01)-(8.314/44.01)</f>
        <v>0.70752826860949791</v>
      </c>
    </row>
    <row r="31" spans="1:10" x14ac:dyDescent="0.25">
      <c r="A31" s="9">
        <v>1.704</v>
      </c>
      <c r="B31" s="1" t="s">
        <v>64</v>
      </c>
      <c r="C31" s="8">
        <f>D29/C30</f>
        <v>1.4480025251348698</v>
      </c>
      <c r="D31" s="8">
        <f>D29/C30</f>
        <v>1.4480025251348698</v>
      </c>
    </row>
    <row r="32" spans="1:10" x14ac:dyDescent="0.25">
      <c r="H32" s="48" t="s">
        <v>70</v>
      </c>
      <c r="I32" s="49"/>
      <c r="J32" s="50"/>
    </row>
    <row r="33" spans="3:10" x14ac:dyDescent="0.25">
      <c r="C33" s="5"/>
      <c r="H33" s="6" t="s">
        <v>56</v>
      </c>
      <c r="I33" s="48" t="s">
        <v>57</v>
      </c>
      <c r="J33" s="50"/>
    </row>
    <row r="34" spans="3:10" x14ac:dyDescent="0.25">
      <c r="H34" s="6"/>
      <c r="I34" s="6" t="s">
        <v>59</v>
      </c>
      <c r="J34" s="6" t="s">
        <v>60</v>
      </c>
    </row>
    <row r="35" spans="3:10" x14ac:dyDescent="0.25">
      <c r="H35" s="6">
        <v>1000</v>
      </c>
      <c r="I35" s="6">
        <v>3921</v>
      </c>
      <c r="J35" s="6">
        <v>187</v>
      </c>
    </row>
    <row r="36" spans="3:10" x14ac:dyDescent="0.25">
      <c r="H36" s="6">
        <v>5000</v>
      </c>
      <c r="I36" s="6">
        <f>I17</f>
        <v>19605</v>
      </c>
      <c r="J36" s="6">
        <v>933</v>
      </c>
    </row>
    <row r="37" spans="3:10" x14ac:dyDescent="0.25">
      <c r="H37" s="6">
        <v>15000</v>
      </c>
      <c r="I37" s="6">
        <f>I19</f>
        <v>58816</v>
      </c>
      <c r="J37" s="6">
        <v>2800</v>
      </c>
    </row>
    <row r="38" spans="3:10" x14ac:dyDescent="0.25">
      <c r="H38" s="6">
        <v>25000</v>
      </c>
      <c r="I38" s="6">
        <f>I21</f>
        <v>98026</v>
      </c>
      <c r="J38" s="6">
        <v>4666</v>
      </c>
    </row>
    <row r="39" spans="3:10" x14ac:dyDescent="0.25">
      <c r="H39" s="6">
        <v>35000</v>
      </c>
      <c r="I39" s="6">
        <f>I23</f>
        <v>137236</v>
      </c>
      <c r="J39" s="6">
        <v>6533</v>
      </c>
    </row>
    <row r="40" spans="3:10" x14ac:dyDescent="0.25">
      <c r="C40" s="5"/>
      <c r="H40" s="6">
        <v>45000</v>
      </c>
      <c r="I40" s="6">
        <f>I25</f>
        <v>176447</v>
      </c>
      <c r="J40" s="6">
        <v>8399</v>
      </c>
    </row>
    <row r="41" spans="3:10" x14ac:dyDescent="0.25">
      <c r="H41" s="6">
        <v>55000</v>
      </c>
      <c r="I41" s="6">
        <f>I27</f>
        <v>215657</v>
      </c>
      <c r="J41" s="6">
        <v>10266</v>
      </c>
    </row>
    <row r="42" spans="3:10" x14ac:dyDescent="0.25">
      <c r="H42" s="6">
        <v>65000</v>
      </c>
      <c r="I42" s="6">
        <f>I29</f>
        <v>254868</v>
      </c>
      <c r="J42" s="6">
        <v>12133</v>
      </c>
    </row>
    <row r="44" spans="3:10" x14ac:dyDescent="0.25">
      <c r="J44" s="10"/>
    </row>
  </sheetData>
  <mergeCells count="4">
    <mergeCell ref="H13:J13"/>
    <mergeCell ref="I14:J14"/>
    <mergeCell ref="H32:J32"/>
    <mergeCell ref="I33:J3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7"/>
  <sheetViews>
    <sheetView showGridLines="0" workbookViewId="0"/>
  </sheetViews>
  <sheetFormatPr defaultColWidth="12.6640625" defaultRowHeight="15.75" customHeight="1" x14ac:dyDescent="0.25"/>
  <cols>
    <col min="5" max="5" width="5.88671875" customWidth="1"/>
    <col min="6" max="6" width="26.77734375" customWidth="1"/>
    <col min="7" max="8" width="19.33203125" customWidth="1"/>
    <col min="9" max="9" width="6" customWidth="1"/>
    <col min="10" max="10" width="25.88671875" customWidth="1"/>
    <col min="11" max="18" width="13" customWidth="1"/>
  </cols>
  <sheetData>
    <row r="1" spans="1:22" x14ac:dyDescent="0.25">
      <c r="A1" s="1" t="s">
        <v>71</v>
      </c>
      <c r="B1" s="1">
        <v>0.8</v>
      </c>
    </row>
    <row r="2" spans="1:22" x14ac:dyDescent="0.25">
      <c r="A2" s="1" t="s">
        <v>72</v>
      </c>
    </row>
    <row r="3" spans="1:22" x14ac:dyDescent="0.25">
      <c r="A3" s="1" t="s">
        <v>73</v>
      </c>
      <c r="B3" s="7">
        <f>(1000*'Cópia de Custo energia compress'!B10)/(24*3600*'Cópia de Custo energia compress'!F23)</f>
        <v>144.67592592592592</v>
      </c>
      <c r="C3" s="1" t="s">
        <v>74</v>
      </c>
      <c r="F3" s="48" t="s">
        <v>75</v>
      </c>
      <c r="G3" s="49"/>
      <c r="H3" s="50"/>
      <c r="J3" s="48" t="s">
        <v>76</v>
      </c>
      <c r="K3" s="49"/>
      <c r="L3" s="49"/>
      <c r="M3" s="49"/>
      <c r="N3" s="49"/>
      <c r="O3" s="49"/>
      <c r="P3" s="49"/>
      <c r="Q3" s="49"/>
      <c r="R3" s="50"/>
    </row>
    <row r="4" spans="1:22" x14ac:dyDescent="0.25">
      <c r="A4" s="1" t="s">
        <v>77</v>
      </c>
      <c r="B4" s="1">
        <v>9.3600000000000003E-2</v>
      </c>
      <c r="F4" s="6" t="s">
        <v>56</v>
      </c>
      <c r="G4" s="48" t="s">
        <v>57</v>
      </c>
      <c r="H4" s="50"/>
      <c r="J4" s="6" t="s">
        <v>56</v>
      </c>
      <c r="K4" s="6" t="s">
        <v>78</v>
      </c>
      <c r="L4" s="6" t="s">
        <v>79</v>
      </c>
      <c r="M4" s="6" t="s">
        <v>80</v>
      </c>
      <c r="N4" s="6" t="s">
        <v>81</v>
      </c>
      <c r="O4" s="6" t="s">
        <v>82</v>
      </c>
      <c r="P4" s="6" t="s">
        <v>83</v>
      </c>
      <c r="Q4" s="6" t="s">
        <v>84</v>
      </c>
      <c r="R4" s="6" t="s">
        <v>85</v>
      </c>
    </row>
    <row r="5" spans="1:22" x14ac:dyDescent="0.25">
      <c r="A5" s="1"/>
      <c r="B5" s="5"/>
      <c r="D5" s="5"/>
      <c r="F5" s="6"/>
      <c r="G5" s="6" t="s">
        <v>86</v>
      </c>
      <c r="H5" s="6" t="s">
        <v>87</v>
      </c>
      <c r="J5" s="6">
        <v>1000</v>
      </c>
      <c r="K5" s="11">
        <f t="shared" ref="K5:K12" si="0">L5+N5+P5</f>
        <v>17.680233474657534</v>
      </c>
      <c r="L5" s="11">
        <f t="shared" ref="L5:L12" si="1">M5/(J5*365*$B$1)</f>
        <v>8.0352480000000011</v>
      </c>
      <c r="M5" s="12">
        <f t="shared" ref="M5:M12" si="2">$B$15*N20*$B$1*24*365</f>
        <v>2346292.4160000002</v>
      </c>
      <c r="N5" s="11">
        <f t="shared" ref="N5:N12" si="3">O5/(J5*365*$B$1)</f>
        <v>0.45928502260273979</v>
      </c>
      <c r="O5" s="12">
        <f t="shared" ref="O5:O12" si="4">Q5*$B$14</f>
        <v>134111.22660000002</v>
      </c>
      <c r="P5" s="11">
        <f t="shared" ref="P5:P12" si="5">Q5/(J5*365*$B$1)</f>
        <v>9.1857004520547942</v>
      </c>
      <c r="Q5" s="12">
        <f t="shared" ref="Q5:Q12" si="6">R5*$B$4</f>
        <v>2682224.5320000001</v>
      </c>
      <c r="R5" s="12">
        <v>28656245</v>
      </c>
      <c r="S5" s="13">
        <f t="shared" ref="S5:S12" si="7">O5/T5</f>
        <v>2.5977316603939028E-2</v>
      </c>
      <c r="T5" s="5">
        <f t="shared" ref="T5:T12" si="8">Q5+O5+M5</f>
        <v>5162628.1746000005</v>
      </c>
      <c r="V5" s="5"/>
    </row>
    <row r="6" spans="1:22" x14ac:dyDescent="0.25">
      <c r="A6" s="1" t="s">
        <v>88</v>
      </c>
      <c r="B6" s="5">
        <f>(B3*'Cópia de Custo energia compress'!F23)*(((0.13*(10^6))/(B3^0.71))+(((1.14*(10^6))*(LN('Cópia de Custo energia compress'!B4/'Cópia de Custo energia compress'!B2)))/(B3^0.6)))*2.107</f>
        <v>153452689.71651095</v>
      </c>
      <c r="D6" s="5">
        <f>(B6/'Cópia de Custo energia compress'!F22)</f>
        <v>1565.4274334372465</v>
      </c>
      <c r="F6" s="6">
        <v>1000</v>
      </c>
      <c r="G6" s="6">
        <v>7159</v>
      </c>
      <c r="H6" s="6">
        <v>3129</v>
      </c>
      <c r="J6" s="6">
        <v>5000</v>
      </c>
      <c r="K6" s="11">
        <f t="shared" si="0"/>
        <v>11.777040431013699</v>
      </c>
      <c r="L6" s="11">
        <f t="shared" si="1"/>
        <v>8.0344656000000008</v>
      </c>
      <c r="M6" s="12">
        <f t="shared" si="2"/>
        <v>11730319.776000001</v>
      </c>
      <c r="N6" s="11">
        <f t="shared" si="3"/>
        <v>0.17821784909589042</v>
      </c>
      <c r="O6" s="12">
        <f t="shared" si="4"/>
        <v>260198.05968000001</v>
      </c>
      <c r="P6" s="11">
        <f t="shared" si="5"/>
        <v>3.564356981917808</v>
      </c>
      <c r="Q6" s="12">
        <f t="shared" si="6"/>
        <v>5203961.1935999999</v>
      </c>
      <c r="R6" s="12">
        <v>55597876</v>
      </c>
      <c r="S6" s="13">
        <f t="shared" si="7"/>
        <v>1.5132651546866641E-2</v>
      </c>
      <c r="T6" s="5">
        <f t="shared" si="8"/>
        <v>17194479.029279999</v>
      </c>
    </row>
    <row r="7" spans="1:22" x14ac:dyDescent="0.25">
      <c r="B7" s="5">
        <f>B6+B8</f>
        <v>164513752.24737516</v>
      </c>
      <c r="F7" s="6">
        <v>5000</v>
      </c>
      <c r="G7" s="6">
        <v>2717</v>
      </c>
      <c r="H7" s="6">
        <v>2497</v>
      </c>
      <c r="J7" s="6">
        <v>15000</v>
      </c>
      <c r="K7" s="11">
        <f t="shared" si="0"/>
        <v>10.036269477017841</v>
      </c>
      <c r="L7" s="11">
        <f t="shared" si="1"/>
        <v>8.034726400000002</v>
      </c>
      <c r="M7" s="12">
        <f t="shared" si="2"/>
        <v>35192101.632000007</v>
      </c>
      <c r="N7" s="11">
        <f t="shared" si="3"/>
        <v>9.5311575096087606E-2</v>
      </c>
      <c r="O7" s="12">
        <f t="shared" si="4"/>
        <v>417464.69892086374</v>
      </c>
      <c r="P7" s="11">
        <f t="shared" si="5"/>
        <v>1.9062315019217522</v>
      </c>
      <c r="Q7" s="12">
        <f t="shared" si="6"/>
        <v>8349293.9784172745</v>
      </c>
      <c r="R7" s="12">
        <v>89201858.743774295</v>
      </c>
      <c r="S7" s="13">
        <f t="shared" si="7"/>
        <v>9.496713426671393E-3</v>
      </c>
      <c r="T7" s="5">
        <f t="shared" si="8"/>
        <v>43958860.309338145</v>
      </c>
      <c r="V7" s="5"/>
    </row>
    <row r="8" spans="1:22" x14ac:dyDescent="0.25">
      <c r="A8" s="1" t="s">
        <v>89</v>
      </c>
      <c r="B8" s="5">
        <f>(((1.11*10^6)*('Cópia de Custo energia compress'!F17/1000))+0.07*10^6)*2.107</f>
        <v>11061062.530864201</v>
      </c>
      <c r="D8" s="5">
        <f>(B8/'Cópia de Custo energia compress'!F17)</f>
        <v>2370.376990866142</v>
      </c>
      <c r="F8" s="6">
        <v>15000</v>
      </c>
      <c r="G8" s="6">
        <v>1403</v>
      </c>
      <c r="H8" s="6">
        <v>2391</v>
      </c>
      <c r="J8" s="6">
        <v>25000</v>
      </c>
      <c r="K8" s="11">
        <f t="shared" si="0"/>
        <v>10.249472980119457</v>
      </c>
      <c r="L8" s="11">
        <f t="shared" si="1"/>
        <v>8.0346220800000019</v>
      </c>
      <c r="M8" s="12">
        <f t="shared" si="2"/>
        <v>58652741.184000008</v>
      </c>
      <c r="N8" s="11">
        <f t="shared" si="3"/>
        <v>0.10546909048187877</v>
      </c>
      <c r="O8" s="12">
        <f t="shared" si="4"/>
        <v>769924.3605177151</v>
      </c>
      <c r="P8" s="11">
        <f t="shared" si="5"/>
        <v>2.1093818096375756</v>
      </c>
      <c r="Q8" s="12">
        <f t="shared" si="6"/>
        <v>15398487.210354302</v>
      </c>
      <c r="R8" s="12">
        <v>164513752.24737501</v>
      </c>
      <c r="S8" s="13">
        <f t="shared" si="7"/>
        <v>1.0290196450730052E-2</v>
      </c>
      <c r="T8" s="5">
        <f t="shared" si="8"/>
        <v>74821152.754872024</v>
      </c>
      <c r="V8" s="5"/>
    </row>
    <row r="9" spans="1:22" x14ac:dyDescent="0.25">
      <c r="F9" s="6">
        <v>25000</v>
      </c>
      <c r="G9" s="6">
        <v>1565</v>
      </c>
      <c r="H9" s="6">
        <v>2370</v>
      </c>
      <c r="J9" s="6">
        <v>35000</v>
      </c>
      <c r="K9" s="11">
        <f t="shared" si="0"/>
        <v>10.336480315659076</v>
      </c>
      <c r="L9" s="11">
        <f t="shared" si="1"/>
        <v>8.0346332571428576</v>
      </c>
      <c r="M9" s="12">
        <f t="shared" si="2"/>
        <v>82113951.888000011</v>
      </c>
      <c r="N9" s="11">
        <f t="shared" si="3"/>
        <v>0.1096117646912485</v>
      </c>
      <c r="O9" s="12">
        <f t="shared" si="4"/>
        <v>1120232.2351445598</v>
      </c>
      <c r="P9" s="11">
        <f t="shared" si="5"/>
        <v>2.1922352938249698</v>
      </c>
      <c r="Q9" s="12">
        <f t="shared" si="6"/>
        <v>22404644.702891193</v>
      </c>
      <c r="R9" s="12">
        <v>239365862.21037599</v>
      </c>
      <c r="S9" s="13">
        <f t="shared" si="7"/>
        <v>1.060436060862942E-2</v>
      </c>
      <c r="T9" s="5">
        <f t="shared" si="8"/>
        <v>105638828.82603577</v>
      </c>
    </row>
    <row r="10" spans="1:22" x14ac:dyDescent="0.25">
      <c r="A10" s="1"/>
      <c r="F10" s="6">
        <v>35000</v>
      </c>
      <c r="G10" s="6">
        <v>1632</v>
      </c>
      <c r="H10" s="6">
        <v>2361</v>
      </c>
      <c r="J10" s="6">
        <v>45000</v>
      </c>
      <c r="K10" s="11">
        <f t="shared" si="0"/>
        <v>10.033976254917386</v>
      </c>
      <c r="L10" s="11">
        <f t="shared" si="1"/>
        <v>8.0346394666666683</v>
      </c>
      <c r="M10" s="12">
        <f t="shared" si="2"/>
        <v>105575162.59200002</v>
      </c>
      <c r="N10" s="11">
        <f t="shared" si="3"/>
        <v>9.5206513726224629E-2</v>
      </c>
      <c r="O10" s="12">
        <f t="shared" si="4"/>
        <v>1251013.5903625917</v>
      </c>
      <c r="P10" s="11">
        <f t="shared" si="5"/>
        <v>1.9041302745244926</v>
      </c>
      <c r="Q10" s="12">
        <f t="shared" si="6"/>
        <v>25020271.807251833</v>
      </c>
      <c r="R10" s="12">
        <v>267310596.231323</v>
      </c>
      <c r="S10" s="13">
        <f t="shared" si="7"/>
        <v>9.4884132977259578E-3</v>
      </c>
      <c r="T10" s="5">
        <f t="shared" si="8"/>
        <v>131846447.98961446</v>
      </c>
    </row>
    <row r="11" spans="1:22" x14ac:dyDescent="0.25">
      <c r="A11" s="1" t="s">
        <v>90</v>
      </c>
      <c r="B11" s="5">
        <f>D6+D8</f>
        <v>3935.8044243033883</v>
      </c>
      <c r="F11" s="6">
        <v>45000</v>
      </c>
      <c r="G11" s="6">
        <v>1403</v>
      </c>
      <c r="H11" s="6">
        <v>2356</v>
      </c>
      <c r="J11" s="6">
        <v>55000</v>
      </c>
      <c r="K11" s="11">
        <f t="shared" si="0"/>
        <v>10.133275583558332</v>
      </c>
      <c r="L11" s="11">
        <f t="shared" si="1"/>
        <v>8.0346434181818189</v>
      </c>
      <c r="M11" s="12">
        <f t="shared" si="2"/>
        <v>129036373.296</v>
      </c>
      <c r="N11" s="11">
        <f t="shared" si="3"/>
        <v>9.9934865017929184E-2</v>
      </c>
      <c r="O11" s="12">
        <f t="shared" si="4"/>
        <v>1604953.9321879428</v>
      </c>
      <c r="P11" s="11">
        <f t="shared" si="5"/>
        <v>1.9986973003585835</v>
      </c>
      <c r="Q11" s="12">
        <f t="shared" si="6"/>
        <v>32099078.643758852</v>
      </c>
      <c r="R11" s="12">
        <v>342938874.39913303</v>
      </c>
      <c r="S11" s="13">
        <f t="shared" si="7"/>
        <v>9.8620494620789492E-3</v>
      </c>
      <c r="T11" s="5">
        <f t="shared" si="8"/>
        <v>162740405.87194681</v>
      </c>
    </row>
    <row r="12" spans="1:22" x14ac:dyDescent="0.25">
      <c r="A12" s="1" t="s">
        <v>91</v>
      </c>
      <c r="B12" s="5">
        <f>B11*B4</f>
        <v>368.39129411479718</v>
      </c>
      <c r="F12" s="6">
        <v>55000</v>
      </c>
      <c r="G12" s="6">
        <v>1478</v>
      </c>
      <c r="H12" s="6">
        <v>2353</v>
      </c>
      <c r="J12" s="6">
        <v>65000</v>
      </c>
      <c r="K12" s="11">
        <f t="shared" si="0"/>
        <v>10.200125056672896</v>
      </c>
      <c r="L12" s="11">
        <f t="shared" si="1"/>
        <v>8.0346762461538468</v>
      </c>
      <c r="M12" s="12">
        <f t="shared" si="2"/>
        <v>152498155.15200001</v>
      </c>
      <c r="N12" s="11">
        <f t="shared" si="3"/>
        <v>0.10311661002471657</v>
      </c>
      <c r="O12" s="12">
        <f t="shared" si="4"/>
        <v>1957153.2582691205</v>
      </c>
      <c r="P12" s="11">
        <f t="shared" si="5"/>
        <v>2.0623322004943314</v>
      </c>
      <c r="Q12" s="12">
        <f t="shared" si="6"/>
        <v>39143065.165382408</v>
      </c>
      <c r="R12" s="12">
        <v>418195140.65579498</v>
      </c>
      <c r="S12" s="13">
        <f t="shared" si="7"/>
        <v>1.0109347625817389E-2</v>
      </c>
      <c r="T12" s="5">
        <f t="shared" si="8"/>
        <v>193598373.57565153</v>
      </c>
    </row>
    <row r="13" spans="1:22" x14ac:dyDescent="0.25">
      <c r="C13" s="5"/>
      <c r="F13" s="6">
        <v>65000</v>
      </c>
      <c r="G13" s="6">
        <v>1529</v>
      </c>
      <c r="H13" s="6">
        <v>2351</v>
      </c>
    </row>
    <row r="14" spans="1:22" x14ac:dyDescent="0.25">
      <c r="A14" s="1" t="s">
        <v>92</v>
      </c>
      <c r="B14" s="1">
        <v>0.05</v>
      </c>
      <c r="C14" s="5"/>
    </row>
    <row r="15" spans="1:22" x14ac:dyDescent="0.25">
      <c r="A15" s="1" t="s">
        <v>93</v>
      </c>
      <c r="B15" s="8">
        <v>8.1500000000000003E-2</v>
      </c>
    </row>
    <row r="17" spans="10:15" x14ac:dyDescent="0.25">
      <c r="J17" s="48" t="s">
        <v>70</v>
      </c>
      <c r="K17" s="49"/>
      <c r="L17" s="49"/>
      <c r="M17" s="50"/>
    </row>
    <row r="18" spans="10:15" x14ac:dyDescent="0.25">
      <c r="J18" s="6" t="s">
        <v>56</v>
      </c>
      <c r="K18" s="6"/>
      <c r="L18" s="48" t="s">
        <v>57</v>
      </c>
      <c r="M18" s="50"/>
    </row>
    <row r="19" spans="10:15" x14ac:dyDescent="0.25">
      <c r="J19" s="6"/>
      <c r="K19" s="6"/>
      <c r="L19" s="6" t="s">
        <v>59</v>
      </c>
      <c r="M19" s="6" t="s">
        <v>60</v>
      </c>
    </row>
    <row r="20" spans="10:15" x14ac:dyDescent="0.25">
      <c r="J20" s="6">
        <v>1000</v>
      </c>
      <c r="K20" s="6"/>
      <c r="L20" s="1">
        <v>3921</v>
      </c>
      <c r="M20" s="6">
        <v>187</v>
      </c>
      <c r="N20" s="1">
        <f t="shared" ref="N20:N27" si="9">L20+M20</f>
        <v>4108</v>
      </c>
      <c r="O20" s="1">
        <v>3921</v>
      </c>
    </row>
    <row r="21" spans="10:15" x14ac:dyDescent="0.25">
      <c r="J21" s="6">
        <v>5000</v>
      </c>
      <c r="K21" s="6"/>
      <c r="L21" s="1">
        <v>19605</v>
      </c>
      <c r="M21" s="6">
        <v>933</v>
      </c>
      <c r="N21" s="1">
        <f t="shared" si="9"/>
        <v>20538</v>
      </c>
      <c r="O21" s="1">
        <v>19605</v>
      </c>
    </row>
    <row r="22" spans="10:15" x14ac:dyDescent="0.25">
      <c r="J22" s="6">
        <v>15000</v>
      </c>
      <c r="K22" s="6"/>
      <c r="L22" s="1">
        <v>58816</v>
      </c>
      <c r="M22" s="6">
        <v>2800</v>
      </c>
      <c r="N22" s="1">
        <f t="shared" si="9"/>
        <v>61616</v>
      </c>
      <c r="O22" s="1">
        <v>58816</v>
      </c>
    </row>
    <row r="23" spans="10:15" x14ac:dyDescent="0.25">
      <c r="J23" s="6">
        <v>25000</v>
      </c>
      <c r="K23" s="6"/>
      <c r="L23" s="1">
        <v>98026</v>
      </c>
      <c r="M23" s="6">
        <v>4666</v>
      </c>
      <c r="N23" s="1">
        <f t="shared" si="9"/>
        <v>102692</v>
      </c>
      <c r="O23" s="1">
        <v>98026</v>
      </c>
    </row>
    <row r="24" spans="10:15" x14ac:dyDescent="0.25">
      <c r="J24" s="6">
        <v>35000</v>
      </c>
      <c r="K24" s="6"/>
      <c r="L24" s="1">
        <v>137236</v>
      </c>
      <c r="M24" s="6">
        <v>6533</v>
      </c>
      <c r="N24" s="1">
        <f t="shared" si="9"/>
        <v>143769</v>
      </c>
      <c r="O24" s="1">
        <v>137236</v>
      </c>
    </row>
    <row r="25" spans="10:15" x14ac:dyDescent="0.25">
      <c r="J25" s="6">
        <v>45000</v>
      </c>
      <c r="K25" s="6"/>
      <c r="L25" s="1">
        <v>176447</v>
      </c>
      <c r="M25" s="6">
        <v>8399</v>
      </c>
      <c r="N25" s="1">
        <f t="shared" si="9"/>
        <v>184846</v>
      </c>
      <c r="O25" s="1">
        <v>176447</v>
      </c>
    </row>
    <row r="26" spans="10:15" x14ac:dyDescent="0.25">
      <c r="J26" s="6">
        <v>55000</v>
      </c>
      <c r="K26" s="6"/>
      <c r="L26" s="1">
        <v>215657</v>
      </c>
      <c r="M26" s="6">
        <v>10266</v>
      </c>
      <c r="N26" s="1">
        <f t="shared" si="9"/>
        <v>225923</v>
      </c>
      <c r="O26" s="1">
        <v>215657</v>
      </c>
    </row>
    <row r="27" spans="10:15" x14ac:dyDescent="0.25">
      <c r="J27" s="6">
        <v>65000</v>
      </c>
      <c r="K27" s="6"/>
      <c r="L27" s="1">
        <v>254868</v>
      </c>
      <c r="M27" s="6">
        <v>12133</v>
      </c>
      <c r="N27" s="1">
        <f t="shared" si="9"/>
        <v>267001</v>
      </c>
      <c r="O27" s="1">
        <v>254868</v>
      </c>
    </row>
  </sheetData>
  <mergeCells count="5">
    <mergeCell ref="F3:H3"/>
    <mergeCell ref="J3:R3"/>
    <mergeCell ref="G4:H4"/>
    <mergeCell ref="J17:M17"/>
    <mergeCell ref="L18:M1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D1:L1000"/>
  <sheetViews>
    <sheetView showGridLines="0" workbookViewId="0"/>
  </sheetViews>
  <sheetFormatPr defaultColWidth="12.6640625" defaultRowHeight="15.75" customHeight="1" x14ac:dyDescent="0.25"/>
  <cols>
    <col min="4" max="4" width="8.77734375" customWidth="1"/>
    <col min="5" max="5" width="7.6640625" customWidth="1"/>
    <col min="6" max="6" width="18.77734375" customWidth="1"/>
    <col min="7" max="7" width="14" customWidth="1"/>
  </cols>
  <sheetData>
    <row r="1" spans="4:12" ht="13.2" x14ac:dyDescent="0.25">
      <c r="D1" s="22"/>
      <c r="E1" s="22"/>
      <c r="F1" s="22"/>
      <c r="G1" s="22"/>
    </row>
    <row r="2" spans="4:12" ht="13.2" x14ac:dyDescent="0.25">
      <c r="D2" s="22"/>
      <c r="E2" s="22"/>
      <c r="F2" s="22"/>
      <c r="G2" s="22"/>
    </row>
    <row r="3" spans="4:12" ht="13.2" x14ac:dyDescent="0.25">
      <c r="D3" s="22"/>
      <c r="E3" s="22"/>
      <c r="F3" s="22"/>
      <c r="G3" s="22"/>
    </row>
    <row r="4" spans="4:12" ht="13.2" x14ac:dyDescent="0.25">
      <c r="D4" s="22"/>
      <c r="E4" s="22"/>
      <c r="F4" s="22"/>
      <c r="G4" s="22"/>
    </row>
    <row r="5" spans="4:12" ht="13.2" x14ac:dyDescent="0.25">
      <c r="D5" s="23" t="s">
        <v>153</v>
      </c>
      <c r="E5" s="23" t="s">
        <v>154</v>
      </c>
      <c r="F5" s="23" t="s">
        <v>155</v>
      </c>
      <c r="G5" s="23" t="s">
        <v>156</v>
      </c>
    </row>
    <row r="6" spans="4:12" ht="36" customHeight="1" x14ac:dyDescent="0.25">
      <c r="D6" s="24" t="s">
        <v>157</v>
      </c>
      <c r="E6" s="24" t="s">
        <v>158</v>
      </c>
      <c r="F6" s="24" t="s">
        <v>159</v>
      </c>
      <c r="G6" s="24" t="s">
        <v>160</v>
      </c>
    </row>
    <row r="7" spans="4:12" ht="36" customHeight="1" x14ac:dyDescent="0.25">
      <c r="D7" s="24" t="s">
        <v>161</v>
      </c>
      <c r="E7" s="24" t="s">
        <v>162</v>
      </c>
      <c r="F7" s="24" t="s">
        <v>163</v>
      </c>
      <c r="G7" s="24" t="s">
        <v>164</v>
      </c>
    </row>
    <row r="8" spans="4:12" ht="36" customHeight="1" x14ac:dyDescent="0.25">
      <c r="D8" s="24" t="s">
        <v>165</v>
      </c>
      <c r="E8" s="24" t="s">
        <v>166</v>
      </c>
      <c r="F8" s="24" t="s">
        <v>167</v>
      </c>
      <c r="G8" s="24" t="s">
        <v>168</v>
      </c>
    </row>
    <row r="9" spans="4:12" ht="36" customHeight="1" x14ac:dyDescent="0.25">
      <c r="D9" s="24" t="s">
        <v>169</v>
      </c>
      <c r="E9" s="24" t="s">
        <v>170</v>
      </c>
      <c r="F9" s="24" t="s">
        <v>171</v>
      </c>
      <c r="G9" s="24" t="s">
        <v>172</v>
      </c>
    </row>
    <row r="10" spans="4:12" ht="36" customHeight="1" x14ac:dyDescent="0.25">
      <c r="D10" s="24" t="s">
        <v>173</v>
      </c>
      <c r="E10" s="24" t="s">
        <v>174</v>
      </c>
      <c r="F10" s="24" t="s">
        <v>175</v>
      </c>
      <c r="G10" s="24" t="s">
        <v>176</v>
      </c>
      <c r="L10" s="25"/>
    </row>
    <row r="11" spans="4:12" ht="13.2" x14ac:dyDescent="0.25">
      <c r="D11" s="22"/>
      <c r="E11" s="22"/>
      <c r="F11" s="22"/>
      <c r="G11" s="22"/>
      <c r="L11" s="25"/>
    </row>
    <row r="12" spans="4:12" ht="13.2" x14ac:dyDescent="0.25">
      <c r="D12" s="22"/>
      <c r="E12" s="22"/>
      <c r="F12" s="22"/>
      <c r="G12" s="22"/>
      <c r="L12" s="25"/>
    </row>
    <row r="13" spans="4:12" ht="13.2" x14ac:dyDescent="0.25">
      <c r="D13" s="22"/>
      <c r="E13" s="22"/>
      <c r="F13" s="22"/>
      <c r="G13" s="22"/>
      <c r="L13" s="25"/>
    </row>
    <row r="14" spans="4:12" ht="13.2" x14ac:dyDescent="0.25">
      <c r="D14" s="22"/>
      <c r="E14" s="22"/>
      <c r="F14" s="22"/>
      <c r="G14" s="22"/>
      <c r="L14" s="25"/>
    </row>
    <row r="15" spans="4:12" ht="13.2" x14ac:dyDescent="0.25">
      <c r="D15" s="22"/>
      <c r="E15" s="22"/>
      <c r="F15" s="22"/>
      <c r="G15" s="22"/>
      <c r="L15" s="25"/>
    </row>
    <row r="16" spans="4:12" ht="13.2" x14ac:dyDescent="0.25">
      <c r="D16" s="22"/>
      <c r="E16" s="22"/>
      <c r="F16" s="22"/>
      <c r="G16" s="22"/>
      <c r="L16" s="25"/>
    </row>
    <row r="17" spans="4:12" ht="13.2" x14ac:dyDescent="0.25">
      <c r="D17" s="22"/>
      <c r="E17" s="22"/>
      <c r="F17" s="22"/>
      <c r="G17" s="22"/>
      <c r="L17" s="25"/>
    </row>
    <row r="18" spans="4:12" ht="13.2" x14ac:dyDescent="0.25">
      <c r="D18" s="22"/>
      <c r="E18" s="22"/>
      <c r="F18" s="22"/>
      <c r="G18" s="22"/>
      <c r="L18" s="25"/>
    </row>
    <row r="19" spans="4:12" ht="13.2" x14ac:dyDescent="0.25">
      <c r="D19" s="22"/>
      <c r="E19" s="22"/>
      <c r="F19" s="22"/>
      <c r="G19" s="22"/>
      <c r="L19" s="25"/>
    </row>
    <row r="20" spans="4:12" ht="13.2" x14ac:dyDescent="0.25">
      <c r="D20" s="22"/>
      <c r="E20" s="22"/>
      <c r="F20" s="22"/>
      <c r="G20" s="22"/>
      <c r="L20" s="25"/>
    </row>
    <row r="21" spans="4:12" ht="13.2" x14ac:dyDescent="0.25">
      <c r="D21" s="22"/>
      <c r="E21" s="22"/>
      <c r="F21" s="22"/>
      <c r="G21" s="22"/>
      <c r="L21" s="25"/>
    </row>
    <row r="22" spans="4:12" ht="13.2" x14ac:dyDescent="0.25">
      <c r="D22" s="22"/>
      <c r="E22" s="22"/>
      <c r="F22" s="22"/>
      <c r="G22" s="22"/>
    </row>
    <row r="23" spans="4:12" ht="13.2" x14ac:dyDescent="0.25">
      <c r="D23" s="22"/>
      <c r="E23" s="22"/>
      <c r="F23" s="22"/>
      <c r="G23" s="22"/>
    </row>
    <row r="24" spans="4:12" ht="13.2" x14ac:dyDescent="0.25">
      <c r="D24" s="22"/>
      <c r="E24" s="22"/>
      <c r="F24" s="22"/>
      <c r="G24" s="22"/>
    </row>
    <row r="25" spans="4:12" ht="13.2" x14ac:dyDescent="0.25">
      <c r="D25" s="22"/>
      <c r="E25" s="22"/>
      <c r="F25" s="22"/>
      <c r="G25" s="22"/>
    </row>
    <row r="26" spans="4:12" ht="13.2" x14ac:dyDescent="0.25">
      <c r="D26" s="22"/>
      <c r="E26" s="22"/>
      <c r="F26" s="22"/>
      <c r="G26" s="22"/>
    </row>
    <row r="27" spans="4:12" ht="13.2" x14ac:dyDescent="0.25">
      <c r="D27" s="22"/>
      <c r="E27" s="22"/>
      <c r="F27" s="22"/>
      <c r="G27" s="22"/>
    </row>
    <row r="28" spans="4:12" ht="13.2" x14ac:dyDescent="0.25">
      <c r="D28" s="22"/>
      <c r="E28" s="22"/>
      <c r="F28" s="22"/>
      <c r="G28" s="22"/>
    </row>
    <row r="29" spans="4:12" ht="13.2" x14ac:dyDescent="0.25">
      <c r="D29" s="22"/>
      <c r="E29" s="22"/>
      <c r="F29" s="22"/>
      <c r="G29" s="22"/>
    </row>
    <row r="30" spans="4:12" ht="13.2" x14ac:dyDescent="0.25">
      <c r="D30" s="22"/>
      <c r="E30" s="22"/>
      <c r="F30" s="22"/>
      <c r="G30" s="22"/>
    </row>
    <row r="31" spans="4:12" ht="13.2" x14ac:dyDescent="0.25">
      <c r="D31" s="22"/>
      <c r="E31" s="22"/>
      <c r="F31" s="22"/>
      <c r="G31" s="22"/>
    </row>
    <row r="32" spans="4:12" ht="13.2" x14ac:dyDescent="0.25">
      <c r="D32" s="22"/>
      <c r="E32" s="22"/>
      <c r="F32" s="22"/>
      <c r="G32" s="22"/>
    </row>
    <row r="33" spans="4:7" ht="13.2" x14ac:dyDescent="0.25">
      <c r="D33" s="22"/>
      <c r="E33" s="22"/>
      <c r="F33" s="22"/>
      <c r="G33" s="22"/>
    </row>
    <row r="34" spans="4:7" ht="13.2" x14ac:dyDescent="0.25">
      <c r="D34" s="22"/>
      <c r="E34" s="22"/>
      <c r="F34" s="22"/>
      <c r="G34" s="22"/>
    </row>
    <row r="35" spans="4:7" ht="13.2" x14ac:dyDescent="0.25">
      <c r="D35" s="22"/>
      <c r="E35" s="22"/>
      <c r="F35" s="22"/>
      <c r="G35" s="22"/>
    </row>
    <row r="36" spans="4:7" ht="13.2" x14ac:dyDescent="0.25">
      <c r="D36" s="22"/>
      <c r="E36" s="22"/>
      <c r="F36" s="22"/>
      <c r="G36" s="22"/>
    </row>
    <row r="37" spans="4:7" ht="13.2" x14ac:dyDescent="0.25">
      <c r="D37" s="22"/>
      <c r="E37" s="22"/>
      <c r="F37" s="22"/>
      <c r="G37" s="22"/>
    </row>
    <row r="38" spans="4:7" ht="13.2" x14ac:dyDescent="0.25">
      <c r="D38" s="22"/>
      <c r="E38" s="22"/>
      <c r="F38" s="22"/>
      <c r="G38" s="22"/>
    </row>
    <row r="39" spans="4:7" ht="13.2" x14ac:dyDescent="0.25">
      <c r="D39" s="22"/>
      <c r="E39" s="22"/>
      <c r="F39" s="22"/>
      <c r="G39" s="22"/>
    </row>
    <row r="40" spans="4:7" ht="13.2" x14ac:dyDescent="0.25">
      <c r="D40" s="22"/>
      <c r="E40" s="22"/>
      <c r="F40" s="22"/>
      <c r="G40" s="22"/>
    </row>
    <row r="41" spans="4:7" ht="13.2" x14ac:dyDescent="0.25">
      <c r="D41" s="22"/>
      <c r="E41" s="22"/>
      <c r="F41" s="22"/>
      <c r="G41" s="22"/>
    </row>
    <row r="42" spans="4:7" ht="13.2" x14ac:dyDescent="0.25">
      <c r="D42" s="22"/>
      <c r="E42" s="22"/>
      <c r="F42" s="22"/>
      <c r="G42" s="22"/>
    </row>
    <row r="43" spans="4:7" ht="13.2" x14ac:dyDescent="0.25">
      <c r="D43" s="22"/>
      <c r="E43" s="22"/>
      <c r="F43" s="22"/>
      <c r="G43" s="22"/>
    </row>
    <row r="44" spans="4:7" ht="13.2" x14ac:dyDescent="0.25">
      <c r="D44" s="22"/>
      <c r="E44" s="22"/>
      <c r="F44" s="22"/>
      <c r="G44" s="22"/>
    </row>
    <row r="45" spans="4:7" ht="13.2" x14ac:dyDescent="0.25">
      <c r="D45" s="22"/>
      <c r="E45" s="22"/>
      <c r="F45" s="22"/>
      <c r="G45" s="22"/>
    </row>
    <row r="46" spans="4:7" ht="13.2" x14ac:dyDescent="0.25">
      <c r="D46" s="22"/>
      <c r="E46" s="22"/>
      <c r="F46" s="22"/>
      <c r="G46" s="22"/>
    </row>
    <row r="47" spans="4:7" ht="13.2" x14ac:dyDescent="0.25">
      <c r="D47" s="22"/>
      <c r="E47" s="22"/>
      <c r="F47" s="22"/>
      <c r="G47" s="22"/>
    </row>
    <row r="48" spans="4:7" ht="13.2" x14ac:dyDescent="0.25">
      <c r="D48" s="22"/>
      <c r="E48" s="22"/>
      <c r="F48" s="22"/>
      <c r="G48" s="22"/>
    </row>
    <row r="49" spans="4:7" ht="13.2" x14ac:dyDescent="0.25">
      <c r="D49" s="22"/>
      <c r="E49" s="22"/>
      <c r="F49" s="22"/>
      <c r="G49" s="22"/>
    </row>
    <row r="50" spans="4:7" ht="13.2" x14ac:dyDescent="0.25">
      <c r="D50" s="22"/>
      <c r="E50" s="22"/>
      <c r="F50" s="22"/>
      <c r="G50" s="22"/>
    </row>
    <row r="51" spans="4:7" ht="13.2" x14ac:dyDescent="0.25">
      <c r="D51" s="22"/>
      <c r="E51" s="22"/>
      <c r="F51" s="22"/>
      <c r="G51" s="22"/>
    </row>
    <row r="52" spans="4:7" ht="13.2" x14ac:dyDescent="0.25">
      <c r="D52" s="22"/>
      <c r="E52" s="22"/>
      <c r="F52" s="22"/>
      <c r="G52" s="22"/>
    </row>
    <row r="53" spans="4:7" ht="13.2" x14ac:dyDescent="0.25">
      <c r="D53" s="22"/>
      <c r="E53" s="22"/>
      <c r="F53" s="22"/>
      <c r="G53" s="22"/>
    </row>
    <row r="54" spans="4:7" ht="13.2" x14ac:dyDescent="0.25">
      <c r="D54" s="22"/>
      <c r="E54" s="22"/>
      <c r="F54" s="22"/>
      <c r="G54" s="22"/>
    </row>
    <row r="55" spans="4:7" ht="13.2" x14ac:dyDescent="0.25">
      <c r="D55" s="22"/>
      <c r="E55" s="22"/>
      <c r="F55" s="22"/>
      <c r="G55" s="22"/>
    </row>
    <row r="56" spans="4:7" ht="13.2" x14ac:dyDescent="0.25">
      <c r="D56" s="22"/>
      <c r="E56" s="22"/>
      <c r="F56" s="22"/>
      <c r="G56" s="22"/>
    </row>
    <row r="57" spans="4:7" ht="13.2" x14ac:dyDescent="0.25">
      <c r="D57" s="22"/>
      <c r="E57" s="22"/>
      <c r="F57" s="22"/>
      <c r="G57" s="22"/>
    </row>
    <row r="58" spans="4:7" ht="13.2" x14ac:dyDescent="0.25">
      <c r="D58" s="22"/>
      <c r="E58" s="22"/>
      <c r="F58" s="22"/>
      <c r="G58" s="22"/>
    </row>
    <row r="59" spans="4:7" ht="13.2" x14ac:dyDescent="0.25">
      <c r="D59" s="22"/>
      <c r="E59" s="22"/>
      <c r="F59" s="22"/>
      <c r="G59" s="22"/>
    </row>
    <row r="60" spans="4:7" ht="13.2" x14ac:dyDescent="0.25">
      <c r="D60" s="22"/>
      <c r="E60" s="22"/>
      <c r="F60" s="22"/>
      <c r="G60" s="22"/>
    </row>
    <row r="61" spans="4:7" ht="13.2" x14ac:dyDescent="0.25">
      <c r="D61" s="22"/>
      <c r="E61" s="22"/>
      <c r="F61" s="22"/>
      <c r="G61" s="22"/>
    </row>
    <row r="62" spans="4:7" ht="13.2" x14ac:dyDescent="0.25">
      <c r="D62" s="22"/>
      <c r="E62" s="22"/>
      <c r="F62" s="22"/>
      <c r="G62" s="22"/>
    </row>
    <row r="63" spans="4:7" ht="13.2" x14ac:dyDescent="0.25">
      <c r="D63" s="22"/>
      <c r="E63" s="22"/>
      <c r="F63" s="22"/>
      <c r="G63" s="22"/>
    </row>
    <row r="64" spans="4:7" ht="13.2" x14ac:dyDescent="0.25">
      <c r="D64" s="22"/>
      <c r="E64" s="22"/>
      <c r="F64" s="22"/>
      <c r="G64" s="22"/>
    </row>
    <row r="65" spans="4:7" ht="13.2" x14ac:dyDescent="0.25">
      <c r="D65" s="22"/>
      <c r="E65" s="22"/>
      <c r="F65" s="22"/>
      <c r="G65" s="22"/>
    </row>
    <row r="66" spans="4:7" ht="13.2" x14ac:dyDescent="0.25">
      <c r="D66" s="22"/>
      <c r="E66" s="22"/>
      <c r="F66" s="22"/>
      <c r="G66" s="22"/>
    </row>
    <row r="67" spans="4:7" ht="13.2" x14ac:dyDescent="0.25">
      <c r="D67" s="22"/>
      <c r="E67" s="22"/>
      <c r="F67" s="22"/>
      <c r="G67" s="22"/>
    </row>
    <row r="68" spans="4:7" ht="13.2" x14ac:dyDescent="0.25">
      <c r="D68" s="22"/>
      <c r="E68" s="22"/>
      <c r="F68" s="22"/>
      <c r="G68" s="22"/>
    </row>
    <row r="69" spans="4:7" ht="13.2" x14ac:dyDescent="0.25">
      <c r="D69" s="22"/>
      <c r="E69" s="22"/>
      <c r="F69" s="22"/>
      <c r="G69" s="22"/>
    </row>
    <row r="70" spans="4:7" ht="13.2" x14ac:dyDescent="0.25">
      <c r="D70" s="22"/>
      <c r="E70" s="22"/>
      <c r="F70" s="22"/>
      <c r="G70" s="22"/>
    </row>
    <row r="71" spans="4:7" ht="13.2" x14ac:dyDescent="0.25">
      <c r="D71" s="22"/>
      <c r="E71" s="22"/>
      <c r="F71" s="22"/>
      <c r="G71" s="22"/>
    </row>
    <row r="72" spans="4:7" ht="13.2" x14ac:dyDescent="0.25">
      <c r="D72" s="22"/>
      <c r="E72" s="22"/>
      <c r="F72" s="22"/>
      <c r="G72" s="22"/>
    </row>
    <row r="73" spans="4:7" ht="13.2" x14ac:dyDescent="0.25">
      <c r="D73" s="22"/>
      <c r="E73" s="22"/>
      <c r="F73" s="22"/>
      <c r="G73" s="22"/>
    </row>
    <row r="74" spans="4:7" ht="13.2" x14ac:dyDescent="0.25">
      <c r="D74" s="22"/>
      <c r="E74" s="22"/>
      <c r="F74" s="22"/>
      <c r="G74" s="22"/>
    </row>
    <row r="75" spans="4:7" ht="13.2" x14ac:dyDescent="0.25">
      <c r="D75" s="22"/>
      <c r="E75" s="22"/>
      <c r="F75" s="22"/>
      <c r="G75" s="22"/>
    </row>
    <row r="76" spans="4:7" ht="13.2" x14ac:dyDescent="0.25">
      <c r="D76" s="22"/>
      <c r="E76" s="22"/>
      <c r="F76" s="22"/>
      <c r="G76" s="22"/>
    </row>
    <row r="77" spans="4:7" ht="13.2" x14ac:dyDescent="0.25">
      <c r="D77" s="22"/>
      <c r="E77" s="22"/>
      <c r="F77" s="22"/>
      <c r="G77" s="22"/>
    </row>
    <row r="78" spans="4:7" ht="13.2" x14ac:dyDescent="0.25">
      <c r="D78" s="22"/>
      <c r="E78" s="22"/>
      <c r="F78" s="22"/>
      <c r="G78" s="22"/>
    </row>
    <row r="79" spans="4:7" ht="13.2" x14ac:dyDescent="0.25">
      <c r="D79" s="22"/>
      <c r="E79" s="22"/>
      <c r="F79" s="22"/>
      <c r="G79" s="22"/>
    </row>
    <row r="80" spans="4:7" ht="13.2" x14ac:dyDescent="0.25">
      <c r="D80" s="22"/>
      <c r="E80" s="22"/>
      <c r="F80" s="22"/>
      <c r="G80" s="22"/>
    </row>
    <row r="81" spans="4:7" ht="13.2" x14ac:dyDescent="0.25">
      <c r="D81" s="22"/>
      <c r="E81" s="22"/>
      <c r="F81" s="22"/>
      <c r="G81" s="22"/>
    </row>
    <row r="82" spans="4:7" ht="13.2" x14ac:dyDescent="0.25">
      <c r="D82" s="22"/>
      <c r="E82" s="22"/>
      <c r="F82" s="22"/>
      <c r="G82" s="22"/>
    </row>
    <row r="83" spans="4:7" ht="13.2" x14ac:dyDescent="0.25">
      <c r="D83" s="22"/>
      <c r="E83" s="22"/>
      <c r="F83" s="22"/>
      <c r="G83" s="22"/>
    </row>
    <row r="84" spans="4:7" ht="13.2" x14ac:dyDescent="0.25">
      <c r="D84" s="22"/>
      <c r="E84" s="22"/>
      <c r="F84" s="22"/>
      <c r="G84" s="22"/>
    </row>
    <row r="85" spans="4:7" ht="13.2" x14ac:dyDescent="0.25">
      <c r="D85" s="22"/>
      <c r="E85" s="22"/>
      <c r="F85" s="22"/>
      <c r="G85" s="22"/>
    </row>
    <row r="86" spans="4:7" ht="13.2" x14ac:dyDescent="0.25">
      <c r="D86" s="22"/>
      <c r="E86" s="22"/>
      <c r="F86" s="22"/>
      <c r="G86" s="22"/>
    </row>
    <row r="87" spans="4:7" ht="13.2" x14ac:dyDescent="0.25">
      <c r="D87" s="22"/>
      <c r="E87" s="22"/>
      <c r="F87" s="22"/>
      <c r="G87" s="22"/>
    </row>
    <row r="88" spans="4:7" ht="13.2" x14ac:dyDescent="0.25">
      <c r="D88" s="22"/>
      <c r="E88" s="22"/>
      <c r="F88" s="22"/>
      <c r="G88" s="22"/>
    </row>
    <row r="89" spans="4:7" ht="13.2" x14ac:dyDescent="0.25">
      <c r="D89" s="22"/>
      <c r="E89" s="22"/>
      <c r="F89" s="22"/>
      <c r="G89" s="22"/>
    </row>
    <row r="90" spans="4:7" ht="13.2" x14ac:dyDescent="0.25">
      <c r="D90" s="22"/>
      <c r="E90" s="22"/>
      <c r="F90" s="22"/>
      <c r="G90" s="22"/>
    </row>
    <row r="91" spans="4:7" ht="13.2" x14ac:dyDescent="0.25">
      <c r="D91" s="22"/>
      <c r="E91" s="22"/>
      <c r="F91" s="22"/>
      <c r="G91" s="22"/>
    </row>
    <row r="92" spans="4:7" ht="13.2" x14ac:dyDescent="0.25">
      <c r="D92" s="22"/>
      <c r="E92" s="22"/>
      <c r="F92" s="22"/>
      <c r="G92" s="22"/>
    </row>
    <row r="93" spans="4:7" ht="13.2" x14ac:dyDescent="0.25">
      <c r="D93" s="22"/>
      <c r="E93" s="22"/>
      <c r="F93" s="22"/>
      <c r="G93" s="22"/>
    </row>
    <row r="94" spans="4:7" ht="13.2" x14ac:dyDescent="0.25">
      <c r="D94" s="22"/>
      <c r="E94" s="22"/>
      <c r="F94" s="22"/>
      <c r="G94" s="22"/>
    </row>
    <row r="95" spans="4:7" ht="13.2" x14ac:dyDescent="0.25">
      <c r="D95" s="22"/>
      <c r="E95" s="22"/>
      <c r="F95" s="22"/>
      <c r="G95" s="22"/>
    </row>
    <row r="96" spans="4:7" ht="13.2" x14ac:dyDescent="0.25">
      <c r="D96" s="22"/>
      <c r="E96" s="22"/>
      <c r="F96" s="22"/>
      <c r="G96" s="22"/>
    </row>
    <row r="97" spans="4:7" ht="13.2" x14ac:dyDescent="0.25">
      <c r="D97" s="22"/>
      <c r="E97" s="22"/>
      <c r="F97" s="22"/>
      <c r="G97" s="22"/>
    </row>
    <row r="98" spans="4:7" ht="13.2" x14ac:dyDescent="0.25">
      <c r="D98" s="22"/>
      <c r="E98" s="22"/>
      <c r="F98" s="22"/>
      <c r="G98" s="22"/>
    </row>
    <row r="99" spans="4:7" ht="13.2" x14ac:dyDescent="0.25">
      <c r="D99" s="22"/>
      <c r="E99" s="22"/>
      <c r="F99" s="22"/>
      <c r="G99" s="22"/>
    </row>
    <row r="100" spans="4:7" ht="13.2" x14ac:dyDescent="0.25">
      <c r="D100" s="22"/>
      <c r="E100" s="22"/>
      <c r="F100" s="22"/>
      <c r="G100" s="22"/>
    </row>
    <row r="101" spans="4:7" ht="13.2" x14ac:dyDescent="0.25">
      <c r="D101" s="22"/>
      <c r="E101" s="22"/>
      <c r="F101" s="22"/>
      <c r="G101" s="22"/>
    </row>
    <row r="102" spans="4:7" ht="13.2" x14ac:dyDescent="0.25">
      <c r="D102" s="22"/>
      <c r="E102" s="22"/>
      <c r="F102" s="22"/>
      <c r="G102" s="22"/>
    </row>
    <row r="103" spans="4:7" ht="13.2" x14ac:dyDescent="0.25">
      <c r="D103" s="22"/>
      <c r="E103" s="22"/>
      <c r="F103" s="22"/>
      <c r="G103" s="22"/>
    </row>
    <row r="104" spans="4:7" ht="13.2" x14ac:dyDescent="0.25">
      <c r="D104" s="22"/>
      <c r="E104" s="22"/>
      <c r="F104" s="22"/>
      <c r="G104" s="22"/>
    </row>
    <row r="105" spans="4:7" ht="13.2" x14ac:dyDescent="0.25">
      <c r="D105" s="22"/>
      <c r="E105" s="22"/>
      <c r="F105" s="22"/>
      <c r="G105" s="22"/>
    </row>
    <row r="106" spans="4:7" ht="13.2" x14ac:dyDescent="0.25">
      <c r="D106" s="22"/>
      <c r="E106" s="22"/>
      <c r="F106" s="22"/>
      <c r="G106" s="22"/>
    </row>
    <row r="107" spans="4:7" ht="13.2" x14ac:dyDescent="0.25">
      <c r="D107" s="22"/>
      <c r="E107" s="22"/>
      <c r="F107" s="22"/>
      <c r="G107" s="22"/>
    </row>
    <row r="108" spans="4:7" ht="13.2" x14ac:dyDescent="0.25">
      <c r="D108" s="22"/>
      <c r="E108" s="22"/>
      <c r="F108" s="22"/>
      <c r="G108" s="22"/>
    </row>
    <row r="109" spans="4:7" ht="13.2" x14ac:dyDescent="0.25">
      <c r="D109" s="22"/>
      <c r="E109" s="22"/>
      <c r="F109" s="22"/>
      <c r="G109" s="22"/>
    </row>
    <row r="110" spans="4:7" ht="13.2" x14ac:dyDescent="0.25">
      <c r="D110" s="22"/>
      <c r="E110" s="22"/>
      <c r="F110" s="22"/>
      <c r="G110" s="22"/>
    </row>
    <row r="111" spans="4:7" ht="13.2" x14ac:dyDescent="0.25">
      <c r="D111" s="22"/>
      <c r="E111" s="22"/>
      <c r="F111" s="22"/>
      <c r="G111" s="22"/>
    </row>
    <row r="112" spans="4:7" ht="13.2" x14ac:dyDescent="0.25">
      <c r="D112" s="22"/>
      <c r="E112" s="22"/>
      <c r="F112" s="22"/>
      <c r="G112" s="22"/>
    </row>
    <row r="113" spans="4:7" ht="13.2" x14ac:dyDescent="0.25">
      <c r="D113" s="22"/>
      <c r="E113" s="22"/>
      <c r="F113" s="22"/>
      <c r="G113" s="22"/>
    </row>
    <row r="114" spans="4:7" ht="13.2" x14ac:dyDescent="0.25">
      <c r="D114" s="22"/>
      <c r="E114" s="22"/>
      <c r="F114" s="22"/>
      <c r="G114" s="22"/>
    </row>
    <row r="115" spans="4:7" ht="13.2" x14ac:dyDescent="0.25">
      <c r="D115" s="22"/>
      <c r="E115" s="22"/>
      <c r="F115" s="22"/>
      <c r="G115" s="22"/>
    </row>
    <row r="116" spans="4:7" ht="13.2" x14ac:dyDescent="0.25">
      <c r="D116" s="22"/>
      <c r="E116" s="22"/>
      <c r="F116" s="22"/>
      <c r="G116" s="22"/>
    </row>
    <row r="117" spans="4:7" ht="13.2" x14ac:dyDescent="0.25">
      <c r="D117" s="22"/>
      <c r="E117" s="22"/>
      <c r="F117" s="22"/>
      <c r="G117" s="22"/>
    </row>
    <row r="118" spans="4:7" ht="13.2" x14ac:dyDescent="0.25">
      <c r="D118" s="22"/>
      <c r="E118" s="22"/>
      <c r="F118" s="22"/>
      <c r="G118" s="22"/>
    </row>
    <row r="119" spans="4:7" ht="13.2" x14ac:dyDescent="0.25">
      <c r="D119" s="22"/>
      <c r="E119" s="22"/>
      <c r="F119" s="22"/>
      <c r="G119" s="22"/>
    </row>
    <row r="120" spans="4:7" ht="13.2" x14ac:dyDescent="0.25">
      <c r="D120" s="22"/>
      <c r="E120" s="22"/>
      <c r="F120" s="22"/>
      <c r="G120" s="22"/>
    </row>
    <row r="121" spans="4:7" ht="13.2" x14ac:dyDescent="0.25">
      <c r="D121" s="22"/>
      <c r="E121" s="22"/>
      <c r="F121" s="22"/>
      <c r="G121" s="22"/>
    </row>
    <row r="122" spans="4:7" ht="13.2" x14ac:dyDescent="0.25">
      <c r="D122" s="22"/>
      <c r="E122" s="22"/>
      <c r="F122" s="22"/>
      <c r="G122" s="22"/>
    </row>
    <row r="123" spans="4:7" ht="13.2" x14ac:dyDescent="0.25">
      <c r="D123" s="22"/>
      <c r="E123" s="22"/>
      <c r="F123" s="22"/>
      <c r="G123" s="22"/>
    </row>
    <row r="124" spans="4:7" ht="13.2" x14ac:dyDescent="0.25">
      <c r="D124" s="22"/>
      <c r="E124" s="22"/>
      <c r="F124" s="22"/>
      <c r="G124" s="22"/>
    </row>
    <row r="125" spans="4:7" ht="13.2" x14ac:dyDescent="0.25">
      <c r="D125" s="22"/>
      <c r="E125" s="22"/>
      <c r="F125" s="22"/>
      <c r="G125" s="22"/>
    </row>
    <row r="126" spans="4:7" ht="13.2" x14ac:dyDescent="0.25">
      <c r="D126" s="22"/>
      <c r="E126" s="22"/>
      <c r="F126" s="22"/>
      <c r="G126" s="22"/>
    </row>
    <row r="127" spans="4:7" ht="13.2" x14ac:dyDescent="0.25">
      <c r="D127" s="22"/>
      <c r="E127" s="22"/>
      <c r="F127" s="22"/>
      <c r="G127" s="22"/>
    </row>
    <row r="128" spans="4:7" ht="13.2" x14ac:dyDescent="0.25">
      <c r="D128" s="22"/>
      <c r="E128" s="22"/>
      <c r="F128" s="22"/>
      <c r="G128" s="22"/>
    </row>
    <row r="129" spans="4:7" ht="13.2" x14ac:dyDescent="0.25">
      <c r="D129" s="22"/>
      <c r="E129" s="22"/>
      <c r="F129" s="22"/>
      <c r="G129" s="22"/>
    </row>
    <row r="130" spans="4:7" ht="13.2" x14ac:dyDescent="0.25">
      <c r="D130" s="22"/>
      <c r="E130" s="22"/>
      <c r="F130" s="22"/>
      <c r="G130" s="22"/>
    </row>
    <row r="131" spans="4:7" ht="13.2" x14ac:dyDescent="0.25">
      <c r="D131" s="22"/>
      <c r="E131" s="22"/>
      <c r="F131" s="22"/>
      <c r="G131" s="22"/>
    </row>
    <row r="132" spans="4:7" ht="13.2" x14ac:dyDescent="0.25">
      <c r="D132" s="22"/>
      <c r="E132" s="22"/>
      <c r="F132" s="22"/>
      <c r="G132" s="22"/>
    </row>
    <row r="133" spans="4:7" ht="13.2" x14ac:dyDescent="0.25">
      <c r="D133" s="22"/>
      <c r="E133" s="22"/>
      <c r="F133" s="22"/>
      <c r="G133" s="22"/>
    </row>
    <row r="134" spans="4:7" ht="13.2" x14ac:dyDescent="0.25">
      <c r="D134" s="22"/>
      <c r="E134" s="22"/>
      <c r="F134" s="22"/>
      <c r="G134" s="22"/>
    </row>
    <row r="135" spans="4:7" ht="13.2" x14ac:dyDescent="0.25">
      <c r="D135" s="22"/>
      <c r="E135" s="22"/>
      <c r="F135" s="22"/>
      <c r="G135" s="22"/>
    </row>
    <row r="136" spans="4:7" ht="13.2" x14ac:dyDescent="0.25">
      <c r="D136" s="22"/>
      <c r="E136" s="22"/>
      <c r="F136" s="22"/>
      <c r="G136" s="22"/>
    </row>
    <row r="137" spans="4:7" ht="13.2" x14ac:dyDescent="0.25">
      <c r="D137" s="22"/>
      <c r="E137" s="22"/>
      <c r="F137" s="22"/>
      <c r="G137" s="22"/>
    </row>
    <row r="138" spans="4:7" ht="13.2" x14ac:dyDescent="0.25">
      <c r="D138" s="22"/>
      <c r="E138" s="22"/>
      <c r="F138" s="22"/>
      <c r="G138" s="22"/>
    </row>
    <row r="139" spans="4:7" ht="13.2" x14ac:dyDescent="0.25">
      <c r="D139" s="22"/>
      <c r="E139" s="22"/>
      <c r="F139" s="22"/>
      <c r="G139" s="22"/>
    </row>
    <row r="140" spans="4:7" ht="13.2" x14ac:dyDescent="0.25">
      <c r="D140" s="22"/>
      <c r="E140" s="22"/>
      <c r="F140" s="22"/>
      <c r="G140" s="22"/>
    </row>
    <row r="141" spans="4:7" ht="13.2" x14ac:dyDescent="0.25">
      <c r="D141" s="22"/>
      <c r="E141" s="22"/>
      <c r="F141" s="22"/>
      <c r="G141" s="22"/>
    </row>
    <row r="142" spans="4:7" ht="13.2" x14ac:dyDescent="0.25">
      <c r="D142" s="22"/>
      <c r="E142" s="22"/>
      <c r="F142" s="22"/>
      <c r="G142" s="22"/>
    </row>
    <row r="143" spans="4:7" ht="13.2" x14ac:dyDescent="0.25">
      <c r="D143" s="22"/>
      <c r="E143" s="22"/>
      <c r="F143" s="22"/>
      <c r="G143" s="22"/>
    </row>
    <row r="144" spans="4:7" ht="13.2" x14ac:dyDescent="0.25">
      <c r="D144" s="22"/>
      <c r="E144" s="22"/>
      <c r="F144" s="22"/>
      <c r="G144" s="22"/>
    </row>
    <row r="145" spans="4:7" ht="13.2" x14ac:dyDescent="0.25">
      <c r="D145" s="22"/>
      <c r="E145" s="22"/>
      <c r="F145" s="22"/>
      <c r="G145" s="22"/>
    </row>
    <row r="146" spans="4:7" ht="13.2" x14ac:dyDescent="0.25">
      <c r="D146" s="22"/>
      <c r="E146" s="22"/>
      <c r="F146" s="22"/>
      <c r="G146" s="22"/>
    </row>
    <row r="147" spans="4:7" ht="13.2" x14ac:dyDescent="0.25">
      <c r="D147" s="22"/>
      <c r="E147" s="22"/>
      <c r="F147" s="22"/>
      <c r="G147" s="22"/>
    </row>
    <row r="148" spans="4:7" ht="13.2" x14ac:dyDescent="0.25">
      <c r="D148" s="22"/>
      <c r="E148" s="22"/>
      <c r="F148" s="22"/>
      <c r="G148" s="22"/>
    </row>
    <row r="149" spans="4:7" ht="13.2" x14ac:dyDescent="0.25">
      <c r="D149" s="22"/>
      <c r="E149" s="22"/>
      <c r="F149" s="22"/>
      <c r="G149" s="22"/>
    </row>
    <row r="150" spans="4:7" ht="13.2" x14ac:dyDescent="0.25">
      <c r="D150" s="22"/>
      <c r="E150" s="22"/>
      <c r="F150" s="22"/>
      <c r="G150" s="22"/>
    </row>
    <row r="151" spans="4:7" ht="13.2" x14ac:dyDescent="0.25">
      <c r="D151" s="22"/>
      <c r="E151" s="22"/>
      <c r="F151" s="22"/>
      <c r="G151" s="22"/>
    </row>
    <row r="152" spans="4:7" ht="13.2" x14ac:dyDescent="0.25">
      <c r="D152" s="22"/>
      <c r="E152" s="22"/>
      <c r="F152" s="22"/>
      <c r="G152" s="22"/>
    </row>
    <row r="153" spans="4:7" ht="13.2" x14ac:dyDescent="0.25">
      <c r="D153" s="22"/>
      <c r="E153" s="22"/>
      <c r="F153" s="22"/>
      <c r="G153" s="22"/>
    </row>
    <row r="154" spans="4:7" ht="13.2" x14ac:dyDescent="0.25">
      <c r="D154" s="22"/>
      <c r="E154" s="22"/>
      <c r="F154" s="22"/>
      <c r="G154" s="22"/>
    </row>
    <row r="155" spans="4:7" ht="13.2" x14ac:dyDescent="0.25">
      <c r="D155" s="22"/>
      <c r="E155" s="22"/>
      <c r="F155" s="22"/>
      <c r="G155" s="22"/>
    </row>
    <row r="156" spans="4:7" ht="13.2" x14ac:dyDescent="0.25">
      <c r="D156" s="22"/>
      <c r="E156" s="22"/>
      <c r="F156" s="22"/>
      <c r="G156" s="22"/>
    </row>
    <row r="157" spans="4:7" ht="13.2" x14ac:dyDescent="0.25">
      <c r="D157" s="22"/>
      <c r="E157" s="22"/>
      <c r="F157" s="22"/>
      <c r="G157" s="22"/>
    </row>
    <row r="158" spans="4:7" ht="13.2" x14ac:dyDescent="0.25">
      <c r="D158" s="22"/>
      <c r="E158" s="22"/>
      <c r="F158" s="22"/>
      <c r="G158" s="22"/>
    </row>
    <row r="159" spans="4:7" ht="13.2" x14ac:dyDescent="0.25">
      <c r="D159" s="22"/>
      <c r="E159" s="22"/>
      <c r="F159" s="22"/>
      <c r="G159" s="22"/>
    </row>
    <row r="160" spans="4:7" ht="13.2" x14ac:dyDescent="0.25">
      <c r="D160" s="22"/>
      <c r="E160" s="22"/>
      <c r="F160" s="22"/>
      <c r="G160" s="22"/>
    </row>
    <row r="161" spans="4:7" ht="13.2" x14ac:dyDescent="0.25">
      <c r="D161" s="22"/>
      <c r="E161" s="22"/>
      <c r="F161" s="22"/>
      <c r="G161" s="22"/>
    </row>
    <row r="162" spans="4:7" ht="13.2" x14ac:dyDescent="0.25">
      <c r="D162" s="22"/>
      <c r="E162" s="22"/>
      <c r="F162" s="22"/>
      <c r="G162" s="22"/>
    </row>
    <row r="163" spans="4:7" ht="13.2" x14ac:dyDescent="0.25">
      <c r="D163" s="22"/>
      <c r="E163" s="22"/>
      <c r="F163" s="22"/>
      <c r="G163" s="22"/>
    </row>
    <row r="164" spans="4:7" ht="13.2" x14ac:dyDescent="0.25">
      <c r="D164" s="22"/>
      <c r="E164" s="22"/>
      <c r="F164" s="22"/>
      <c r="G164" s="22"/>
    </row>
    <row r="165" spans="4:7" ht="13.2" x14ac:dyDescent="0.25">
      <c r="D165" s="22"/>
      <c r="E165" s="22"/>
      <c r="F165" s="22"/>
      <c r="G165" s="22"/>
    </row>
    <row r="166" spans="4:7" ht="13.2" x14ac:dyDescent="0.25">
      <c r="D166" s="22"/>
      <c r="E166" s="22"/>
      <c r="F166" s="22"/>
      <c r="G166" s="22"/>
    </row>
    <row r="167" spans="4:7" ht="13.2" x14ac:dyDescent="0.25">
      <c r="D167" s="22"/>
      <c r="E167" s="22"/>
      <c r="F167" s="22"/>
      <c r="G167" s="22"/>
    </row>
    <row r="168" spans="4:7" ht="13.2" x14ac:dyDescent="0.25">
      <c r="D168" s="22"/>
      <c r="E168" s="22"/>
      <c r="F168" s="22"/>
      <c r="G168" s="22"/>
    </row>
    <row r="169" spans="4:7" ht="13.2" x14ac:dyDescent="0.25">
      <c r="D169" s="22"/>
      <c r="E169" s="22"/>
      <c r="F169" s="22"/>
      <c r="G169" s="22"/>
    </row>
    <row r="170" spans="4:7" ht="13.2" x14ac:dyDescent="0.25">
      <c r="D170" s="22"/>
      <c r="E170" s="22"/>
      <c r="F170" s="22"/>
      <c r="G170" s="22"/>
    </row>
    <row r="171" spans="4:7" ht="13.2" x14ac:dyDescent="0.25">
      <c r="D171" s="22"/>
      <c r="E171" s="22"/>
      <c r="F171" s="22"/>
      <c r="G171" s="22"/>
    </row>
    <row r="172" spans="4:7" ht="13.2" x14ac:dyDescent="0.25">
      <c r="D172" s="22"/>
      <c r="E172" s="22"/>
      <c r="F172" s="22"/>
      <c r="G172" s="22"/>
    </row>
    <row r="173" spans="4:7" ht="13.2" x14ac:dyDescent="0.25">
      <c r="D173" s="22"/>
      <c r="E173" s="22"/>
      <c r="F173" s="22"/>
      <c r="G173" s="22"/>
    </row>
    <row r="174" spans="4:7" ht="13.2" x14ac:dyDescent="0.25">
      <c r="D174" s="22"/>
      <c r="E174" s="22"/>
      <c r="F174" s="22"/>
      <c r="G174" s="22"/>
    </row>
    <row r="175" spans="4:7" ht="13.2" x14ac:dyDescent="0.25">
      <c r="D175" s="22"/>
      <c r="E175" s="22"/>
      <c r="F175" s="22"/>
      <c r="G175" s="22"/>
    </row>
    <row r="176" spans="4:7" ht="13.2" x14ac:dyDescent="0.25">
      <c r="D176" s="22"/>
      <c r="E176" s="22"/>
      <c r="F176" s="22"/>
      <c r="G176" s="22"/>
    </row>
    <row r="177" spans="4:7" ht="13.2" x14ac:dyDescent="0.25">
      <c r="D177" s="22"/>
      <c r="E177" s="22"/>
      <c r="F177" s="22"/>
      <c r="G177" s="22"/>
    </row>
    <row r="178" spans="4:7" ht="13.2" x14ac:dyDescent="0.25">
      <c r="D178" s="22"/>
      <c r="E178" s="22"/>
      <c r="F178" s="22"/>
      <c r="G178" s="22"/>
    </row>
    <row r="179" spans="4:7" ht="13.2" x14ac:dyDescent="0.25">
      <c r="D179" s="22"/>
      <c r="E179" s="22"/>
      <c r="F179" s="22"/>
      <c r="G179" s="22"/>
    </row>
    <row r="180" spans="4:7" ht="13.2" x14ac:dyDescent="0.25">
      <c r="D180" s="22"/>
      <c r="E180" s="22"/>
      <c r="F180" s="22"/>
      <c r="G180" s="22"/>
    </row>
    <row r="181" spans="4:7" ht="13.2" x14ac:dyDescent="0.25">
      <c r="D181" s="22"/>
      <c r="E181" s="22"/>
      <c r="F181" s="22"/>
      <c r="G181" s="22"/>
    </row>
    <row r="182" spans="4:7" ht="13.2" x14ac:dyDescent="0.25">
      <c r="D182" s="22"/>
      <c r="E182" s="22"/>
      <c r="F182" s="22"/>
      <c r="G182" s="22"/>
    </row>
    <row r="183" spans="4:7" ht="13.2" x14ac:dyDescent="0.25">
      <c r="D183" s="22"/>
      <c r="E183" s="22"/>
      <c r="F183" s="22"/>
      <c r="G183" s="22"/>
    </row>
    <row r="184" spans="4:7" ht="13.2" x14ac:dyDescent="0.25">
      <c r="D184" s="22"/>
      <c r="E184" s="22"/>
      <c r="F184" s="22"/>
      <c r="G184" s="22"/>
    </row>
    <row r="185" spans="4:7" ht="13.2" x14ac:dyDescent="0.25">
      <c r="D185" s="22"/>
      <c r="E185" s="22"/>
      <c r="F185" s="22"/>
      <c r="G185" s="22"/>
    </row>
    <row r="186" spans="4:7" ht="13.2" x14ac:dyDescent="0.25">
      <c r="D186" s="22"/>
      <c r="E186" s="22"/>
      <c r="F186" s="22"/>
      <c r="G186" s="22"/>
    </row>
    <row r="187" spans="4:7" ht="13.2" x14ac:dyDescent="0.25">
      <c r="D187" s="22"/>
      <c r="E187" s="22"/>
      <c r="F187" s="22"/>
      <c r="G187" s="22"/>
    </row>
    <row r="188" spans="4:7" ht="13.2" x14ac:dyDescent="0.25">
      <c r="D188" s="22"/>
      <c r="E188" s="22"/>
      <c r="F188" s="22"/>
      <c r="G188" s="22"/>
    </row>
    <row r="189" spans="4:7" ht="13.2" x14ac:dyDescent="0.25">
      <c r="D189" s="22"/>
      <c r="E189" s="22"/>
      <c r="F189" s="22"/>
      <c r="G189" s="22"/>
    </row>
    <row r="190" spans="4:7" ht="13.2" x14ac:dyDescent="0.25">
      <c r="D190" s="22"/>
      <c r="E190" s="22"/>
      <c r="F190" s="22"/>
      <c r="G190" s="22"/>
    </row>
    <row r="191" spans="4:7" ht="13.2" x14ac:dyDescent="0.25">
      <c r="D191" s="22"/>
      <c r="E191" s="22"/>
      <c r="F191" s="22"/>
      <c r="G191" s="22"/>
    </row>
    <row r="192" spans="4:7" ht="13.2" x14ac:dyDescent="0.25">
      <c r="D192" s="22"/>
      <c r="E192" s="22"/>
      <c r="F192" s="22"/>
      <c r="G192" s="22"/>
    </row>
    <row r="193" spans="4:7" ht="13.2" x14ac:dyDescent="0.25">
      <c r="D193" s="22"/>
      <c r="E193" s="22"/>
      <c r="F193" s="22"/>
      <c r="G193" s="22"/>
    </row>
    <row r="194" spans="4:7" ht="13.2" x14ac:dyDescent="0.25">
      <c r="D194" s="22"/>
      <c r="E194" s="22"/>
      <c r="F194" s="22"/>
      <c r="G194" s="22"/>
    </row>
    <row r="195" spans="4:7" ht="13.2" x14ac:dyDescent="0.25">
      <c r="D195" s="22"/>
      <c r="E195" s="22"/>
      <c r="F195" s="22"/>
      <c r="G195" s="22"/>
    </row>
    <row r="196" spans="4:7" ht="13.2" x14ac:dyDescent="0.25">
      <c r="D196" s="22"/>
      <c r="E196" s="22"/>
      <c r="F196" s="22"/>
      <c r="G196" s="22"/>
    </row>
    <row r="197" spans="4:7" ht="13.2" x14ac:dyDescent="0.25">
      <c r="D197" s="22"/>
      <c r="E197" s="22"/>
      <c r="F197" s="22"/>
      <c r="G197" s="22"/>
    </row>
    <row r="198" spans="4:7" ht="13.2" x14ac:dyDescent="0.25">
      <c r="D198" s="22"/>
      <c r="E198" s="22"/>
      <c r="F198" s="22"/>
      <c r="G198" s="22"/>
    </row>
    <row r="199" spans="4:7" ht="13.2" x14ac:dyDescent="0.25">
      <c r="D199" s="22"/>
      <c r="E199" s="22"/>
      <c r="F199" s="22"/>
      <c r="G199" s="22"/>
    </row>
    <row r="200" spans="4:7" ht="13.2" x14ac:dyDescent="0.25">
      <c r="D200" s="22"/>
      <c r="E200" s="22"/>
      <c r="F200" s="22"/>
      <c r="G200" s="22"/>
    </row>
    <row r="201" spans="4:7" ht="13.2" x14ac:dyDescent="0.25">
      <c r="D201" s="22"/>
      <c r="E201" s="22"/>
      <c r="F201" s="22"/>
      <c r="G201" s="22"/>
    </row>
    <row r="202" spans="4:7" ht="13.2" x14ac:dyDescent="0.25">
      <c r="D202" s="22"/>
      <c r="E202" s="22"/>
      <c r="F202" s="22"/>
      <c r="G202" s="22"/>
    </row>
    <row r="203" spans="4:7" ht="13.2" x14ac:dyDescent="0.25">
      <c r="D203" s="22"/>
      <c r="E203" s="22"/>
      <c r="F203" s="22"/>
      <c r="G203" s="22"/>
    </row>
    <row r="204" spans="4:7" ht="13.2" x14ac:dyDescent="0.25">
      <c r="D204" s="22"/>
      <c r="E204" s="22"/>
      <c r="F204" s="22"/>
      <c r="G204" s="22"/>
    </row>
    <row r="205" spans="4:7" ht="13.2" x14ac:dyDescent="0.25">
      <c r="D205" s="22"/>
      <c r="E205" s="22"/>
      <c r="F205" s="22"/>
      <c r="G205" s="22"/>
    </row>
    <row r="206" spans="4:7" ht="13.2" x14ac:dyDescent="0.25">
      <c r="D206" s="22"/>
      <c r="E206" s="22"/>
      <c r="F206" s="22"/>
      <c r="G206" s="22"/>
    </row>
    <row r="207" spans="4:7" ht="13.2" x14ac:dyDescent="0.25">
      <c r="D207" s="22"/>
      <c r="E207" s="22"/>
      <c r="F207" s="22"/>
      <c r="G207" s="22"/>
    </row>
    <row r="208" spans="4:7" ht="13.2" x14ac:dyDescent="0.25">
      <c r="D208" s="22"/>
      <c r="E208" s="22"/>
      <c r="F208" s="22"/>
      <c r="G208" s="22"/>
    </row>
    <row r="209" spans="4:7" ht="13.2" x14ac:dyDescent="0.25">
      <c r="D209" s="22"/>
      <c r="E209" s="22"/>
      <c r="F209" s="22"/>
      <c r="G209" s="22"/>
    </row>
    <row r="210" spans="4:7" ht="13.2" x14ac:dyDescent="0.25">
      <c r="D210" s="22"/>
      <c r="E210" s="22"/>
      <c r="F210" s="22"/>
      <c r="G210" s="22"/>
    </row>
    <row r="211" spans="4:7" ht="13.2" x14ac:dyDescent="0.25">
      <c r="D211" s="22"/>
      <c r="E211" s="22"/>
      <c r="F211" s="22"/>
      <c r="G211" s="22"/>
    </row>
    <row r="212" spans="4:7" ht="13.2" x14ac:dyDescent="0.25">
      <c r="D212" s="22"/>
      <c r="E212" s="22"/>
      <c r="F212" s="22"/>
      <c r="G212" s="22"/>
    </row>
    <row r="213" spans="4:7" ht="13.2" x14ac:dyDescent="0.25">
      <c r="D213" s="22"/>
      <c r="E213" s="22"/>
      <c r="F213" s="22"/>
      <c r="G213" s="22"/>
    </row>
    <row r="214" spans="4:7" ht="13.2" x14ac:dyDescent="0.25">
      <c r="D214" s="22"/>
      <c r="E214" s="22"/>
      <c r="F214" s="22"/>
      <c r="G214" s="22"/>
    </row>
    <row r="215" spans="4:7" ht="13.2" x14ac:dyDescent="0.25">
      <c r="D215" s="22"/>
      <c r="E215" s="22"/>
      <c r="F215" s="22"/>
      <c r="G215" s="22"/>
    </row>
    <row r="216" spans="4:7" ht="13.2" x14ac:dyDescent="0.25">
      <c r="D216" s="22"/>
      <c r="E216" s="22"/>
      <c r="F216" s="22"/>
      <c r="G216" s="22"/>
    </row>
    <row r="217" spans="4:7" ht="13.2" x14ac:dyDescent="0.25">
      <c r="D217" s="22"/>
      <c r="E217" s="22"/>
      <c r="F217" s="22"/>
      <c r="G217" s="22"/>
    </row>
    <row r="218" spans="4:7" ht="13.2" x14ac:dyDescent="0.25">
      <c r="D218" s="22"/>
      <c r="E218" s="22"/>
      <c r="F218" s="22"/>
      <c r="G218" s="22"/>
    </row>
    <row r="219" spans="4:7" ht="13.2" x14ac:dyDescent="0.25">
      <c r="D219" s="22"/>
      <c r="E219" s="22"/>
      <c r="F219" s="22"/>
      <c r="G219" s="22"/>
    </row>
    <row r="220" spans="4:7" ht="13.2" x14ac:dyDescent="0.25">
      <c r="D220" s="22"/>
      <c r="E220" s="22"/>
      <c r="F220" s="22"/>
      <c r="G220" s="22"/>
    </row>
    <row r="221" spans="4:7" ht="13.2" x14ac:dyDescent="0.25">
      <c r="D221" s="22"/>
      <c r="E221" s="22"/>
      <c r="F221" s="22"/>
      <c r="G221" s="22"/>
    </row>
    <row r="222" spans="4:7" ht="13.2" x14ac:dyDescent="0.25">
      <c r="D222" s="22"/>
      <c r="E222" s="22"/>
      <c r="F222" s="22"/>
      <c r="G222" s="22"/>
    </row>
    <row r="223" spans="4:7" ht="13.2" x14ac:dyDescent="0.25">
      <c r="D223" s="22"/>
      <c r="E223" s="22"/>
      <c r="F223" s="22"/>
      <c r="G223" s="22"/>
    </row>
    <row r="224" spans="4:7" ht="13.2" x14ac:dyDescent="0.25">
      <c r="D224" s="22"/>
      <c r="E224" s="22"/>
      <c r="F224" s="22"/>
      <c r="G224" s="22"/>
    </row>
    <row r="225" spans="4:7" ht="13.2" x14ac:dyDescent="0.25">
      <c r="D225" s="22"/>
      <c r="E225" s="22"/>
      <c r="F225" s="22"/>
      <c r="G225" s="22"/>
    </row>
    <row r="226" spans="4:7" ht="13.2" x14ac:dyDescent="0.25">
      <c r="D226" s="22"/>
      <c r="E226" s="22"/>
      <c r="F226" s="22"/>
      <c r="G226" s="22"/>
    </row>
    <row r="227" spans="4:7" ht="13.2" x14ac:dyDescent="0.25">
      <c r="D227" s="22"/>
      <c r="E227" s="22"/>
      <c r="F227" s="22"/>
      <c r="G227" s="22"/>
    </row>
    <row r="228" spans="4:7" ht="13.2" x14ac:dyDescent="0.25">
      <c r="D228" s="22"/>
      <c r="E228" s="22"/>
      <c r="F228" s="22"/>
      <c r="G228" s="22"/>
    </row>
    <row r="229" spans="4:7" ht="13.2" x14ac:dyDescent="0.25">
      <c r="D229" s="22"/>
      <c r="E229" s="22"/>
      <c r="F229" s="22"/>
      <c r="G229" s="22"/>
    </row>
    <row r="230" spans="4:7" ht="13.2" x14ac:dyDescent="0.25">
      <c r="D230" s="22"/>
      <c r="E230" s="22"/>
      <c r="F230" s="22"/>
      <c r="G230" s="22"/>
    </row>
    <row r="231" spans="4:7" ht="13.2" x14ac:dyDescent="0.25">
      <c r="D231" s="22"/>
      <c r="E231" s="22"/>
      <c r="F231" s="22"/>
      <c r="G231" s="22"/>
    </row>
    <row r="232" spans="4:7" ht="13.2" x14ac:dyDescent="0.25">
      <c r="D232" s="22"/>
      <c r="E232" s="22"/>
      <c r="F232" s="22"/>
      <c r="G232" s="22"/>
    </row>
    <row r="233" spans="4:7" ht="13.2" x14ac:dyDescent="0.25">
      <c r="D233" s="22"/>
      <c r="E233" s="22"/>
      <c r="F233" s="22"/>
      <c r="G233" s="22"/>
    </row>
    <row r="234" spans="4:7" ht="13.2" x14ac:dyDescent="0.25">
      <c r="D234" s="22"/>
      <c r="E234" s="22"/>
      <c r="F234" s="22"/>
      <c r="G234" s="22"/>
    </row>
    <row r="235" spans="4:7" ht="13.2" x14ac:dyDescent="0.25">
      <c r="D235" s="22"/>
      <c r="E235" s="22"/>
      <c r="F235" s="22"/>
      <c r="G235" s="22"/>
    </row>
    <row r="236" spans="4:7" ht="13.2" x14ac:dyDescent="0.25">
      <c r="D236" s="22"/>
      <c r="E236" s="22"/>
      <c r="F236" s="22"/>
      <c r="G236" s="22"/>
    </row>
    <row r="237" spans="4:7" ht="13.2" x14ac:dyDescent="0.25">
      <c r="D237" s="22"/>
      <c r="E237" s="22"/>
      <c r="F237" s="22"/>
      <c r="G237" s="22"/>
    </row>
    <row r="238" spans="4:7" ht="13.2" x14ac:dyDescent="0.25">
      <c r="D238" s="22"/>
      <c r="E238" s="22"/>
      <c r="F238" s="22"/>
      <c r="G238" s="22"/>
    </row>
    <row r="239" spans="4:7" ht="13.2" x14ac:dyDescent="0.25">
      <c r="D239" s="22"/>
      <c r="E239" s="22"/>
      <c r="F239" s="22"/>
      <c r="G239" s="22"/>
    </row>
    <row r="240" spans="4:7" ht="13.2" x14ac:dyDescent="0.25">
      <c r="D240" s="22"/>
      <c r="E240" s="22"/>
      <c r="F240" s="22"/>
      <c r="G240" s="22"/>
    </row>
    <row r="241" spans="4:7" ht="13.2" x14ac:dyDescent="0.25">
      <c r="D241" s="22"/>
      <c r="E241" s="22"/>
      <c r="F241" s="22"/>
      <c r="G241" s="22"/>
    </row>
    <row r="242" spans="4:7" ht="13.2" x14ac:dyDescent="0.25">
      <c r="D242" s="22"/>
      <c r="E242" s="22"/>
      <c r="F242" s="22"/>
      <c r="G242" s="22"/>
    </row>
    <row r="243" spans="4:7" ht="13.2" x14ac:dyDescent="0.25">
      <c r="D243" s="22"/>
      <c r="E243" s="22"/>
      <c r="F243" s="22"/>
      <c r="G243" s="22"/>
    </row>
    <row r="244" spans="4:7" ht="13.2" x14ac:dyDescent="0.25">
      <c r="D244" s="22"/>
      <c r="E244" s="22"/>
      <c r="F244" s="22"/>
      <c r="G244" s="22"/>
    </row>
    <row r="245" spans="4:7" ht="13.2" x14ac:dyDescent="0.25">
      <c r="D245" s="22"/>
      <c r="E245" s="22"/>
      <c r="F245" s="22"/>
      <c r="G245" s="22"/>
    </row>
    <row r="246" spans="4:7" ht="13.2" x14ac:dyDescent="0.25">
      <c r="D246" s="22"/>
      <c r="E246" s="22"/>
      <c r="F246" s="22"/>
      <c r="G246" s="22"/>
    </row>
    <row r="247" spans="4:7" ht="13.2" x14ac:dyDescent="0.25">
      <c r="D247" s="22"/>
      <c r="E247" s="22"/>
      <c r="F247" s="22"/>
      <c r="G247" s="22"/>
    </row>
    <row r="248" spans="4:7" ht="13.2" x14ac:dyDescent="0.25">
      <c r="D248" s="22"/>
      <c r="E248" s="22"/>
      <c r="F248" s="22"/>
      <c r="G248" s="22"/>
    </row>
    <row r="249" spans="4:7" ht="13.2" x14ac:dyDescent="0.25">
      <c r="D249" s="22"/>
      <c r="E249" s="22"/>
      <c r="F249" s="22"/>
      <c r="G249" s="22"/>
    </row>
    <row r="250" spans="4:7" ht="13.2" x14ac:dyDescent="0.25">
      <c r="D250" s="22"/>
      <c r="E250" s="22"/>
      <c r="F250" s="22"/>
      <c r="G250" s="22"/>
    </row>
    <row r="251" spans="4:7" ht="13.2" x14ac:dyDescent="0.25">
      <c r="D251" s="22"/>
      <c r="E251" s="22"/>
      <c r="F251" s="22"/>
      <c r="G251" s="22"/>
    </row>
    <row r="252" spans="4:7" ht="13.2" x14ac:dyDescent="0.25">
      <c r="D252" s="22"/>
      <c r="E252" s="22"/>
      <c r="F252" s="22"/>
      <c r="G252" s="22"/>
    </row>
    <row r="253" spans="4:7" ht="13.2" x14ac:dyDescent="0.25">
      <c r="D253" s="22"/>
      <c r="E253" s="22"/>
      <c r="F253" s="22"/>
      <c r="G253" s="22"/>
    </row>
    <row r="254" spans="4:7" ht="13.2" x14ac:dyDescent="0.25">
      <c r="D254" s="22"/>
      <c r="E254" s="22"/>
      <c r="F254" s="22"/>
      <c r="G254" s="22"/>
    </row>
    <row r="255" spans="4:7" ht="13.2" x14ac:dyDescent="0.25">
      <c r="D255" s="22"/>
      <c r="E255" s="22"/>
      <c r="F255" s="22"/>
      <c r="G255" s="22"/>
    </row>
    <row r="256" spans="4:7" ht="13.2" x14ac:dyDescent="0.25">
      <c r="D256" s="22"/>
      <c r="E256" s="22"/>
      <c r="F256" s="22"/>
      <c r="G256" s="22"/>
    </row>
    <row r="257" spans="4:7" ht="13.2" x14ac:dyDescent="0.25">
      <c r="D257" s="22"/>
      <c r="E257" s="22"/>
      <c r="F257" s="22"/>
      <c r="G257" s="22"/>
    </row>
    <row r="258" spans="4:7" ht="13.2" x14ac:dyDescent="0.25">
      <c r="D258" s="22"/>
      <c r="E258" s="22"/>
      <c r="F258" s="22"/>
      <c r="G258" s="22"/>
    </row>
    <row r="259" spans="4:7" ht="13.2" x14ac:dyDescent="0.25">
      <c r="D259" s="22"/>
      <c r="E259" s="22"/>
      <c r="F259" s="22"/>
      <c r="G259" s="22"/>
    </row>
    <row r="260" spans="4:7" ht="13.2" x14ac:dyDescent="0.25">
      <c r="D260" s="22"/>
      <c r="E260" s="22"/>
      <c r="F260" s="22"/>
      <c r="G260" s="22"/>
    </row>
    <row r="261" spans="4:7" ht="13.2" x14ac:dyDescent="0.25">
      <c r="D261" s="22"/>
      <c r="E261" s="22"/>
      <c r="F261" s="22"/>
      <c r="G261" s="22"/>
    </row>
    <row r="262" spans="4:7" ht="13.2" x14ac:dyDescent="0.25">
      <c r="D262" s="22"/>
      <c r="E262" s="22"/>
      <c r="F262" s="22"/>
      <c r="G262" s="22"/>
    </row>
    <row r="263" spans="4:7" ht="13.2" x14ac:dyDescent="0.25">
      <c r="D263" s="22"/>
      <c r="E263" s="22"/>
      <c r="F263" s="22"/>
      <c r="G263" s="22"/>
    </row>
    <row r="264" spans="4:7" ht="13.2" x14ac:dyDescent="0.25">
      <c r="D264" s="22"/>
      <c r="E264" s="22"/>
      <c r="F264" s="22"/>
      <c r="G264" s="22"/>
    </row>
    <row r="265" spans="4:7" ht="13.2" x14ac:dyDescent="0.25">
      <c r="D265" s="22"/>
      <c r="E265" s="22"/>
      <c r="F265" s="22"/>
      <c r="G265" s="22"/>
    </row>
    <row r="266" spans="4:7" ht="13.2" x14ac:dyDescent="0.25">
      <c r="D266" s="22"/>
      <c r="E266" s="22"/>
      <c r="F266" s="22"/>
      <c r="G266" s="22"/>
    </row>
    <row r="267" spans="4:7" ht="13.2" x14ac:dyDescent="0.25">
      <c r="D267" s="22"/>
      <c r="E267" s="22"/>
      <c r="F267" s="22"/>
      <c r="G267" s="22"/>
    </row>
    <row r="268" spans="4:7" ht="13.2" x14ac:dyDescent="0.25">
      <c r="D268" s="22"/>
      <c r="E268" s="22"/>
      <c r="F268" s="22"/>
      <c r="G268" s="22"/>
    </row>
    <row r="269" spans="4:7" ht="13.2" x14ac:dyDescent="0.25">
      <c r="D269" s="22"/>
      <c r="E269" s="22"/>
      <c r="F269" s="22"/>
      <c r="G269" s="22"/>
    </row>
    <row r="270" spans="4:7" ht="13.2" x14ac:dyDescent="0.25">
      <c r="D270" s="22"/>
      <c r="E270" s="22"/>
      <c r="F270" s="22"/>
      <c r="G270" s="22"/>
    </row>
    <row r="271" spans="4:7" ht="13.2" x14ac:dyDescent="0.25">
      <c r="D271" s="22"/>
      <c r="E271" s="22"/>
      <c r="F271" s="22"/>
      <c r="G271" s="22"/>
    </row>
    <row r="272" spans="4:7" ht="13.2" x14ac:dyDescent="0.25">
      <c r="D272" s="22"/>
      <c r="E272" s="22"/>
      <c r="F272" s="22"/>
      <c r="G272" s="22"/>
    </row>
    <row r="273" spans="4:7" ht="13.2" x14ac:dyDescent="0.25">
      <c r="D273" s="22"/>
      <c r="E273" s="22"/>
      <c r="F273" s="22"/>
      <c r="G273" s="22"/>
    </row>
    <row r="274" spans="4:7" ht="13.2" x14ac:dyDescent="0.25">
      <c r="D274" s="22"/>
      <c r="E274" s="22"/>
      <c r="F274" s="22"/>
      <c r="G274" s="22"/>
    </row>
    <row r="275" spans="4:7" ht="13.2" x14ac:dyDescent="0.25">
      <c r="D275" s="22"/>
      <c r="E275" s="22"/>
      <c r="F275" s="22"/>
      <c r="G275" s="22"/>
    </row>
    <row r="276" spans="4:7" ht="13.2" x14ac:dyDescent="0.25">
      <c r="D276" s="22"/>
      <c r="E276" s="22"/>
      <c r="F276" s="22"/>
      <c r="G276" s="22"/>
    </row>
    <row r="277" spans="4:7" ht="13.2" x14ac:dyDescent="0.25">
      <c r="D277" s="22"/>
      <c r="E277" s="22"/>
      <c r="F277" s="22"/>
      <c r="G277" s="22"/>
    </row>
    <row r="278" spans="4:7" ht="13.2" x14ac:dyDescent="0.25">
      <c r="D278" s="22"/>
      <c r="E278" s="22"/>
      <c r="F278" s="22"/>
      <c r="G278" s="22"/>
    </row>
    <row r="279" spans="4:7" ht="13.2" x14ac:dyDescent="0.25">
      <c r="D279" s="22"/>
      <c r="E279" s="22"/>
      <c r="F279" s="22"/>
      <c r="G279" s="22"/>
    </row>
    <row r="280" spans="4:7" ht="13.2" x14ac:dyDescent="0.25">
      <c r="D280" s="22"/>
      <c r="E280" s="22"/>
      <c r="F280" s="22"/>
      <c r="G280" s="22"/>
    </row>
    <row r="281" spans="4:7" ht="13.2" x14ac:dyDescent="0.25">
      <c r="D281" s="22"/>
      <c r="E281" s="22"/>
      <c r="F281" s="22"/>
      <c r="G281" s="22"/>
    </row>
    <row r="282" spans="4:7" ht="13.2" x14ac:dyDescent="0.25">
      <c r="D282" s="22"/>
      <c r="E282" s="22"/>
      <c r="F282" s="22"/>
      <c r="G282" s="22"/>
    </row>
    <row r="283" spans="4:7" ht="13.2" x14ac:dyDescent="0.25">
      <c r="D283" s="22"/>
      <c r="E283" s="22"/>
      <c r="F283" s="22"/>
      <c r="G283" s="22"/>
    </row>
    <row r="284" spans="4:7" ht="13.2" x14ac:dyDescent="0.25">
      <c r="D284" s="22"/>
      <c r="E284" s="22"/>
      <c r="F284" s="22"/>
      <c r="G284" s="22"/>
    </row>
    <row r="285" spans="4:7" ht="13.2" x14ac:dyDescent="0.25">
      <c r="D285" s="22"/>
      <c r="E285" s="22"/>
      <c r="F285" s="22"/>
      <c r="G285" s="22"/>
    </row>
    <row r="286" spans="4:7" ht="13.2" x14ac:dyDescent="0.25">
      <c r="D286" s="22"/>
      <c r="E286" s="22"/>
      <c r="F286" s="22"/>
      <c r="G286" s="22"/>
    </row>
    <row r="287" spans="4:7" ht="13.2" x14ac:dyDescent="0.25">
      <c r="D287" s="22"/>
      <c r="E287" s="22"/>
      <c r="F287" s="22"/>
      <c r="G287" s="22"/>
    </row>
    <row r="288" spans="4:7" ht="13.2" x14ac:dyDescent="0.25">
      <c r="D288" s="22"/>
      <c r="E288" s="22"/>
      <c r="F288" s="22"/>
      <c r="G288" s="22"/>
    </row>
    <row r="289" spans="4:7" ht="13.2" x14ac:dyDescent="0.25">
      <c r="D289" s="22"/>
      <c r="E289" s="22"/>
      <c r="F289" s="22"/>
      <c r="G289" s="22"/>
    </row>
    <row r="290" spans="4:7" ht="13.2" x14ac:dyDescent="0.25">
      <c r="D290" s="22"/>
      <c r="E290" s="22"/>
      <c r="F290" s="22"/>
      <c r="G290" s="22"/>
    </row>
    <row r="291" spans="4:7" ht="13.2" x14ac:dyDescent="0.25">
      <c r="D291" s="22"/>
      <c r="E291" s="22"/>
      <c r="F291" s="22"/>
      <c r="G291" s="22"/>
    </row>
    <row r="292" spans="4:7" ht="13.2" x14ac:dyDescent="0.25">
      <c r="D292" s="22"/>
      <c r="E292" s="22"/>
      <c r="F292" s="22"/>
      <c r="G292" s="22"/>
    </row>
    <row r="293" spans="4:7" ht="13.2" x14ac:dyDescent="0.25">
      <c r="D293" s="22"/>
      <c r="E293" s="22"/>
      <c r="F293" s="22"/>
      <c r="G293" s="22"/>
    </row>
    <row r="294" spans="4:7" ht="13.2" x14ac:dyDescent="0.25">
      <c r="D294" s="22"/>
      <c r="E294" s="22"/>
      <c r="F294" s="22"/>
      <c r="G294" s="22"/>
    </row>
    <row r="295" spans="4:7" ht="13.2" x14ac:dyDescent="0.25">
      <c r="D295" s="22"/>
      <c r="E295" s="22"/>
      <c r="F295" s="22"/>
      <c r="G295" s="22"/>
    </row>
    <row r="296" spans="4:7" ht="13.2" x14ac:dyDescent="0.25">
      <c r="D296" s="22"/>
      <c r="E296" s="22"/>
      <c r="F296" s="22"/>
      <c r="G296" s="22"/>
    </row>
    <row r="297" spans="4:7" ht="13.2" x14ac:dyDescent="0.25">
      <c r="D297" s="22"/>
      <c r="E297" s="22"/>
      <c r="F297" s="22"/>
      <c r="G297" s="22"/>
    </row>
    <row r="298" spans="4:7" ht="13.2" x14ac:dyDescent="0.25">
      <c r="D298" s="22"/>
      <c r="E298" s="22"/>
      <c r="F298" s="22"/>
      <c r="G298" s="22"/>
    </row>
    <row r="299" spans="4:7" ht="13.2" x14ac:dyDescent="0.25">
      <c r="D299" s="22"/>
      <c r="E299" s="22"/>
      <c r="F299" s="22"/>
      <c r="G299" s="22"/>
    </row>
    <row r="300" spans="4:7" ht="13.2" x14ac:dyDescent="0.25">
      <c r="D300" s="22"/>
      <c r="E300" s="22"/>
      <c r="F300" s="22"/>
      <c r="G300" s="22"/>
    </row>
    <row r="301" spans="4:7" ht="13.2" x14ac:dyDescent="0.25">
      <c r="D301" s="22"/>
      <c r="E301" s="22"/>
      <c r="F301" s="22"/>
      <c r="G301" s="22"/>
    </row>
    <row r="302" spans="4:7" ht="13.2" x14ac:dyDescent="0.25">
      <c r="D302" s="22"/>
      <c r="E302" s="22"/>
      <c r="F302" s="22"/>
      <c r="G302" s="22"/>
    </row>
    <row r="303" spans="4:7" ht="13.2" x14ac:dyDescent="0.25">
      <c r="D303" s="22"/>
      <c r="E303" s="22"/>
      <c r="F303" s="22"/>
      <c r="G303" s="22"/>
    </row>
    <row r="304" spans="4:7" ht="13.2" x14ac:dyDescent="0.25">
      <c r="D304" s="22"/>
      <c r="E304" s="22"/>
      <c r="F304" s="22"/>
      <c r="G304" s="22"/>
    </row>
    <row r="305" spans="4:7" ht="13.2" x14ac:dyDescent="0.25">
      <c r="D305" s="22"/>
      <c r="E305" s="22"/>
      <c r="F305" s="22"/>
      <c r="G305" s="22"/>
    </row>
    <row r="306" spans="4:7" ht="13.2" x14ac:dyDescent="0.25">
      <c r="D306" s="22"/>
      <c r="E306" s="22"/>
      <c r="F306" s="22"/>
      <c r="G306" s="22"/>
    </row>
    <row r="307" spans="4:7" ht="13.2" x14ac:dyDescent="0.25">
      <c r="D307" s="22"/>
      <c r="E307" s="22"/>
      <c r="F307" s="22"/>
      <c r="G307" s="22"/>
    </row>
    <row r="308" spans="4:7" ht="13.2" x14ac:dyDescent="0.25">
      <c r="D308" s="22"/>
      <c r="E308" s="22"/>
      <c r="F308" s="22"/>
      <c r="G308" s="22"/>
    </row>
    <row r="309" spans="4:7" ht="13.2" x14ac:dyDescent="0.25">
      <c r="D309" s="22"/>
      <c r="E309" s="22"/>
      <c r="F309" s="22"/>
      <c r="G309" s="22"/>
    </row>
    <row r="310" spans="4:7" ht="13.2" x14ac:dyDescent="0.25">
      <c r="D310" s="22"/>
      <c r="E310" s="22"/>
      <c r="F310" s="22"/>
      <c r="G310" s="22"/>
    </row>
    <row r="311" spans="4:7" ht="13.2" x14ac:dyDescent="0.25">
      <c r="D311" s="22"/>
      <c r="E311" s="22"/>
      <c r="F311" s="22"/>
      <c r="G311" s="22"/>
    </row>
    <row r="312" spans="4:7" ht="13.2" x14ac:dyDescent="0.25">
      <c r="D312" s="22"/>
      <c r="E312" s="22"/>
      <c r="F312" s="22"/>
      <c r="G312" s="22"/>
    </row>
    <row r="313" spans="4:7" ht="13.2" x14ac:dyDescent="0.25">
      <c r="D313" s="22"/>
      <c r="E313" s="22"/>
      <c r="F313" s="22"/>
      <c r="G313" s="22"/>
    </row>
    <row r="314" spans="4:7" ht="13.2" x14ac:dyDescent="0.25">
      <c r="D314" s="22"/>
      <c r="E314" s="22"/>
      <c r="F314" s="22"/>
      <c r="G314" s="22"/>
    </row>
    <row r="315" spans="4:7" ht="13.2" x14ac:dyDescent="0.25">
      <c r="D315" s="22"/>
      <c r="E315" s="22"/>
      <c r="F315" s="22"/>
      <c r="G315" s="22"/>
    </row>
    <row r="316" spans="4:7" ht="13.2" x14ac:dyDescent="0.25">
      <c r="D316" s="22"/>
      <c r="E316" s="22"/>
      <c r="F316" s="22"/>
      <c r="G316" s="22"/>
    </row>
    <row r="317" spans="4:7" ht="13.2" x14ac:dyDescent="0.25">
      <c r="D317" s="22"/>
      <c r="E317" s="22"/>
      <c r="F317" s="22"/>
      <c r="G317" s="22"/>
    </row>
    <row r="318" spans="4:7" ht="13.2" x14ac:dyDescent="0.25">
      <c r="D318" s="22"/>
      <c r="E318" s="22"/>
      <c r="F318" s="22"/>
      <c r="G318" s="22"/>
    </row>
    <row r="319" spans="4:7" ht="13.2" x14ac:dyDescent="0.25">
      <c r="D319" s="22"/>
      <c r="E319" s="22"/>
      <c r="F319" s="22"/>
      <c r="G319" s="22"/>
    </row>
    <row r="320" spans="4:7" ht="13.2" x14ac:dyDescent="0.25">
      <c r="D320" s="22"/>
      <c r="E320" s="22"/>
      <c r="F320" s="22"/>
      <c r="G320" s="22"/>
    </row>
    <row r="321" spans="4:7" ht="13.2" x14ac:dyDescent="0.25">
      <c r="D321" s="22"/>
      <c r="E321" s="22"/>
      <c r="F321" s="22"/>
      <c r="G321" s="22"/>
    </row>
    <row r="322" spans="4:7" ht="13.2" x14ac:dyDescent="0.25">
      <c r="D322" s="22"/>
      <c r="E322" s="22"/>
      <c r="F322" s="22"/>
      <c r="G322" s="22"/>
    </row>
    <row r="323" spans="4:7" ht="13.2" x14ac:dyDescent="0.25">
      <c r="D323" s="22"/>
      <c r="E323" s="22"/>
      <c r="F323" s="22"/>
      <c r="G323" s="22"/>
    </row>
    <row r="324" spans="4:7" ht="13.2" x14ac:dyDescent="0.25">
      <c r="D324" s="22"/>
      <c r="E324" s="22"/>
      <c r="F324" s="22"/>
      <c r="G324" s="22"/>
    </row>
    <row r="325" spans="4:7" ht="13.2" x14ac:dyDescent="0.25">
      <c r="D325" s="22"/>
      <c r="E325" s="22"/>
      <c r="F325" s="22"/>
      <c r="G325" s="22"/>
    </row>
    <row r="326" spans="4:7" ht="13.2" x14ac:dyDescent="0.25">
      <c r="D326" s="22"/>
      <c r="E326" s="22"/>
      <c r="F326" s="22"/>
      <c r="G326" s="22"/>
    </row>
    <row r="327" spans="4:7" ht="13.2" x14ac:dyDescent="0.25">
      <c r="D327" s="22"/>
      <c r="E327" s="22"/>
      <c r="F327" s="22"/>
      <c r="G327" s="22"/>
    </row>
    <row r="328" spans="4:7" ht="13.2" x14ac:dyDescent="0.25">
      <c r="D328" s="22"/>
      <c r="E328" s="22"/>
      <c r="F328" s="22"/>
      <c r="G328" s="22"/>
    </row>
    <row r="329" spans="4:7" ht="13.2" x14ac:dyDescent="0.25">
      <c r="D329" s="22"/>
      <c r="E329" s="22"/>
      <c r="F329" s="22"/>
      <c r="G329" s="22"/>
    </row>
    <row r="330" spans="4:7" ht="13.2" x14ac:dyDescent="0.25">
      <c r="D330" s="22"/>
      <c r="E330" s="22"/>
      <c r="F330" s="22"/>
      <c r="G330" s="22"/>
    </row>
    <row r="331" spans="4:7" ht="13.2" x14ac:dyDescent="0.25">
      <c r="D331" s="22"/>
      <c r="E331" s="22"/>
      <c r="F331" s="22"/>
      <c r="G331" s="22"/>
    </row>
    <row r="332" spans="4:7" ht="13.2" x14ac:dyDescent="0.25">
      <c r="D332" s="22"/>
      <c r="E332" s="22"/>
      <c r="F332" s="22"/>
      <c r="G332" s="22"/>
    </row>
    <row r="333" spans="4:7" ht="13.2" x14ac:dyDescent="0.25">
      <c r="D333" s="22"/>
      <c r="E333" s="22"/>
      <c r="F333" s="22"/>
      <c r="G333" s="22"/>
    </row>
    <row r="334" spans="4:7" ht="13.2" x14ac:dyDescent="0.25">
      <c r="D334" s="22"/>
      <c r="E334" s="22"/>
      <c r="F334" s="22"/>
      <c r="G334" s="22"/>
    </row>
    <row r="335" spans="4:7" ht="13.2" x14ac:dyDescent="0.25">
      <c r="D335" s="22"/>
      <c r="E335" s="22"/>
      <c r="F335" s="22"/>
      <c r="G335" s="22"/>
    </row>
    <row r="336" spans="4:7" ht="13.2" x14ac:dyDescent="0.25">
      <c r="D336" s="22"/>
      <c r="E336" s="22"/>
      <c r="F336" s="22"/>
      <c r="G336" s="22"/>
    </row>
    <row r="337" spans="4:7" ht="13.2" x14ac:dyDescent="0.25">
      <c r="D337" s="22"/>
      <c r="E337" s="22"/>
      <c r="F337" s="22"/>
      <c r="G337" s="22"/>
    </row>
    <row r="338" spans="4:7" ht="13.2" x14ac:dyDescent="0.25">
      <c r="D338" s="22"/>
      <c r="E338" s="22"/>
      <c r="F338" s="22"/>
      <c r="G338" s="22"/>
    </row>
    <row r="339" spans="4:7" ht="13.2" x14ac:dyDescent="0.25">
      <c r="D339" s="22"/>
      <c r="E339" s="22"/>
      <c r="F339" s="22"/>
      <c r="G339" s="22"/>
    </row>
    <row r="340" spans="4:7" ht="13.2" x14ac:dyDescent="0.25">
      <c r="D340" s="22"/>
      <c r="E340" s="22"/>
      <c r="F340" s="22"/>
      <c r="G340" s="22"/>
    </row>
    <row r="341" spans="4:7" ht="13.2" x14ac:dyDescent="0.25">
      <c r="D341" s="22"/>
      <c r="E341" s="22"/>
      <c r="F341" s="22"/>
      <c r="G341" s="22"/>
    </row>
    <row r="342" spans="4:7" ht="13.2" x14ac:dyDescent="0.25">
      <c r="D342" s="22"/>
      <c r="E342" s="22"/>
      <c r="F342" s="22"/>
      <c r="G342" s="22"/>
    </row>
    <row r="343" spans="4:7" ht="13.2" x14ac:dyDescent="0.25">
      <c r="D343" s="22"/>
      <c r="E343" s="22"/>
      <c r="F343" s="22"/>
      <c r="G343" s="22"/>
    </row>
    <row r="344" spans="4:7" ht="13.2" x14ac:dyDescent="0.25">
      <c r="D344" s="22"/>
      <c r="E344" s="22"/>
      <c r="F344" s="22"/>
      <c r="G344" s="22"/>
    </row>
    <row r="345" spans="4:7" ht="13.2" x14ac:dyDescent="0.25">
      <c r="D345" s="22"/>
      <c r="E345" s="22"/>
      <c r="F345" s="22"/>
      <c r="G345" s="22"/>
    </row>
    <row r="346" spans="4:7" ht="13.2" x14ac:dyDescent="0.25">
      <c r="D346" s="22"/>
      <c r="E346" s="22"/>
      <c r="F346" s="22"/>
      <c r="G346" s="22"/>
    </row>
    <row r="347" spans="4:7" ht="13.2" x14ac:dyDescent="0.25">
      <c r="D347" s="22"/>
      <c r="E347" s="22"/>
      <c r="F347" s="22"/>
      <c r="G347" s="22"/>
    </row>
    <row r="348" spans="4:7" ht="13.2" x14ac:dyDescent="0.25">
      <c r="D348" s="22"/>
      <c r="E348" s="22"/>
      <c r="F348" s="22"/>
      <c r="G348" s="22"/>
    </row>
    <row r="349" spans="4:7" ht="13.2" x14ac:dyDescent="0.25">
      <c r="D349" s="22"/>
      <c r="E349" s="22"/>
      <c r="F349" s="22"/>
      <c r="G349" s="22"/>
    </row>
    <row r="350" spans="4:7" ht="13.2" x14ac:dyDescent="0.25">
      <c r="D350" s="22"/>
      <c r="E350" s="22"/>
      <c r="F350" s="22"/>
      <c r="G350" s="22"/>
    </row>
    <row r="351" spans="4:7" ht="13.2" x14ac:dyDescent="0.25">
      <c r="D351" s="22"/>
      <c r="E351" s="22"/>
      <c r="F351" s="22"/>
      <c r="G351" s="22"/>
    </row>
    <row r="352" spans="4:7" ht="13.2" x14ac:dyDescent="0.25">
      <c r="D352" s="22"/>
      <c r="E352" s="22"/>
      <c r="F352" s="22"/>
      <c r="G352" s="22"/>
    </row>
    <row r="353" spans="4:7" ht="13.2" x14ac:dyDescent="0.25">
      <c r="D353" s="22"/>
      <c r="E353" s="22"/>
      <c r="F353" s="22"/>
      <c r="G353" s="22"/>
    </row>
    <row r="354" spans="4:7" ht="13.2" x14ac:dyDescent="0.25">
      <c r="D354" s="22"/>
      <c r="E354" s="22"/>
      <c r="F354" s="22"/>
      <c r="G354" s="22"/>
    </row>
    <row r="355" spans="4:7" ht="13.2" x14ac:dyDescent="0.25">
      <c r="D355" s="22"/>
      <c r="E355" s="22"/>
      <c r="F355" s="22"/>
      <c r="G355" s="22"/>
    </row>
    <row r="356" spans="4:7" ht="13.2" x14ac:dyDescent="0.25">
      <c r="D356" s="22"/>
      <c r="E356" s="22"/>
      <c r="F356" s="22"/>
      <c r="G356" s="22"/>
    </row>
    <row r="357" spans="4:7" ht="13.2" x14ac:dyDescent="0.25">
      <c r="D357" s="22"/>
      <c r="E357" s="22"/>
      <c r="F357" s="22"/>
      <c r="G357" s="22"/>
    </row>
    <row r="358" spans="4:7" ht="13.2" x14ac:dyDescent="0.25">
      <c r="D358" s="22"/>
      <c r="E358" s="22"/>
      <c r="F358" s="22"/>
      <c r="G358" s="22"/>
    </row>
    <row r="359" spans="4:7" ht="13.2" x14ac:dyDescent="0.25">
      <c r="D359" s="22"/>
      <c r="E359" s="22"/>
      <c r="F359" s="22"/>
      <c r="G359" s="22"/>
    </row>
    <row r="360" spans="4:7" ht="13.2" x14ac:dyDescent="0.25">
      <c r="D360" s="22"/>
      <c r="E360" s="22"/>
      <c r="F360" s="22"/>
      <c r="G360" s="22"/>
    </row>
    <row r="361" spans="4:7" ht="13.2" x14ac:dyDescent="0.25">
      <c r="D361" s="22"/>
      <c r="E361" s="22"/>
      <c r="F361" s="22"/>
      <c r="G361" s="22"/>
    </row>
    <row r="362" spans="4:7" ht="13.2" x14ac:dyDescent="0.25">
      <c r="D362" s="22"/>
      <c r="E362" s="22"/>
      <c r="F362" s="22"/>
      <c r="G362" s="22"/>
    </row>
    <row r="363" spans="4:7" ht="13.2" x14ac:dyDescent="0.25">
      <c r="D363" s="22"/>
      <c r="E363" s="22"/>
      <c r="F363" s="22"/>
      <c r="G363" s="22"/>
    </row>
    <row r="364" spans="4:7" ht="13.2" x14ac:dyDescent="0.25">
      <c r="D364" s="22"/>
      <c r="E364" s="22"/>
      <c r="F364" s="22"/>
      <c r="G364" s="22"/>
    </row>
    <row r="365" spans="4:7" ht="13.2" x14ac:dyDescent="0.25">
      <c r="D365" s="22"/>
      <c r="E365" s="22"/>
      <c r="F365" s="22"/>
      <c r="G365" s="22"/>
    </row>
    <row r="366" spans="4:7" ht="13.2" x14ac:dyDescent="0.25">
      <c r="D366" s="22"/>
      <c r="E366" s="22"/>
      <c r="F366" s="22"/>
      <c r="G366" s="22"/>
    </row>
    <row r="367" spans="4:7" ht="13.2" x14ac:dyDescent="0.25">
      <c r="D367" s="22"/>
      <c r="E367" s="22"/>
      <c r="F367" s="22"/>
      <c r="G367" s="22"/>
    </row>
    <row r="368" spans="4:7" ht="13.2" x14ac:dyDescent="0.25">
      <c r="D368" s="22"/>
      <c r="E368" s="22"/>
      <c r="F368" s="22"/>
      <c r="G368" s="22"/>
    </row>
    <row r="369" spans="4:7" ht="13.2" x14ac:dyDescent="0.25">
      <c r="D369" s="22"/>
      <c r="E369" s="22"/>
      <c r="F369" s="22"/>
      <c r="G369" s="22"/>
    </row>
    <row r="370" spans="4:7" ht="13.2" x14ac:dyDescent="0.25">
      <c r="D370" s="22"/>
      <c r="E370" s="22"/>
      <c r="F370" s="22"/>
      <c r="G370" s="22"/>
    </row>
    <row r="371" spans="4:7" ht="13.2" x14ac:dyDescent="0.25">
      <c r="D371" s="22"/>
      <c r="E371" s="22"/>
      <c r="F371" s="22"/>
      <c r="G371" s="22"/>
    </row>
    <row r="372" spans="4:7" ht="13.2" x14ac:dyDescent="0.25">
      <c r="D372" s="22"/>
      <c r="E372" s="22"/>
      <c r="F372" s="22"/>
      <c r="G372" s="22"/>
    </row>
    <row r="373" spans="4:7" ht="13.2" x14ac:dyDescent="0.25">
      <c r="D373" s="22"/>
      <c r="E373" s="22"/>
      <c r="F373" s="22"/>
      <c r="G373" s="22"/>
    </row>
    <row r="374" spans="4:7" ht="13.2" x14ac:dyDescent="0.25">
      <c r="D374" s="22"/>
      <c r="E374" s="22"/>
      <c r="F374" s="22"/>
      <c r="G374" s="22"/>
    </row>
    <row r="375" spans="4:7" ht="13.2" x14ac:dyDescent="0.25">
      <c r="D375" s="22"/>
      <c r="E375" s="22"/>
      <c r="F375" s="22"/>
      <c r="G375" s="22"/>
    </row>
    <row r="376" spans="4:7" ht="13.2" x14ac:dyDescent="0.25">
      <c r="D376" s="22"/>
      <c r="E376" s="22"/>
      <c r="F376" s="22"/>
      <c r="G376" s="22"/>
    </row>
    <row r="377" spans="4:7" ht="13.2" x14ac:dyDescent="0.25">
      <c r="D377" s="22"/>
      <c r="E377" s="22"/>
      <c r="F377" s="22"/>
      <c r="G377" s="22"/>
    </row>
    <row r="378" spans="4:7" ht="13.2" x14ac:dyDescent="0.25">
      <c r="D378" s="22"/>
      <c r="E378" s="22"/>
      <c r="F378" s="22"/>
      <c r="G378" s="22"/>
    </row>
    <row r="379" spans="4:7" ht="13.2" x14ac:dyDescent="0.25">
      <c r="D379" s="22"/>
      <c r="E379" s="22"/>
      <c r="F379" s="22"/>
      <c r="G379" s="22"/>
    </row>
    <row r="380" spans="4:7" ht="13.2" x14ac:dyDescent="0.25">
      <c r="D380" s="22"/>
      <c r="E380" s="22"/>
      <c r="F380" s="22"/>
      <c r="G380" s="22"/>
    </row>
    <row r="381" spans="4:7" ht="13.2" x14ac:dyDescent="0.25">
      <c r="D381" s="22"/>
      <c r="E381" s="22"/>
      <c r="F381" s="22"/>
      <c r="G381" s="22"/>
    </row>
    <row r="382" spans="4:7" ht="13.2" x14ac:dyDescent="0.25">
      <c r="D382" s="22"/>
      <c r="E382" s="22"/>
      <c r="F382" s="22"/>
      <c r="G382" s="22"/>
    </row>
    <row r="383" spans="4:7" ht="13.2" x14ac:dyDescent="0.25">
      <c r="D383" s="22"/>
      <c r="E383" s="22"/>
      <c r="F383" s="22"/>
      <c r="G383" s="22"/>
    </row>
    <row r="384" spans="4:7" ht="13.2" x14ac:dyDescent="0.25">
      <c r="D384" s="22"/>
      <c r="E384" s="22"/>
      <c r="F384" s="22"/>
      <c r="G384" s="22"/>
    </row>
    <row r="385" spans="4:7" ht="13.2" x14ac:dyDescent="0.25">
      <c r="D385" s="22"/>
      <c r="E385" s="22"/>
      <c r="F385" s="22"/>
      <c r="G385" s="22"/>
    </row>
    <row r="386" spans="4:7" ht="13.2" x14ac:dyDescent="0.25">
      <c r="D386" s="22"/>
      <c r="E386" s="22"/>
      <c r="F386" s="22"/>
      <c r="G386" s="22"/>
    </row>
    <row r="387" spans="4:7" ht="13.2" x14ac:dyDescent="0.25">
      <c r="D387" s="22"/>
      <c r="E387" s="22"/>
      <c r="F387" s="22"/>
      <c r="G387" s="22"/>
    </row>
    <row r="388" spans="4:7" ht="13.2" x14ac:dyDescent="0.25">
      <c r="D388" s="22"/>
      <c r="E388" s="22"/>
      <c r="F388" s="22"/>
      <c r="G388" s="22"/>
    </row>
    <row r="389" spans="4:7" ht="13.2" x14ac:dyDescent="0.25">
      <c r="D389" s="22"/>
      <c r="E389" s="22"/>
      <c r="F389" s="22"/>
      <c r="G389" s="22"/>
    </row>
    <row r="390" spans="4:7" ht="13.2" x14ac:dyDescent="0.25">
      <c r="D390" s="22"/>
      <c r="E390" s="22"/>
      <c r="F390" s="22"/>
      <c r="G390" s="22"/>
    </row>
    <row r="391" spans="4:7" ht="13.2" x14ac:dyDescent="0.25">
      <c r="D391" s="22"/>
      <c r="E391" s="22"/>
      <c r="F391" s="22"/>
      <c r="G391" s="22"/>
    </row>
    <row r="392" spans="4:7" ht="13.2" x14ac:dyDescent="0.25">
      <c r="D392" s="22"/>
      <c r="E392" s="22"/>
      <c r="F392" s="22"/>
      <c r="G392" s="22"/>
    </row>
    <row r="393" spans="4:7" ht="13.2" x14ac:dyDescent="0.25">
      <c r="D393" s="22"/>
      <c r="E393" s="22"/>
      <c r="F393" s="22"/>
      <c r="G393" s="22"/>
    </row>
    <row r="394" spans="4:7" ht="13.2" x14ac:dyDescent="0.25">
      <c r="D394" s="22"/>
      <c r="E394" s="22"/>
      <c r="F394" s="22"/>
      <c r="G394" s="22"/>
    </row>
    <row r="395" spans="4:7" ht="13.2" x14ac:dyDescent="0.25">
      <c r="D395" s="22"/>
      <c r="E395" s="22"/>
      <c r="F395" s="22"/>
      <c r="G395" s="22"/>
    </row>
    <row r="396" spans="4:7" ht="13.2" x14ac:dyDescent="0.25">
      <c r="D396" s="22"/>
      <c r="E396" s="22"/>
      <c r="F396" s="22"/>
      <c r="G396" s="22"/>
    </row>
    <row r="397" spans="4:7" ht="13.2" x14ac:dyDescent="0.25">
      <c r="D397" s="22"/>
      <c r="E397" s="22"/>
      <c r="F397" s="22"/>
      <c r="G397" s="22"/>
    </row>
    <row r="398" spans="4:7" ht="13.2" x14ac:dyDescent="0.25">
      <c r="D398" s="22"/>
      <c r="E398" s="22"/>
      <c r="F398" s="22"/>
      <c r="G398" s="22"/>
    </row>
    <row r="399" spans="4:7" ht="13.2" x14ac:dyDescent="0.25">
      <c r="D399" s="22"/>
      <c r="E399" s="22"/>
      <c r="F399" s="22"/>
      <c r="G399" s="22"/>
    </row>
    <row r="400" spans="4:7" ht="13.2" x14ac:dyDescent="0.25">
      <c r="D400" s="22"/>
      <c r="E400" s="22"/>
      <c r="F400" s="22"/>
      <c r="G400" s="22"/>
    </row>
    <row r="401" spans="4:7" ht="13.2" x14ac:dyDescent="0.25">
      <c r="D401" s="22"/>
      <c r="E401" s="22"/>
      <c r="F401" s="22"/>
      <c r="G401" s="22"/>
    </row>
    <row r="402" spans="4:7" ht="13.2" x14ac:dyDescent="0.25">
      <c r="D402" s="22"/>
      <c r="E402" s="22"/>
      <c r="F402" s="22"/>
      <c r="G402" s="22"/>
    </row>
    <row r="403" spans="4:7" ht="13.2" x14ac:dyDescent="0.25">
      <c r="D403" s="22"/>
      <c r="E403" s="22"/>
      <c r="F403" s="22"/>
      <c r="G403" s="22"/>
    </row>
    <row r="404" spans="4:7" ht="13.2" x14ac:dyDescent="0.25">
      <c r="D404" s="22"/>
      <c r="E404" s="22"/>
      <c r="F404" s="22"/>
      <c r="G404" s="22"/>
    </row>
    <row r="405" spans="4:7" ht="13.2" x14ac:dyDescent="0.25">
      <c r="D405" s="22"/>
      <c r="E405" s="22"/>
      <c r="F405" s="22"/>
      <c r="G405" s="22"/>
    </row>
    <row r="406" spans="4:7" ht="13.2" x14ac:dyDescent="0.25">
      <c r="D406" s="22"/>
      <c r="E406" s="22"/>
      <c r="F406" s="22"/>
      <c r="G406" s="22"/>
    </row>
    <row r="407" spans="4:7" ht="13.2" x14ac:dyDescent="0.25">
      <c r="D407" s="22"/>
      <c r="E407" s="22"/>
      <c r="F407" s="22"/>
      <c r="G407" s="22"/>
    </row>
    <row r="408" spans="4:7" ht="13.2" x14ac:dyDescent="0.25">
      <c r="D408" s="22"/>
      <c r="E408" s="22"/>
      <c r="F408" s="22"/>
      <c r="G408" s="22"/>
    </row>
    <row r="409" spans="4:7" ht="13.2" x14ac:dyDescent="0.25">
      <c r="D409" s="22"/>
      <c r="E409" s="22"/>
      <c r="F409" s="22"/>
      <c r="G409" s="22"/>
    </row>
    <row r="410" spans="4:7" ht="13.2" x14ac:dyDescent="0.25">
      <c r="D410" s="22"/>
      <c r="E410" s="22"/>
      <c r="F410" s="22"/>
      <c r="G410" s="22"/>
    </row>
    <row r="411" spans="4:7" ht="13.2" x14ac:dyDescent="0.25">
      <c r="D411" s="22"/>
      <c r="E411" s="22"/>
      <c r="F411" s="22"/>
      <c r="G411" s="22"/>
    </row>
    <row r="412" spans="4:7" ht="13.2" x14ac:dyDescent="0.25">
      <c r="D412" s="22"/>
      <c r="E412" s="22"/>
      <c r="F412" s="22"/>
      <c r="G412" s="22"/>
    </row>
    <row r="413" spans="4:7" ht="13.2" x14ac:dyDescent="0.25">
      <c r="D413" s="22"/>
      <c r="E413" s="22"/>
      <c r="F413" s="22"/>
      <c r="G413" s="22"/>
    </row>
    <row r="414" spans="4:7" ht="13.2" x14ac:dyDescent="0.25">
      <c r="D414" s="22"/>
      <c r="E414" s="22"/>
      <c r="F414" s="22"/>
      <c r="G414" s="22"/>
    </row>
    <row r="415" spans="4:7" ht="13.2" x14ac:dyDescent="0.25">
      <c r="D415" s="22"/>
      <c r="E415" s="22"/>
      <c r="F415" s="22"/>
      <c r="G415" s="22"/>
    </row>
    <row r="416" spans="4:7" ht="13.2" x14ac:dyDescent="0.25">
      <c r="D416" s="22"/>
      <c r="E416" s="22"/>
      <c r="F416" s="22"/>
      <c r="G416" s="22"/>
    </row>
    <row r="417" spans="4:7" ht="13.2" x14ac:dyDescent="0.25">
      <c r="D417" s="22"/>
      <c r="E417" s="22"/>
      <c r="F417" s="22"/>
      <c r="G417" s="22"/>
    </row>
    <row r="418" spans="4:7" ht="13.2" x14ac:dyDescent="0.25">
      <c r="D418" s="22"/>
      <c r="E418" s="22"/>
      <c r="F418" s="22"/>
      <c r="G418" s="22"/>
    </row>
    <row r="419" spans="4:7" ht="13.2" x14ac:dyDescent="0.25">
      <c r="D419" s="22"/>
      <c r="E419" s="22"/>
      <c r="F419" s="22"/>
      <c r="G419" s="22"/>
    </row>
    <row r="420" spans="4:7" ht="13.2" x14ac:dyDescent="0.25">
      <c r="D420" s="22"/>
      <c r="E420" s="22"/>
      <c r="F420" s="22"/>
      <c r="G420" s="22"/>
    </row>
    <row r="421" spans="4:7" ht="13.2" x14ac:dyDescent="0.25">
      <c r="D421" s="22"/>
      <c r="E421" s="22"/>
      <c r="F421" s="22"/>
      <c r="G421" s="22"/>
    </row>
    <row r="422" spans="4:7" ht="13.2" x14ac:dyDescent="0.25">
      <c r="D422" s="22"/>
      <c r="E422" s="22"/>
      <c r="F422" s="22"/>
      <c r="G422" s="22"/>
    </row>
    <row r="423" spans="4:7" ht="13.2" x14ac:dyDescent="0.25">
      <c r="D423" s="22"/>
      <c r="E423" s="22"/>
      <c r="F423" s="22"/>
      <c r="G423" s="22"/>
    </row>
    <row r="424" spans="4:7" ht="13.2" x14ac:dyDescent="0.25">
      <c r="D424" s="22"/>
      <c r="E424" s="22"/>
      <c r="F424" s="22"/>
      <c r="G424" s="22"/>
    </row>
    <row r="425" spans="4:7" ht="13.2" x14ac:dyDescent="0.25">
      <c r="D425" s="22"/>
      <c r="E425" s="22"/>
      <c r="F425" s="22"/>
      <c r="G425" s="22"/>
    </row>
    <row r="426" spans="4:7" ht="13.2" x14ac:dyDescent="0.25">
      <c r="D426" s="22"/>
      <c r="E426" s="22"/>
      <c r="F426" s="22"/>
      <c r="G426" s="22"/>
    </row>
    <row r="427" spans="4:7" ht="13.2" x14ac:dyDescent="0.25">
      <c r="D427" s="22"/>
      <c r="E427" s="22"/>
      <c r="F427" s="22"/>
      <c r="G427" s="22"/>
    </row>
    <row r="428" spans="4:7" ht="13.2" x14ac:dyDescent="0.25">
      <c r="D428" s="22"/>
      <c r="E428" s="22"/>
      <c r="F428" s="22"/>
      <c r="G428" s="22"/>
    </row>
    <row r="429" spans="4:7" ht="13.2" x14ac:dyDescent="0.25">
      <c r="D429" s="22"/>
      <c r="E429" s="22"/>
      <c r="F429" s="22"/>
      <c r="G429" s="22"/>
    </row>
    <row r="430" spans="4:7" ht="13.2" x14ac:dyDescent="0.25">
      <c r="D430" s="22"/>
      <c r="E430" s="22"/>
      <c r="F430" s="22"/>
      <c r="G430" s="22"/>
    </row>
    <row r="431" spans="4:7" ht="13.2" x14ac:dyDescent="0.25">
      <c r="D431" s="22"/>
      <c r="E431" s="22"/>
      <c r="F431" s="22"/>
      <c r="G431" s="22"/>
    </row>
    <row r="432" spans="4:7" ht="13.2" x14ac:dyDescent="0.25">
      <c r="D432" s="22"/>
      <c r="E432" s="22"/>
      <c r="F432" s="22"/>
      <c r="G432" s="22"/>
    </row>
    <row r="433" spans="4:7" ht="13.2" x14ac:dyDescent="0.25">
      <c r="D433" s="22"/>
      <c r="E433" s="22"/>
      <c r="F433" s="22"/>
      <c r="G433" s="22"/>
    </row>
    <row r="434" spans="4:7" ht="13.2" x14ac:dyDescent="0.25">
      <c r="D434" s="22"/>
      <c r="E434" s="22"/>
      <c r="F434" s="22"/>
      <c r="G434" s="22"/>
    </row>
    <row r="435" spans="4:7" ht="13.2" x14ac:dyDescent="0.25">
      <c r="D435" s="22"/>
      <c r="E435" s="22"/>
      <c r="F435" s="22"/>
      <c r="G435" s="22"/>
    </row>
    <row r="436" spans="4:7" ht="13.2" x14ac:dyDescent="0.25">
      <c r="D436" s="22"/>
      <c r="E436" s="22"/>
      <c r="F436" s="22"/>
      <c r="G436" s="22"/>
    </row>
    <row r="437" spans="4:7" ht="13.2" x14ac:dyDescent="0.25">
      <c r="D437" s="22"/>
      <c r="E437" s="22"/>
      <c r="F437" s="22"/>
      <c r="G437" s="22"/>
    </row>
    <row r="438" spans="4:7" ht="13.2" x14ac:dyDescent="0.25">
      <c r="D438" s="22"/>
      <c r="E438" s="22"/>
      <c r="F438" s="22"/>
      <c r="G438" s="22"/>
    </row>
    <row r="439" spans="4:7" ht="13.2" x14ac:dyDescent="0.25">
      <c r="D439" s="22"/>
      <c r="E439" s="22"/>
      <c r="F439" s="22"/>
      <c r="G439" s="22"/>
    </row>
    <row r="440" spans="4:7" ht="13.2" x14ac:dyDescent="0.25">
      <c r="D440" s="22"/>
      <c r="E440" s="22"/>
      <c r="F440" s="22"/>
      <c r="G440" s="22"/>
    </row>
    <row r="441" spans="4:7" ht="13.2" x14ac:dyDescent="0.25">
      <c r="D441" s="22"/>
      <c r="E441" s="22"/>
      <c r="F441" s="22"/>
      <c r="G441" s="22"/>
    </row>
    <row r="442" spans="4:7" ht="13.2" x14ac:dyDescent="0.25">
      <c r="D442" s="22"/>
      <c r="E442" s="22"/>
      <c r="F442" s="22"/>
      <c r="G442" s="22"/>
    </row>
    <row r="443" spans="4:7" ht="13.2" x14ac:dyDescent="0.25">
      <c r="D443" s="22"/>
      <c r="E443" s="22"/>
      <c r="F443" s="22"/>
      <c r="G443" s="22"/>
    </row>
    <row r="444" spans="4:7" ht="13.2" x14ac:dyDescent="0.25">
      <c r="D444" s="22"/>
      <c r="E444" s="22"/>
      <c r="F444" s="22"/>
      <c r="G444" s="22"/>
    </row>
    <row r="445" spans="4:7" ht="13.2" x14ac:dyDescent="0.25">
      <c r="D445" s="22"/>
      <c r="E445" s="22"/>
      <c r="F445" s="22"/>
      <c r="G445" s="22"/>
    </row>
    <row r="446" spans="4:7" ht="13.2" x14ac:dyDescent="0.25">
      <c r="D446" s="22"/>
      <c r="E446" s="22"/>
      <c r="F446" s="22"/>
      <c r="G446" s="22"/>
    </row>
    <row r="447" spans="4:7" ht="13.2" x14ac:dyDescent="0.25">
      <c r="D447" s="22"/>
      <c r="E447" s="22"/>
      <c r="F447" s="22"/>
      <c r="G447" s="22"/>
    </row>
    <row r="448" spans="4:7" ht="13.2" x14ac:dyDescent="0.25">
      <c r="D448" s="22"/>
      <c r="E448" s="22"/>
      <c r="F448" s="22"/>
      <c r="G448" s="22"/>
    </row>
    <row r="449" spans="4:7" ht="13.2" x14ac:dyDescent="0.25">
      <c r="D449" s="22"/>
      <c r="E449" s="22"/>
      <c r="F449" s="22"/>
      <c r="G449" s="22"/>
    </row>
    <row r="450" spans="4:7" ht="13.2" x14ac:dyDescent="0.25">
      <c r="D450" s="22"/>
      <c r="E450" s="22"/>
      <c r="F450" s="22"/>
      <c r="G450" s="22"/>
    </row>
    <row r="451" spans="4:7" ht="13.2" x14ac:dyDescent="0.25">
      <c r="D451" s="22"/>
      <c r="E451" s="22"/>
      <c r="F451" s="22"/>
      <c r="G451" s="22"/>
    </row>
    <row r="452" spans="4:7" ht="13.2" x14ac:dyDescent="0.25">
      <c r="D452" s="22"/>
      <c r="E452" s="22"/>
      <c r="F452" s="22"/>
      <c r="G452" s="22"/>
    </row>
    <row r="453" spans="4:7" ht="13.2" x14ac:dyDescent="0.25">
      <c r="D453" s="22"/>
      <c r="E453" s="22"/>
      <c r="F453" s="22"/>
      <c r="G453" s="22"/>
    </row>
    <row r="454" spans="4:7" ht="13.2" x14ac:dyDescent="0.25">
      <c r="D454" s="22"/>
      <c r="E454" s="22"/>
      <c r="F454" s="22"/>
      <c r="G454" s="22"/>
    </row>
    <row r="455" spans="4:7" ht="13.2" x14ac:dyDescent="0.25">
      <c r="D455" s="22"/>
      <c r="E455" s="22"/>
      <c r="F455" s="22"/>
      <c r="G455" s="22"/>
    </row>
    <row r="456" spans="4:7" ht="13.2" x14ac:dyDescent="0.25">
      <c r="D456" s="22"/>
      <c r="E456" s="22"/>
      <c r="F456" s="22"/>
      <c r="G456" s="22"/>
    </row>
    <row r="457" spans="4:7" ht="13.2" x14ac:dyDescent="0.25">
      <c r="D457" s="22"/>
      <c r="E457" s="22"/>
      <c r="F457" s="22"/>
      <c r="G457" s="22"/>
    </row>
    <row r="458" spans="4:7" ht="13.2" x14ac:dyDescent="0.25">
      <c r="D458" s="22"/>
      <c r="E458" s="22"/>
      <c r="F458" s="22"/>
      <c r="G458" s="22"/>
    </row>
    <row r="459" spans="4:7" ht="13.2" x14ac:dyDescent="0.25">
      <c r="D459" s="22"/>
      <c r="E459" s="22"/>
      <c r="F459" s="22"/>
      <c r="G459" s="22"/>
    </row>
    <row r="460" spans="4:7" ht="13.2" x14ac:dyDescent="0.25">
      <c r="D460" s="22"/>
      <c r="E460" s="22"/>
      <c r="F460" s="22"/>
      <c r="G460" s="22"/>
    </row>
    <row r="461" spans="4:7" ht="13.2" x14ac:dyDescent="0.25">
      <c r="D461" s="22"/>
      <c r="E461" s="22"/>
      <c r="F461" s="22"/>
      <c r="G461" s="22"/>
    </row>
    <row r="462" spans="4:7" ht="13.2" x14ac:dyDescent="0.25">
      <c r="D462" s="22"/>
      <c r="E462" s="22"/>
      <c r="F462" s="22"/>
      <c r="G462" s="22"/>
    </row>
    <row r="463" spans="4:7" ht="13.2" x14ac:dyDescent="0.25">
      <c r="D463" s="22"/>
      <c r="E463" s="22"/>
      <c r="F463" s="22"/>
      <c r="G463" s="22"/>
    </row>
    <row r="464" spans="4:7" ht="13.2" x14ac:dyDescent="0.25">
      <c r="D464" s="22"/>
      <c r="E464" s="22"/>
      <c r="F464" s="22"/>
      <c r="G464" s="22"/>
    </row>
    <row r="465" spans="4:7" ht="13.2" x14ac:dyDescent="0.25">
      <c r="D465" s="22"/>
      <c r="E465" s="22"/>
      <c r="F465" s="22"/>
      <c r="G465" s="22"/>
    </row>
    <row r="466" spans="4:7" ht="13.2" x14ac:dyDescent="0.25">
      <c r="D466" s="22"/>
      <c r="E466" s="22"/>
      <c r="F466" s="22"/>
      <c r="G466" s="22"/>
    </row>
    <row r="467" spans="4:7" ht="13.2" x14ac:dyDescent="0.25">
      <c r="D467" s="22"/>
      <c r="E467" s="22"/>
      <c r="F467" s="22"/>
      <c r="G467" s="22"/>
    </row>
    <row r="468" spans="4:7" ht="13.2" x14ac:dyDescent="0.25">
      <c r="D468" s="22"/>
      <c r="E468" s="22"/>
      <c r="F468" s="22"/>
      <c r="G468" s="22"/>
    </row>
    <row r="469" spans="4:7" ht="13.2" x14ac:dyDescent="0.25">
      <c r="D469" s="22"/>
      <c r="E469" s="22"/>
      <c r="F469" s="22"/>
      <c r="G469" s="22"/>
    </row>
    <row r="470" spans="4:7" ht="13.2" x14ac:dyDescent="0.25">
      <c r="D470" s="22"/>
      <c r="E470" s="22"/>
      <c r="F470" s="22"/>
      <c r="G470" s="22"/>
    </row>
    <row r="471" spans="4:7" ht="13.2" x14ac:dyDescent="0.25">
      <c r="D471" s="22"/>
      <c r="E471" s="22"/>
      <c r="F471" s="22"/>
      <c r="G471" s="22"/>
    </row>
    <row r="472" spans="4:7" ht="13.2" x14ac:dyDescent="0.25">
      <c r="D472" s="22"/>
      <c r="E472" s="22"/>
      <c r="F472" s="22"/>
      <c r="G472" s="22"/>
    </row>
    <row r="473" spans="4:7" ht="13.2" x14ac:dyDescent="0.25">
      <c r="D473" s="22"/>
      <c r="E473" s="22"/>
      <c r="F473" s="22"/>
      <c r="G473" s="22"/>
    </row>
    <row r="474" spans="4:7" ht="13.2" x14ac:dyDescent="0.25">
      <c r="D474" s="22"/>
      <c r="E474" s="22"/>
      <c r="F474" s="22"/>
      <c r="G474" s="22"/>
    </row>
    <row r="475" spans="4:7" ht="13.2" x14ac:dyDescent="0.25">
      <c r="D475" s="22"/>
      <c r="E475" s="22"/>
      <c r="F475" s="22"/>
      <c r="G475" s="22"/>
    </row>
    <row r="476" spans="4:7" ht="13.2" x14ac:dyDescent="0.25">
      <c r="D476" s="22"/>
      <c r="E476" s="22"/>
      <c r="F476" s="22"/>
      <c r="G476" s="22"/>
    </row>
    <row r="477" spans="4:7" ht="13.2" x14ac:dyDescent="0.25">
      <c r="D477" s="22"/>
      <c r="E477" s="22"/>
      <c r="F477" s="22"/>
      <c r="G477" s="22"/>
    </row>
    <row r="478" spans="4:7" ht="13.2" x14ac:dyDescent="0.25">
      <c r="D478" s="22"/>
      <c r="E478" s="22"/>
      <c r="F478" s="22"/>
      <c r="G478" s="22"/>
    </row>
    <row r="479" spans="4:7" ht="13.2" x14ac:dyDescent="0.25">
      <c r="D479" s="22"/>
      <c r="E479" s="22"/>
      <c r="F479" s="22"/>
      <c r="G479" s="22"/>
    </row>
    <row r="480" spans="4:7" ht="13.2" x14ac:dyDescent="0.25">
      <c r="D480" s="22"/>
      <c r="E480" s="22"/>
      <c r="F480" s="22"/>
      <c r="G480" s="22"/>
    </row>
    <row r="481" spans="4:7" ht="13.2" x14ac:dyDescent="0.25">
      <c r="D481" s="22"/>
      <c r="E481" s="22"/>
      <c r="F481" s="22"/>
      <c r="G481" s="22"/>
    </row>
    <row r="482" spans="4:7" ht="13.2" x14ac:dyDescent="0.25">
      <c r="D482" s="22"/>
      <c r="E482" s="22"/>
      <c r="F482" s="22"/>
      <c r="G482" s="22"/>
    </row>
    <row r="483" spans="4:7" ht="13.2" x14ac:dyDescent="0.25">
      <c r="D483" s="22"/>
      <c r="E483" s="22"/>
      <c r="F483" s="22"/>
      <c r="G483" s="22"/>
    </row>
    <row r="484" spans="4:7" ht="13.2" x14ac:dyDescent="0.25">
      <c r="D484" s="22"/>
      <c r="E484" s="22"/>
      <c r="F484" s="22"/>
      <c r="G484" s="22"/>
    </row>
    <row r="485" spans="4:7" ht="13.2" x14ac:dyDescent="0.25">
      <c r="D485" s="22"/>
      <c r="E485" s="22"/>
      <c r="F485" s="22"/>
      <c r="G485" s="22"/>
    </row>
    <row r="486" spans="4:7" ht="13.2" x14ac:dyDescent="0.25">
      <c r="D486" s="22"/>
      <c r="E486" s="22"/>
      <c r="F486" s="22"/>
      <c r="G486" s="22"/>
    </row>
    <row r="487" spans="4:7" ht="13.2" x14ac:dyDescent="0.25">
      <c r="D487" s="22"/>
      <c r="E487" s="22"/>
      <c r="F487" s="22"/>
      <c r="G487" s="22"/>
    </row>
    <row r="488" spans="4:7" ht="13.2" x14ac:dyDescent="0.25">
      <c r="D488" s="22"/>
      <c r="E488" s="22"/>
      <c r="F488" s="22"/>
      <c r="G488" s="22"/>
    </row>
    <row r="489" spans="4:7" ht="13.2" x14ac:dyDescent="0.25">
      <c r="D489" s="22"/>
      <c r="E489" s="22"/>
      <c r="F489" s="22"/>
      <c r="G489" s="22"/>
    </row>
    <row r="490" spans="4:7" ht="13.2" x14ac:dyDescent="0.25">
      <c r="D490" s="22"/>
      <c r="E490" s="22"/>
      <c r="F490" s="22"/>
      <c r="G490" s="22"/>
    </row>
    <row r="491" spans="4:7" ht="13.2" x14ac:dyDescent="0.25">
      <c r="D491" s="22"/>
      <c r="E491" s="22"/>
      <c r="F491" s="22"/>
      <c r="G491" s="22"/>
    </row>
    <row r="492" spans="4:7" ht="13.2" x14ac:dyDescent="0.25">
      <c r="D492" s="22"/>
      <c r="E492" s="22"/>
      <c r="F492" s="22"/>
      <c r="G492" s="22"/>
    </row>
    <row r="493" spans="4:7" ht="13.2" x14ac:dyDescent="0.25">
      <c r="D493" s="22"/>
      <c r="E493" s="22"/>
      <c r="F493" s="22"/>
      <c r="G493" s="22"/>
    </row>
    <row r="494" spans="4:7" ht="13.2" x14ac:dyDescent="0.25">
      <c r="D494" s="22"/>
      <c r="E494" s="22"/>
      <c r="F494" s="22"/>
      <c r="G494" s="22"/>
    </row>
    <row r="495" spans="4:7" ht="13.2" x14ac:dyDescent="0.25">
      <c r="D495" s="22"/>
      <c r="E495" s="22"/>
      <c r="F495" s="22"/>
      <c r="G495" s="22"/>
    </row>
    <row r="496" spans="4:7" ht="13.2" x14ac:dyDescent="0.25">
      <c r="D496" s="22"/>
      <c r="E496" s="22"/>
      <c r="F496" s="22"/>
      <c r="G496" s="22"/>
    </row>
    <row r="497" spans="4:7" ht="13.2" x14ac:dyDescent="0.25">
      <c r="D497" s="22"/>
      <c r="E497" s="22"/>
      <c r="F497" s="22"/>
      <c r="G497" s="22"/>
    </row>
    <row r="498" spans="4:7" ht="13.2" x14ac:dyDescent="0.25">
      <c r="D498" s="22"/>
      <c r="E498" s="22"/>
      <c r="F498" s="22"/>
      <c r="G498" s="22"/>
    </row>
    <row r="499" spans="4:7" ht="13.2" x14ac:dyDescent="0.25">
      <c r="D499" s="22"/>
      <c r="E499" s="22"/>
      <c r="F499" s="22"/>
      <c r="G499" s="22"/>
    </row>
    <row r="500" spans="4:7" ht="13.2" x14ac:dyDescent="0.25">
      <c r="D500" s="22"/>
      <c r="E500" s="22"/>
      <c r="F500" s="22"/>
      <c r="G500" s="22"/>
    </row>
    <row r="501" spans="4:7" ht="13.2" x14ac:dyDescent="0.25">
      <c r="D501" s="22"/>
      <c r="E501" s="22"/>
      <c r="F501" s="22"/>
      <c r="G501" s="22"/>
    </row>
    <row r="502" spans="4:7" ht="13.2" x14ac:dyDescent="0.25">
      <c r="D502" s="22"/>
      <c r="E502" s="22"/>
      <c r="F502" s="22"/>
      <c r="G502" s="22"/>
    </row>
    <row r="503" spans="4:7" ht="13.2" x14ac:dyDescent="0.25">
      <c r="D503" s="22"/>
      <c r="E503" s="22"/>
      <c r="F503" s="22"/>
      <c r="G503" s="22"/>
    </row>
    <row r="504" spans="4:7" ht="13.2" x14ac:dyDescent="0.25">
      <c r="D504" s="22"/>
      <c r="E504" s="22"/>
      <c r="F504" s="22"/>
      <c r="G504" s="22"/>
    </row>
    <row r="505" spans="4:7" ht="13.2" x14ac:dyDescent="0.25">
      <c r="D505" s="22"/>
      <c r="E505" s="22"/>
      <c r="F505" s="22"/>
      <c r="G505" s="22"/>
    </row>
    <row r="506" spans="4:7" ht="13.2" x14ac:dyDescent="0.25">
      <c r="D506" s="22"/>
      <c r="E506" s="22"/>
      <c r="F506" s="22"/>
      <c r="G506" s="22"/>
    </row>
    <row r="507" spans="4:7" ht="13.2" x14ac:dyDescent="0.25">
      <c r="D507" s="22"/>
      <c r="E507" s="22"/>
      <c r="F507" s="22"/>
      <c r="G507" s="22"/>
    </row>
    <row r="508" spans="4:7" ht="13.2" x14ac:dyDescent="0.25">
      <c r="D508" s="22"/>
      <c r="E508" s="22"/>
      <c r="F508" s="22"/>
      <c r="G508" s="22"/>
    </row>
    <row r="509" spans="4:7" ht="13.2" x14ac:dyDescent="0.25">
      <c r="D509" s="22"/>
      <c r="E509" s="22"/>
      <c r="F509" s="22"/>
      <c r="G509" s="22"/>
    </row>
    <row r="510" spans="4:7" ht="13.2" x14ac:dyDescent="0.25">
      <c r="D510" s="22"/>
      <c r="E510" s="22"/>
      <c r="F510" s="22"/>
      <c r="G510" s="22"/>
    </row>
    <row r="511" spans="4:7" ht="13.2" x14ac:dyDescent="0.25">
      <c r="D511" s="22"/>
      <c r="E511" s="22"/>
      <c r="F511" s="22"/>
      <c r="G511" s="22"/>
    </row>
    <row r="512" spans="4:7" ht="13.2" x14ac:dyDescent="0.25">
      <c r="D512" s="22"/>
      <c r="E512" s="22"/>
      <c r="F512" s="22"/>
      <c r="G512" s="22"/>
    </row>
    <row r="513" spans="4:7" ht="13.2" x14ac:dyDescent="0.25">
      <c r="D513" s="22"/>
      <c r="E513" s="22"/>
      <c r="F513" s="22"/>
      <c r="G513" s="22"/>
    </row>
    <row r="514" spans="4:7" ht="13.2" x14ac:dyDescent="0.25">
      <c r="D514" s="22"/>
      <c r="E514" s="22"/>
      <c r="F514" s="22"/>
      <c r="G514" s="22"/>
    </row>
    <row r="515" spans="4:7" ht="13.2" x14ac:dyDescent="0.25">
      <c r="D515" s="22"/>
      <c r="E515" s="22"/>
      <c r="F515" s="22"/>
      <c r="G515" s="22"/>
    </row>
    <row r="516" spans="4:7" ht="13.2" x14ac:dyDescent="0.25">
      <c r="D516" s="22"/>
      <c r="E516" s="22"/>
      <c r="F516" s="22"/>
      <c r="G516" s="22"/>
    </row>
    <row r="517" spans="4:7" ht="13.2" x14ac:dyDescent="0.25">
      <c r="D517" s="22"/>
      <c r="E517" s="22"/>
      <c r="F517" s="22"/>
      <c r="G517" s="22"/>
    </row>
    <row r="518" spans="4:7" ht="13.2" x14ac:dyDescent="0.25">
      <c r="D518" s="22"/>
      <c r="E518" s="22"/>
      <c r="F518" s="22"/>
      <c r="G518" s="22"/>
    </row>
    <row r="519" spans="4:7" ht="13.2" x14ac:dyDescent="0.25">
      <c r="D519" s="22"/>
      <c r="E519" s="22"/>
      <c r="F519" s="22"/>
      <c r="G519" s="22"/>
    </row>
    <row r="520" spans="4:7" ht="13.2" x14ac:dyDescent="0.25">
      <c r="D520" s="22"/>
      <c r="E520" s="22"/>
      <c r="F520" s="22"/>
      <c r="G520" s="22"/>
    </row>
    <row r="521" spans="4:7" ht="13.2" x14ac:dyDescent="0.25">
      <c r="D521" s="22"/>
      <c r="E521" s="22"/>
      <c r="F521" s="22"/>
      <c r="G521" s="22"/>
    </row>
    <row r="522" spans="4:7" ht="13.2" x14ac:dyDescent="0.25">
      <c r="D522" s="22"/>
      <c r="E522" s="22"/>
      <c r="F522" s="22"/>
      <c r="G522" s="22"/>
    </row>
    <row r="523" spans="4:7" ht="13.2" x14ac:dyDescent="0.25">
      <c r="D523" s="22"/>
      <c r="E523" s="22"/>
      <c r="F523" s="22"/>
      <c r="G523" s="22"/>
    </row>
    <row r="524" spans="4:7" ht="13.2" x14ac:dyDescent="0.25">
      <c r="D524" s="22"/>
      <c r="E524" s="22"/>
      <c r="F524" s="22"/>
      <c r="G524" s="22"/>
    </row>
    <row r="525" spans="4:7" ht="13.2" x14ac:dyDescent="0.25">
      <c r="D525" s="22"/>
      <c r="E525" s="22"/>
      <c r="F525" s="22"/>
      <c r="G525" s="22"/>
    </row>
    <row r="526" spans="4:7" ht="13.2" x14ac:dyDescent="0.25">
      <c r="D526" s="22"/>
      <c r="E526" s="22"/>
      <c r="F526" s="22"/>
      <c r="G526" s="22"/>
    </row>
    <row r="527" spans="4:7" ht="13.2" x14ac:dyDescent="0.25">
      <c r="D527" s="22"/>
      <c r="E527" s="22"/>
      <c r="F527" s="22"/>
      <c r="G527" s="22"/>
    </row>
    <row r="528" spans="4:7" ht="13.2" x14ac:dyDescent="0.25">
      <c r="D528" s="22"/>
      <c r="E528" s="22"/>
      <c r="F528" s="22"/>
      <c r="G528" s="22"/>
    </row>
    <row r="529" spans="4:7" ht="13.2" x14ac:dyDescent="0.25">
      <c r="D529" s="22"/>
      <c r="E529" s="22"/>
      <c r="F529" s="22"/>
      <c r="G529" s="22"/>
    </row>
    <row r="530" spans="4:7" ht="13.2" x14ac:dyDescent="0.25">
      <c r="D530" s="22"/>
      <c r="E530" s="22"/>
      <c r="F530" s="22"/>
      <c r="G530" s="22"/>
    </row>
    <row r="531" spans="4:7" ht="13.2" x14ac:dyDescent="0.25">
      <c r="D531" s="22"/>
      <c r="E531" s="22"/>
      <c r="F531" s="22"/>
      <c r="G531" s="22"/>
    </row>
    <row r="532" spans="4:7" ht="13.2" x14ac:dyDescent="0.25">
      <c r="D532" s="22"/>
      <c r="E532" s="22"/>
      <c r="F532" s="22"/>
      <c r="G532" s="22"/>
    </row>
    <row r="533" spans="4:7" ht="13.2" x14ac:dyDescent="0.25">
      <c r="D533" s="22"/>
      <c r="E533" s="22"/>
      <c r="F533" s="22"/>
      <c r="G533" s="22"/>
    </row>
    <row r="534" spans="4:7" ht="13.2" x14ac:dyDescent="0.25">
      <c r="D534" s="22"/>
      <c r="E534" s="22"/>
      <c r="F534" s="22"/>
      <c r="G534" s="22"/>
    </row>
    <row r="535" spans="4:7" ht="13.2" x14ac:dyDescent="0.25">
      <c r="D535" s="22"/>
      <c r="E535" s="22"/>
      <c r="F535" s="22"/>
      <c r="G535" s="22"/>
    </row>
    <row r="536" spans="4:7" ht="13.2" x14ac:dyDescent="0.25">
      <c r="D536" s="22"/>
      <c r="E536" s="22"/>
      <c r="F536" s="22"/>
      <c r="G536" s="22"/>
    </row>
    <row r="537" spans="4:7" ht="13.2" x14ac:dyDescent="0.25">
      <c r="D537" s="22"/>
      <c r="E537" s="22"/>
      <c r="F537" s="22"/>
      <c r="G537" s="22"/>
    </row>
    <row r="538" spans="4:7" ht="13.2" x14ac:dyDescent="0.25">
      <c r="D538" s="22"/>
      <c r="E538" s="22"/>
      <c r="F538" s="22"/>
      <c r="G538" s="22"/>
    </row>
    <row r="539" spans="4:7" ht="13.2" x14ac:dyDescent="0.25">
      <c r="D539" s="22"/>
      <c r="E539" s="22"/>
      <c r="F539" s="22"/>
      <c r="G539" s="22"/>
    </row>
    <row r="540" spans="4:7" ht="13.2" x14ac:dyDescent="0.25">
      <c r="D540" s="22"/>
      <c r="E540" s="22"/>
      <c r="F540" s="22"/>
      <c r="G540" s="22"/>
    </row>
    <row r="541" spans="4:7" ht="13.2" x14ac:dyDescent="0.25">
      <c r="D541" s="22"/>
      <c r="E541" s="22"/>
      <c r="F541" s="22"/>
      <c r="G541" s="22"/>
    </row>
    <row r="542" spans="4:7" ht="13.2" x14ac:dyDescent="0.25">
      <c r="D542" s="22"/>
      <c r="E542" s="22"/>
      <c r="F542" s="22"/>
      <c r="G542" s="22"/>
    </row>
    <row r="543" spans="4:7" ht="13.2" x14ac:dyDescent="0.25">
      <c r="D543" s="22"/>
      <c r="E543" s="22"/>
      <c r="F543" s="22"/>
      <c r="G543" s="22"/>
    </row>
    <row r="544" spans="4:7" ht="13.2" x14ac:dyDescent="0.25">
      <c r="D544" s="22"/>
      <c r="E544" s="22"/>
      <c r="F544" s="22"/>
      <c r="G544" s="22"/>
    </row>
    <row r="545" spans="4:7" ht="13.2" x14ac:dyDescent="0.25">
      <c r="D545" s="22"/>
      <c r="E545" s="22"/>
      <c r="F545" s="22"/>
      <c r="G545" s="22"/>
    </row>
    <row r="546" spans="4:7" ht="13.2" x14ac:dyDescent="0.25">
      <c r="D546" s="22"/>
      <c r="E546" s="22"/>
      <c r="F546" s="22"/>
      <c r="G546" s="22"/>
    </row>
    <row r="547" spans="4:7" ht="13.2" x14ac:dyDescent="0.25">
      <c r="D547" s="22"/>
      <c r="E547" s="22"/>
      <c r="F547" s="22"/>
      <c r="G547" s="22"/>
    </row>
    <row r="548" spans="4:7" ht="13.2" x14ac:dyDescent="0.25">
      <c r="D548" s="22"/>
      <c r="E548" s="22"/>
      <c r="F548" s="22"/>
      <c r="G548" s="22"/>
    </row>
    <row r="549" spans="4:7" ht="13.2" x14ac:dyDescent="0.25">
      <c r="D549" s="22"/>
      <c r="E549" s="22"/>
      <c r="F549" s="22"/>
      <c r="G549" s="22"/>
    </row>
    <row r="550" spans="4:7" ht="13.2" x14ac:dyDescent="0.25">
      <c r="D550" s="22"/>
      <c r="E550" s="22"/>
      <c r="F550" s="22"/>
      <c r="G550" s="22"/>
    </row>
    <row r="551" spans="4:7" ht="13.2" x14ac:dyDescent="0.25">
      <c r="D551" s="22"/>
      <c r="E551" s="22"/>
      <c r="F551" s="22"/>
      <c r="G551" s="22"/>
    </row>
    <row r="552" spans="4:7" ht="13.2" x14ac:dyDescent="0.25">
      <c r="D552" s="22"/>
      <c r="E552" s="22"/>
      <c r="F552" s="22"/>
      <c r="G552" s="22"/>
    </row>
    <row r="553" spans="4:7" ht="13.2" x14ac:dyDescent="0.25">
      <c r="D553" s="22"/>
      <c r="E553" s="22"/>
      <c r="F553" s="22"/>
      <c r="G553" s="22"/>
    </row>
    <row r="554" spans="4:7" ht="13.2" x14ac:dyDescent="0.25">
      <c r="D554" s="22"/>
      <c r="E554" s="22"/>
      <c r="F554" s="22"/>
      <c r="G554" s="22"/>
    </row>
    <row r="555" spans="4:7" ht="13.2" x14ac:dyDescent="0.25">
      <c r="D555" s="22"/>
      <c r="E555" s="22"/>
      <c r="F555" s="22"/>
      <c r="G555" s="22"/>
    </row>
    <row r="556" spans="4:7" ht="13.2" x14ac:dyDescent="0.25">
      <c r="D556" s="22"/>
      <c r="E556" s="22"/>
      <c r="F556" s="22"/>
      <c r="G556" s="22"/>
    </row>
    <row r="557" spans="4:7" ht="13.2" x14ac:dyDescent="0.25">
      <c r="D557" s="22"/>
      <c r="E557" s="22"/>
      <c r="F557" s="22"/>
      <c r="G557" s="22"/>
    </row>
    <row r="558" spans="4:7" ht="13.2" x14ac:dyDescent="0.25">
      <c r="D558" s="22"/>
      <c r="E558" s="22"/>
      <c r="F558" s="22"/>
      <c r="G558" s="22"/>
    </row>
    <row r="559" spans="4:7" ht="13.2" x14ac:dyDescent="0.25">
      <c r="D559" s="22"/>
      <c r="E559" s="22"/>
      <c r="F559" s="22"/>
      <c r="G559" s="22"/>
    </row>
    <row r="560" spans="4:7" ht="13.2" x14ac:dyDescent="0.25">
      <c r="D560" s="22"/>
      <c r="E560" s="22"/>
      <c r="F560" s="22"/>
      <c r="G560" s="22"/>
    </row>
    <row r="561" spans="4:7" ht="13.2" x14ac:dyDescent="0.25">
      <c r="D561" s="22"/>
      <c r="E561" s="22"/>
      <c r="F561" s="22"/>
      <c r="G561" s="22"/>
    </row>
    <row r="562" spans="4:7" ht="13.2" x14ac:dyDescent="0.25">
      <c r="D562" s="22"/>
      <c r="E562" s="22"/>
      <c r="F562" s="22"/>
      <c r="G562" s="22"/>
    </row>
    <row r="563" spans="4:7" ht="13.2" x14ac:dyDescent="0.25">
      <c r="D563" s="22"/>
      <c r="E563" s="22"/>
      <c r="F563" s="22"/>
      <c r="G563" s="22"/>
    </row>
    <row r="564" spans="4:7" ht="13.2" x14ac:dyDescent="0.25">
      <c r="D564" s="22"/>
      <c r="E564" s="22"/>
      <c r="F564" s="22"/>
      <c r="G564" s="22"/>
    </row>
    <row r="565" spans="4:7" ht="13.2" x14ac:dyDescent="0.25">
      <c r="D565" s="22"/>
      <c r="E565" s="22"/>
      <c r="F565" s="22"/>
      <c r="G565" s="22"/>
    </row>
    <row r="566" spans="4:7" ht="13.2" x14ac:dyDescent="0.25">
      <c r="D566" s="22"/>
      <c r="E566" s="22"/>
      <c r="F566" s="22"/>
      <c r="G566" s="22"/>
    </row>
    <row r="567" spans="4:7" ht="13.2" x14ac:dyDescent="0.25">
      <c r="D567" s="22"/>
      <c r="E567" s="22"/>
      <c r="F567" s="22"/>
      <c r="G567" s="22"/>
    </row>
    <row r="568" spans="4:7" ht="13.2" x14ac:dyDescent="0.25">
      <c r="D568" s="22"/>
      <c r="E568" s="22"/>
      <c r="F568" s="22"/>
      <c r="G568" s="22"/>
    </row>
    <row r="569" spans="4:7" ht="13.2" x14ac:dyDescent="0.25">
      <c r="D569" s="22"/>
      <c r="E569" s="22"/>
      <c r="F569" s="22"/>
      <c r="G569" s="22"/>
    </row>
    <row r="570" spans="4:7" ht="13.2" x14ac:dyDescent="0.25">
      <c r="D570" s="22"/>
      <c r="E570" s="22"/>
      <c r="F570" s="22"/>
      <c r="G570" s="22"/>
    </row>
    <row r="571" spans="4:7" ht="13.2" x14ac:dyDescent="0.25">
      <c r="D571" s="22"/>
      <c r="E571" s="22"/>
      <c r="F571" s="22"/>
      <c r="G571" s="22"/>
    </row>
    <row r="572" spans="4:7" ht="13.2" x14ac:dyDescent="0.25">
      <c r="D572" s="22"/>
      <c r="E572" s="22"/>
      <c r="F572" s="22"/>
      <c r="G572" s="22"/>
    </row>
    <row r="573" spans="4:7" ht="13.2" x14ac:dyDescent="0.25">
      <c r="D573" s="22"/>
      <c r="E573" s="22"/>
      <c r="F573" s="22"/>
      <c r="G573" s="22"/>
    </row>
    <row r="574" spans="4:7" ht="13.2" x14ac:dyDescent="0.25">
      <c r="D574" s="22"/>
      <c r="E574" s="22"/>
      <c r="F574" s="22"/>
      <c r="G574" s="22"/>
    </row>
    <row r="575" spans="4:7" ht="13.2" x14ac:dyDescent="0.25">
      <c r="D575" s="22"/>
      <c r="E575" s="22"/>
      <c r="F575" s="22"/>
      <c r="G575" s="22"/>
    </row>
    <row r="576" spans="4:7" ht="13.2" x14ac:dyDescent="0.25">
      <c r="D576" s="22"/>
      <c r="E576" s="22"/>
      <c r="F576" s="22"/>
      <c r="G576" s="22"/>
    </row>
    <row r="577" spans="4:7" ht="13.2" x14ac:dyDescent="0.25">
      <c r="D577" s="22"/>
      <c r="E577" s="22"/>
      <c r="F577" s="22"/>
      <c r="G577" s="22"/>
    </row>
    <row r="578" spans="4:7" ht="13.2" x14ac:dyDescent="0.25">
      <c r="D578" s="22"/>
      <c r="E578" s="22"/>
      <c r="F578" s="22"/>
      <c r="G578" s="22"/>
    </row>
    <row r="579" spans="4:7" ht="13.2" x14ac:dyDescent="0.25">
      <c r="D579" s="22"/>
      <c r="E579" s="22"/>
      <c r="F579" s="22"/>
      <c r="G579" s="22"/>
    </row>
    <row r="580" spans="4:7" ht="13.2" x14ac:dyDescent="0.25">
      <c r="D580" s="22"/>
      <c r="E580" s="22"/>
      <c r="F580" s="22"/>
      <c r="G580" s="22"/>
    </row>
    <row r="581" spans="4:7" ht="13.2" x14ac:dyDescent="0.25">
      <c r="D581" s="22"/>
      <c r="E581" s="22"/>
      <c r="F581" s="22"/>
      <c r="G581" s="22"/>
    </row>
    <row r="582" spans="4:7" ht="13.2" x14ac:dyDescent="0.25">
      <c r="D582" s="22"/>
      <c r="E582" s="22"/>
      <c r="F582" s="22"/>
      <c r="G582" s="22"/>
    </row>
    <row r="583" spans="4:7" ht="13.2" x14ac:dyDescent="0.25">
      <c r="D583" s="22"/>
      <c r="E583" s="22"/>
      <c r="F583" s="22"/>
      <c r="G583" s="22"/>
    </row>
    <row r="584" spans="4:7" ht="13.2" x14ac:dyDescent="0.25">
      <c r="D584" s="22"/>
      <c r="E584" s="22"/>
      <c r="F584" s="22"/>
      <c r="G584" s="22"/>
    </row>
    <row r="585" spans="4:7" ht="13.2" x14ac:dyDescent="0.25">
      <c r="D585" s="22"/>
      <c r="E585" s="22"/>
      <c r="F585" s="22"/>
      <c r="G585" s="22"/>
    </row>
    <row r="586" spans="4:7" ht="13.2" x14ac:dyDescent="0.25">
      <c r="D586" s="22"/>
      <c r="E586" s="22"/>
      <c r="F586" s="22"/>
      <c r="G586" s="22"/>
    </row>
    <row r="587" spans="4:7" ht="13.2" x14ac:dyDescent="0.25">
      <c r="D587" s="22"/>
      <c r="E587" s="22"/>
      <c r="F587" s="22"/>
      <c r="G587" s="22"/>
    </row>
    <row r="588" spans="4:7" ht="13.2" x14ac:dyDescent="0.25">
      <c r="D588" s="22"/>
      <c r="E588" s="22"/>
      <c r="F588" s="22"/>
      <c r="G588" s="22"/>
    </row>
    <row r="589" spans="4:7" ht="13.2" x14ac:dyDescent="0.25">
      <c r="D589" s="22"/>
      <c r="E589" s="22"/>
      <c r="F589" s="22"/>
      <c r="G589" s="22"/>
    </row>
    <row r="590" spans="4:7" ht="13.2" x14ac:dyDescent="0.25">
      <c r="D590" s="22"/>
      <c r="E590" s="22"/>
      <c r="F590" s="22"/>
      <c r="G590" s="22"/>
    </row>
    <row r="591" spans="4:7" ht="13.2" x14ac:dyDescent="0.25">
      <c r="D591" s="22"/>
      <c r="E591" s="22"/>
      <c r="F591" s="22"/>
      <c r="G591" s="22"/>
    </row>
    <row r="592" spans="4:7" ht="13.2" x14ac:dyDescent="0.25">
      <c r="D592" s="22"/>
      <c r="E592" s="22"/>
      <c r="F592" s="22"/>
      <c r="G592" s="22"/>
    </row>
    <row r="593" spans="4:7" ht="13.2" x14ac:dyDescent="0.25">
      <c r="D593" s="22"/>
      <c r="E593" s="22"/>
      <c r="F593" s="22"/>
      <c r="G593" s="22"/>
    </row>
    <row r="594" spans="4:7" ht="13.2" x14ac:dyDescent="0.25">
      <c r="D594" s="22"/>
      <c r="E594" s="22"/>
      <c r="F594" s="22"/>
      <c r="G594" s="22"/>
    </row>
    <row r="595" spans="4:7" ht="13.2" x14ac:dyDescent="0.25">
      <c r="D595" s="22"/>
      <c r="E595" s="22"/>
      <c r="F595" s="22"/>
      <c r="G595" s="22"/>
    </row>
    <row r="596" spans="4:7" ht="13.2" x14ac:dyDescent="0.25">
      <c r="D596" s="22"/>
      <c r="E596" s="22"/>
      <c r="F596" s="22"/>
      <c r="G596" s="22"/>
    </row>
    <row r="597" spans="4:7" ht="13.2" x14ac:dyDescent="0.25">
      <c r="D597" s="22"/>
      <c r="E597" s="22"/>
      <c r="F597" s="22"/>
      <c r="G597" s="22"/>
    </row>
    <row r="598" spans="4:7" ht="13.2" x14ac:dyDescent="0.25">
      <c r="D598" s="22"/>
      <c r="E598" s="22"/>
      <c r="F598" s="22"/>
      <c r="G598" s="22"/>
    </row>
    <row r="599" spans="4:7" ht="13.2" x14ac:dyDescent="0.25">
      <c r="D599" s="22"/>
      <c r="E599" s="22"/>
      <c r="F599" s="22"/>
      <c r="G599" s="22"/>
    </row>
    <row r="600" spans="4:7" ht="13.2" x14ac:dyDescent="0.25">
      <c r="D600" s="22"/>
      <c r="E600" s="22"/>
      <c r="F600" s="22"/>
      <c r="G600" s="22"/>
    </row>
    <row r="601" spans="4:7" ht="13.2" x14ac:dyDescent="0.25">
      <c r="D601" s="22"/>
      <c r="E601" s="22"/>
      <c r="F601" s="22"/>
      <c r="G601" s="22"/>
    </row>
    <row r="602" spans="4:7" ht="13.2" x14ac:dyDescent="0.25">
      <c r="D602" s="22"/>
      <c r="E602" s="22"/>
      <c r="F602" s="22"/>
      <c r="G602" s="22"/>
    </row>
    <row r="603" spans="4:7" ht="13.2" x14ac:dyDescent="0.25">
      <c r="D603" s="22"/>
      <c r="E603" s="22"/>
      <c r="F603" s="22"/>
      <c r="G603" s="22"/>
    </row>
    <row r="604" spans="4:7" ht="13.2" x14ac:dyDescent="0.25">
      <c r="D604" s="22"/>
      <c r="E604" s="22"/>
      <c r="F604" s="22"/>
      <c r="G604" s="22"/>
    </row>
    <row r="605" spans="4:7" ht="13.2" x14ac:dyDescent="0.25">
      <c r="D605" s="22"/>
      <c r="E605" s="22"/>
      <c r="F605" s="22"/>
      <c r="G605" s="22"/>
    </row>
    <row r="606" spans="4:7" ht="13.2" x14ac:dyDescent="0.25">
      <c r="D606" s="22"/>
      <c r="E606" s="22"/>
      <c r="F606" s="22"/>
      <c r="G606" s="22"/>
    </row>
    <row r="607" spans="4:7" ht="13.2" x14ac:dyDescent="0.25">
      <c r="D607" s="22"/>
      <c r="E607" s="22"/>
      <c r="F607" s="22"/>
      <c r="G607" s="22"/>
    </row>
    <row r="608" spans="4:7" ht="13.2" x14ac:dyDescent="0.25">
      <c r="D608" s="22"/>
      <c r="E608" s="22"/>
      <c r="F608" s="22"/>
      <c r="G608" s="22"/>
    </row>
    <row r="609" spans="4:7" ht="13.2" x14ac:dyDescent="0.25">
      <c r="D609" s="22"/>
      <c r="E609" s="22"/>
      <c r="F609" s="22"/>
      <c r="G609" s="22"/>
    </row>
    <row r="610" spans="4:7" ht="13.2" x14ac:dyDescent="0.25">
      <c r="D610" s="22"/>
      <c r="E610" s="22"/>
      <c r="F610" s="22"/>
      <c r="G610" s="22"/>
    </row>
    <row r="611" spans="4:7" ht="13.2" x14ac:dyDescent="0.25">
      <c r="D611" s="22"/>
      <c r="E611" s="22"/>
      <c r="F611" s="22"/>
      <c r="G611" s="22"/>
    </row>
    <row r="612" spans="4:7" ht="13.2" x14ac:dyDescent="0.25">
      <c r="D612" s="22"/>
      <c r="E612" s="22"/>
      <c r="F612" s="22"/>
      <c r="G612" s="22"/>
    </row>
    <row r="613" spans="4:7" ht="13.2" x14ac:dyDescent="0.25">
      <c r="D613" s="22"/>
      <c r="E613" s="22"/>
      <c r="F613" s="22"/>
      <c r="G613" s="22"/>
    </row>
    <row r="614" spans="4:7" ht="13.2" x14ac:dyDescent="0.25">
      <c r="D614" s="22"/>
      <c r="E614" s="22"/>
      <c r="F614" s="22"/>
      <c r="G614" s="22"/>
    </row>
    <row r="615" spans="4:7" ht="13.2" x14ac:dyDescent="0.25">
      <c r="D615" s="22"/>
      <c r="E615" s="22"/>
      <c r="F615" s="22"/>
      <c r="G615" s="22"/>
    </row>
    <row r="616" spans="4:7" ht="13.2" x14ac:dyDescent="0.25">
      <c r="D616" s="22"/>
      <c r="E616" s="22"/>
      <c r="F616" s="22"/>
      <c r="G616" s="22"/>
    </row>
    <row r="617" spans="4:7" ht="13.2" x14ac:dyDescent="0.25">
      <c r="D617" s="22"/>
      <c r="E617" s="22"/>
      <c r="F617" s="22"/>
      <c r="G617" s="22"/>
    </row>
    <row r="618" spans="4:7" ht="13.2" x14ac:dyDescent="0.25">
      <c r="D618" s="22"/>
      <c r="E618" s="22"/>
      <c r="F618" s="22"/>
      <c r="G618" s="22"/>
    </row>
    <row r="619" spans="4:7" ht="13.2" x14ac:dyDescent="0.25">
      <c r="D619" s="22"/>
      <c r="E619" s="22"/>
      <c r="F619" s="22"/>
      <c r="G619" s="22"/>
    </row>
    <row r="620" spans="4:7" ht="13.2" x14ac:dyDescent="0.25">
      <c r="D620" s="22"/>
      <c r="E620" s="22"/>
      <c r="F620" s="22"/>
      <c r="G620" s="22"/>
    </row>
    <row r="621" spans="4:7" ht="13.2" x14ac:dyDescent="0.25">
      <c r="D621" s="22"/>
      <c r="E621" s="22"/>
      <c r="F621" s="22"/>
      <c r="G621" s="22"/>
    </row>
    <row r="622" spans="4:7" ht="13.2" x14ac:dyDescent="0.25">
      <c r="D622" s="22"/>
      <c r="E622" s="22"/>
      <c r="F622" s="22"/>
      <c r="G622" s="22"/>
    </row>
    <row r="623" spans="4:7" ht="13.2" x14ac:dyDescent="0.25">
      <c r="D623" s="22"/>
      <c r="E623" s="22"/>
      <c r="F623" s="22"/>
      <c r="G623" s="22"/>
    </row>
    <row r="624" spans="4:7" ht="13.2" x14ac:dyDescent="0.25">
      <c r="D624" s="22"/>
      <c r="E624" s="22"/>
      <c r="F624" s="22"/>
      <c r="G624" s="22"/>
    </row>
    <row r="625" spans="4:7" ht="13.2" x14ac:dyDescent="0.25">
      <c r="D625" s="22"/>
      <c r="E625" s="22"/>
      <c r="F625" s="22"/>
      <c r="G625" s="22"/>
    </row>
    <row r="626" spans="4:7" ht="13.2" x14ac:dyDescent="0.25">
      <c r="D626" s="22"/>
      <c r="E626" s="22"/>
      <c r="F626" s="22"/>
      <c r="G626" s="22"/>
    </row>
    <row r="627" spans="4:7" ht="13.2" x14ac:dyDescent="0.25">
      <c r="D627" s="22"/>
      <c r="E627" s="22"/>
      <c r="F627" s="22"/>
      <c r="G627" s="22"/>
    </row>
    <row r="628" spans="4:7" ht="13.2" x14ac:dyDescent="0.25">
      <c r="D628" s="22"/>
      <c r="E628" s="22"/>
      <c r="F628" s="22"/>
      <c r="G628" s="22"/>
    </row>
    <row r="629" spans="4:7" ht="13.2" x14ac:dyDescent="0.25">
      <c r="D629" s="22"/>
      <c r="E629" s="22"/>
      <c r="F629" s="22"/>
      <c r="G629" s="22"/>
    </row>
    <row r="630" spans="4:7" ht="13.2" x14ac:dyDescent="0.25">
      <c r="D630" s="22"/>
      <c r="E630" s="22"/>
      <c r="F630" s="22"/>
      <c r="G630" s="22"/>
    </row>
    <row r="631" spans="4:7" ht="13.2" x14ac:dyDescent="0.25">
      <c r="D631" s="22"/>
      <c r="E631" s="22"/>
      <c r="F631" s="22"/>
      <c r="G631" s="22"/>
    </row>
    <row r="632" spans="4:7" ht="13.2" x14ac:dyDescent="0.25">
      <c r="D632" s="22"/>
      <c r="E632" s="22"/>
      <c r="F632" s="22"/>
      <c r="G632" s="22"/>
    </row>
    <row r="633" spans="4:7" ht="13.2" x14ac:dyDescent="0.25">
      <c r="D633" s="22"/>
      <c r="E633" s="22"/>
      <c r="F633" s="22"/>
      <c r="G633" s="22"/>
    </row>
    <row r="634" spans="4:7" ht="13.2" x14ac:dyDescent="0.25">
      <c r="D634" s="22"/>
      <c r="E634" s="22"/>
      <c r="F634" s="22"/>
      <c r="G634" s="22"/>
    </row>
    <row r="635" spans="4:7" ht="13.2" x14ac:dyDescent="0.25">
      <c r="D635" s="22"/>
      <c r="E635" s="22"/>
      <c r="F635" s="22"/>
      <c r="G635" s="22"/>
    </row>
    <row r="636" spans="4:7" ht="13.2" x14ac:dyDescent="0.25">
      <c r="D636" s="22"/>
      <c r="E636" s="22"/>
      <c r="F636" s="22"/>
      <c r="G636" s="22"/>
    </row>
    <row r="637" spans="4:7" ht="13.2" x14ac:dyDescent="0.25">
      <c r="D637" s="22"/>
      <c r="E637" s="22"/>
      <c r="F637" s="22"/>
      <c r="G637" s="22"/>
    </row>
    <row r="638" spans="4:7" ht="13.2" x14ac:dyDescent="0.25">
      <c r="D638" s="22"/>
      <c r="E638" s="22"/>
      <c r="F638" s="22"/>
      <c r="G638" s="22"/>
    </row>
    <row r="639" spans="4:7" ht="13.2" x14ac:dyDescent="0.25">
      <c r="D639" s="22"/>
      <c r="E639" s="22"/>
      <c r="F639" s="22"/>
      <c r="G639" s="22"/>
    </row>
    <row r="640" spans="4:7" ht="13.2" x14ac:dyDescent="0.25">
      <c r="D640" s="22"/>
      <c r="E640" s="22"/>
      <c r="F640" s="22"/>
      <c r="G640" s="22"/>
    </row>
    <row r="641" spans="4:7" ht="13.2" x14ac:dyDescent="0.25">
      <c r="D641" s="22"/>
      <c r="E641" s="22"/>
      <c r="F641" s="22"/>
      <c r="G641" s="22"/>
    </row>
    <row r="642" spans="4:7" ht="13.2" x14ac:dyDescent="0.25">
      <c r="D642" s="22"/>
      <c r="E642" s="22"/>
      <c r="F642" s="22"/>
      <c r="G642" s="22"/>
    </row>
    <row r="643" spans="4:7" ht="13.2" x14ac:dyDescent="0.25">
      <c r="D643" s="22"/>
      <c r="E643" s="22"/>
      <c r="F643" s="22"/>
      <c r="G643" s="22"/>
    </row>
    <row r="644" spans="4:7" ht="13.2" x14ac:dyDescent="0.25">
      <c r="D644" s="22"/>
      <c r="E644" s="22"/>
      <c r="F644" s="22"/>
      <c r="G644" s="22"/>
    </row>
    <row r="645" spans="4:7" ht="13.2" x14ac:dyDescent="0.25">
      <c r="D645" s="22"/>
      <c r="E645" s="22"/>
      <c r="F645" s="22"/>
      <c r="G645" s="22"/>
    </row>
    <row r="646" spans="4:7" ht="13.2" x14ac:dyDescent="0.25">
      <c r="D646" s="22"/>
      <c r="E646" s="22"/>
      <c r="F646" s="22"/>
      <c r="G646" s="22"/>
    </row>
    <row r="647" spans="4:7" ht="13.2" x14ac:dyDescent="0.25">
      <c r="D647" s="22"/>
      <c r="E647" s="22"/>
      <c r="F647" s="22"/>
      <c r="G647" s="22"/>
    </row>
    <row r="648" spans="4:7" ht="13.2" x14ac:dyDescent="0.25">
      <c r="D648" s="22"/>
      <c r="E648" s="22"/>
      <c r="F648" s="22"/>
      <c r="G648" s="22"/>
    </row>
    <row r="649" spans="4:7" ht="13.2" x14ac:dyDescent="0.25">
      <c r="D649" s="22"/>
      <c r="E649" s="22"/>
      <c r="F649" s="22"/>
      <c r="G649" s="22"/>
    </row>
    <row r="650" spans="4:7" ht="13.2" x14ac:dyDescent="0.25">
      <c r="D650" s="22"/>
      <c r="E650" s="22"/>
      <c r="F650" s="22"/>
      <c r="G650" s="22"/>
    </row>
    <row r="651" spans="4:7" ht="13.2" x14ac:dyDescent="0.25">
      <c r="D651" s="22"/>
      <c r="E651" s="22"/>
      <c r="F651" s="22"/>
      <c r="G651" s="22"/>
    </row>
    <row r="652" spans="4:7" ht="13.2" x14ac:dyDescent="0.25">
      <c r="D652" s="22"/>
      <c r="E652" s="22"/>
      <c r="F652" s="22"/>
      <c r="G652" s="22"/>
    </row>
    <row r="653" spans="4:7" ht="13.2" x14ac:dyDescent="0.25">
      <c r="D653" s="22"/>
      <c r="E653" s="22"/>
      <c r="F653" s="22"/>
      <c r="G653" s="22"/>
    </row>
    <row r="654" spans="4:7" ht="13.2" x14ac:dyDescent="0.25">
      <c r="D654" s="22"/>
      <c r="E654" s="22"/>
      <c r="F654" s="22"/>
      <c r="G654" s="22"/>
    </row>
    <row r="655" spans="4:7" ht="13.2" x14ac:dyDescent="0.25">
      <c r="D655" s="22"/>
      <c r="E655" s="22"/>
      <c r="F655" s="22"/>
      <c r="G655" s="22"/>
    </row>
    <row r="656" spans="4:7" ht="13.2" x14ac:dyDescent="0.25">
      <c r="D656" s="22"/>
      <c r="E656" s="22"/>
      <c r="F656" s="22"/>
      <c r="G656" s="22"/>
    </row>
    <row r="657" spans="4:7" ht="13.2" x14ac:dyDescent="0.25">
      <c r="D657" s="22"/>
      <c r="E657" s="22"/>
      <c r="F657" s="22"/>
      <c r="G657" s="22"/>
    </row>
    <row r="658" spans="4:7" ht="13.2" x14ac:dyDescent="0.25">
      <c r="D658" s="22"/>
      <c r="E658" s="22"/>
      <c r="F658" s="22"/>
      <c r="G658" s="22"/>
    </row>
    <row r="659" spans="4:7" ht="13.2" x14ac:dyDescent="0.25">
      <c r="D659" s="22"/>
      <c r="E659" s="22"/>
      <c r="F659" s="22"/>
      <c r="G659" s="22"/>
    </row>
    <row r="660" spans="4:7" ht="13.2" x14ac:dyDescent="0.25">
      <c r="D660" s="22"/>
      <c r="E660" s="22"/>
      <c r="F660" s="22"/>
      <c r="G660" s="22"/>
    </row>
    <row r="661" spans="4:7" ht="13.2" x14ac:dyDescent="0.25">
      <c r="D661" s="22"/>
      <c r="E661" s="22"/>
      <c r="F661" s="22"/>
      <c r="G661" s="22"/>
    </row>
    <row r="662" spans="4:7" ht="13.2" x14ac:dyDescent="0.25">
      <c r="D662" s="22"/>
      <c r="E662" s="22"/>
      <c r="F662" s="22"/>
      <c r="G662" s="22"/>
    </row>
    <row r="663" spans="4:7" ht="13.2" x14ac:dyDescent="0.25">
      <c r="D663" s="22"/>
      <c r="E663" s="22"/>
      <c r="F663" s="22"/>
      <c r="G663" s="22"/>
    </row>
    <row r="664" spans="4:7" ht="13.2" x14ac:dyDescent="0.25">
      <c r="D664" s="22"/>
      <c r="E664" s="22"/>
      <c r="F664" s="22"/>
      <c r="G664" s="22"/>
    </row>
    <row r="665" spans="4:7" ht="13.2" x14ac:dyDescent="0.25">
      <c r="D665" s="22"/>
      <c r="E665" s="22"/>
      <c r="F665" s="22"/>
      <c r="G665" s="22"/>
    </row>
    <row r="666" spans="4:7" ht="13.2" x14ac:dyDescent="0.25">
      <c r="D666" s="22"/>
      <c r="E666" s="22"/>
      <c r="F666" s="22"/>
      <c r="G666" s="22"/>
    </row>
    <row r="667" spans="4:7" ht="13.2" x14ac:dyDescent="0.25">
      <c r="D667" s="22"/>
      <c r="E667" s="22"/>
      <c r="F667" s="22"/>
      <c r="G667" s="22"/>
    </row>
    <row r="668" spans="4:7" ht="13.2" x14ac:dyDescent="0.25">
      <c r="D668" s="22"/>
      <c r="E668" s="22"/>
      <c r="F668" s="22"/>
      <c r="G668" s="22"/>
    </row>
    <row r="669" spans="4:7" ht="13.2" x14ac:dyDescent="0.25">
      <c r="D669" s="22"/>
      <c r="E669" s="22"/>
      <c r="F669" s="22"/>
      <c r="G669" s="22"/>
    </row>
    <row r="670" spans="4:7" ht="13.2" x14ac:dyDescent="0.25">
      <c r="D670" s="22"/>
      <c r="E670" s="22"/>
      <c r="F670" s="22"/>
      <c r="G670" s="22"/>
    </row>
    <row r="671" spans="4:7" ht="13.2" x14ac:dyDescent="0.25">
      <c r="D671" s="22"/>
      <c r="E671" s="22"/>
      <c r="F671" s="22"/>
      <c r="G671" s="22"/>
    </row>
    <row r="672" spans="4:7" ht="13.2" x14ac:dyDescent="0.25">
      <c r="D672" s="22"/>
      <c r="E672" s="22"/>
      <c r="F672" s="22"/>
      <c r="G672" s="22"/>
    </row>
    <row r="673" spans="4:7" ht="13.2" x14ac:dyDescent="0.25">
      <c r="D673" s="22"/>
      <c r="E673" s="22"/>
      <c r="F673" s="22"/>
      <c r="G673" s="22"/>
    </row>
    <row r="674" spans="4:7" ht="13.2" x14ac:dyDescent="0.25">
      <c r="D674" s="22"/>
      <c r="E674" s="22"/>
      <c r="F674" s="22"/>
      <c r="G674" s="22"/>
    </row>
    <row r="675" spans="4:7" ht="13.2" x14ac:dyDescent="0.25">
      <c r="D675" s="22"/>
      <c r="E675" s="22"/>
      <c r="F675" s="22"/>
      <c r="G675" s="22"/>
    </row>
    <row r="676" spans="4:7" ht="13.2" x14ac:dyDescent="0.25">
      <c r="D676" s="22"/>
      <c r="E676" s="22"/>
      <c r="F676" s="22"/>
      <c r="G676" s="22"/>
    </row>
    <row r="677" spans="4:7" ht="13.2" x14ac:dyDescent="0.25">
      <c r="D677" s="22"/>
      <c r="E677" s="22"/>
      <c r="F677" s="22"/>
      <c r="G677" s="22"/>
    </row>
    <row r="678" spans="4:7" ht="13.2" x14ac:dyDescent="0.25">
      <c r="D678" s="22"/>
      <c r="E678" s="22"/>
      <c r="F678" s="22"/>
      <c r="G678" s="22"/>
    </row>
    <row r="679" spans="4:7" ht="13.2" x14ac:dyDescent="0.25">
      <c r="D679" s="22"/>
      <c r="E679" s="22"/>
      <c r="F679" s="22"/>
      <c r="G679" s="22"/>
    </row>
    <row r="680" spans="4:7" ht="13.2" x14ac:dyDescent="0.25">
      <c r="D680" s="22"/>
      <c r="E680" s="22"/>
      <c r="F680" s="22"/>
      <c r="G680" s="22"/>
    </row>
    <row r="681" spans="4:7" ht="13.2" x14ac:dyDescent="0.25">
      <c r="D681" s="22"/>
      <c r="E681" s="22"/>
      <c r="F681" s="22"/>
      <c r="G681" s="22"/>
    </row>
    <row r="682" spans="4:7" ht="13.2" x14ac:dyDescent="0.25">
      <c r="D682" s="22"/>
      <c r="E682" s="22"/>
      <c r="F682" s="22"/>
      <c r="G682" s="22"/>
    </row>
    <row r="683" spans="4:7" ht="13.2" x14ac:dyDescent="0.25">
      <c r="D683" s="22"/>
      <c r="E683" s="22"/>
      <c r="F683" s="22"/>
      <c r="G683" s="22"/>
    </row>
    <row r="684" spans="4:7" ht="13.2" x14ac:dyDescent="0.25">
      <c r="D684" s="22"/>
      <c r="E684" s="22"/>
      <c r="F684" s="22"/>
      <c r="G684" s="22"/>
    </row>
    <row r="685" spans="4:7" ht="13.2" x14ac:dyDescent="0.25">
      <c r="D685" s="22"/>
      <c r="E685" s="22"/>
      <c r="F685" s="22"/>
      <c r="G685" s="22"/>
    </row>
    <row r="686" spans="4:7" ht="13.2" x14ac:dyDescent="0.25">
      <c r="D686" s="22"/>
      <c r="E686" s="22"/>
      <c r="F686" s="22"/>
      <c r="G686" s="22"/>
    </row>
    <row r="687" spans="4:7" ht="13.2" x14ac:dyDescent="0.25">
      <c r="D687" s="22"/>
      <c r="E687" s="22"/>
      <c r="F687" s="22"/>
      <c r="G687" s="22"/>
    </row>
    <row r="688" spans="4:7" ht="13.2" x14ac:dyDescent="0.25">
      <c r="D688" s="22"/>
      <c r="E688" s="22"/>
      <c r="F688" s="22"/>
      <c r="G688" s="22"/>
    </row>
    <row r="689" spans="4:7" ht="13.2" x14ac:dyDescent="0.25">
      <c r="D689" s="22"/>
      <c r="E689" s="22"/>
      <c r="F689" s="22"/>
      <c r="G689" s="22"/>
    </row>
    <row r="690" spans="4:7" ht="13.2" x14ac:dyDescent="0.25">
      <c r="D690" s="22"/>
      <c r="E690" s="22"/>
      <c r="F690" s="22"/>
      <c r="G690" s="22"/>
    </row>
    <row r="691" spans="4:7" ht="13.2" x14ac:dyDescent="0.25">
      <c r="D691" s="22"/>
      <c r="E691" s="22"/>
      <c r="F691" s="22"/>
      <c r="G691" s="22"/>
    </row>
    <row r="692" spans="4:7" ht="13.2" x14ac:dyDescent="0.25">
      <c r="D692" s="22"/>
      <c r="E692" s="22"/>
      <c r="F692" s="22"/>
      <c r="G692" s="22"/>
    </row>
    <row r="693" spans="4:7" ht="13.2" x14ac:dyDescent="0.25">
      <c r="D693" s="22"/>
      <c r="E693" s="22"/>
      <c r="F693" s="22"/>
      <c r="G693" s="22"/>
    </row>
    <row r="694" spans="4:7" ht="13.2" x14ac:dyDescent="0.25">
      <c r="D694" s="22"/>
      <c r="E694" s="22"/>
      <c r="F694" s="22"/>
      <c r="G694" s="22"/>
    </row>
    <row r="695" spans="4:7" ht="13.2" x14ac:dyDescent="0.25">
      <c r="D695" s="22"/>
      <c r="E695" s="22"/>
      <c r="F695" s="22"/>
      <c r="G695" s="22"/>
    </row>
    <row r="696" spans="4:7" ht="13.2" x14ac:dyDescent="0.25">
      <c r="D696" s="22"/>
      <c r="E696" s="22"/>
      <c r="F696" s="22"/>
      <c r="G696" s="22"/>
    </row>
    <row r="697" spans="4:7" ht="13.2" x14ac:dyDescent="0.25">
      <c r="D697" s="22"/>
      <c r="E697" s="22"/>
      <c r="F697" s="22"/>
      <c r="G697" s="22"/>
    </row>
    <row r="698" spans="4:7" ht="13.2" x14ac:dyDescent="0.25">
      <c r="D698" s="22"/>
      <c r="E698" s="22"/>
      <c r="F698" s="22"/>
      <c r="G698" s="22"/>
    </row>
    <row r="699" spans="4:7" ht="13.2" x14ac:dyDescent="0.25">
      <c r="D699" s="22"/>
      <c r="E699" s="22"/>
      <c r="F699" s="22"/>
      <c r="G699" s="22"/>
    </row>
    <row r="700" spans="4:7" ht="13.2" x14ac:dyDescent="0.25">
      <c r="D700" s="22"/>
      <c r="E700" s="22"/>
      <c r="F700" s="22"/>
      <c r="G700" s="22"/>
    </row>
    <row r="701" spans="4:7" ht="13.2" x14ac:dyDescent="0.25">
      <c r="D701" s="22"/>
      <c r="E701" s="22"/>
      <c r="F701" s="22"/>
      <c r="G701" s="22"/>
    </row>
    <row r="702" spans="4:7" ht="13.2" x14ac:dyDescent="0.25">
      <c r="D702" s="22"/>
      <c r="E702" s="22"/>
      <c r="F702" s="22"/>
      <c r="G702" s="22"/>
    </row>
    <row r="703" spans="4:7" ht="13.2" x14ac:dyDescent="0.25">
      <c r="D703" s="22"/>
      <c r="E703" s="22"/>
      <c r="F703" s="22"/>
      <c r="G703" s="22"/>
    </row>
    <row r="704" spans="4:7" ht="13.2" x14ac:dyDescent="0.25">
      <c r="D704" s="22"/>
      <c r="E704" s="22"/>
      <c r="F704" s="22"/>
      <c r="G704" s="22"/>
    </row>
    <row r="705" spans="4:7" ht="13.2" x14ac:dyDescent="0.25">
      <c r="D705" s="22"/>
      <c r="E705" s="22"/>
      <c r="F705" s="22"/>
      <c r="G705" s="22"/>
    </row>
    <row r="706" spans="4:7" ht="13.2" x14ac:dyDescent="0.25">
      <c r="D706" s="22"/>
      <c r="E706" s="22"/>
      <c r="F706" s="22"/>
      <c r="G706" s="22"/>
    </row>
    <row r="707" spans="4:7" ht="13.2" x14ac:dyDescent="0.25">
      <c r="D707" s="22"/>
      <c r="E707" s="22"/>
      <c r="F707" s="22"/>
      <c r="G707" s="22"/>
    </row>
    <row r="708" spans="4:7" ht="13.2" x14ac:dyDescent="0.25">
      <c r="D708" s="22"/>
      <c r="E708" s="22"/>
      <c r="F708" s="22"/>
      <c r="G708" s="22"/>
    </row>
    <row r="709" spans="4:7" ht="13.2" x14ac:dyDescent="0.25">
      <c r="D709" s="22"/>
      <c r="E709" s="22"/>
      <c r="F709" s="22"/>
      <c r="G709" s="22"/>
    </row>
    <row r="710" spans="4:7" ht="13.2" x14ac:dyDescent="0.25">
      <c r="D710" s="22"/>
      <c r="E710" s="22"/>
      <c r="F710" s="22"/>
      <c r="G710" s="22"/>
    </row>
    <row r="711" spans="4:7" ht="13.2" x14ac:dyDescent="0.25">
      <c r="D711" s="22"/>
      <c r="E711" s="22"/>
      <c r="F711" s="22"/>
      <c r="G711" s="22"/>
    </row>
    <row r="712" spans="4:7" ht="13.2" x14ac:dyDescent="0.25">
      <c r="D712" s="22"/>
      <c r="E712" s="22"/>
      <c r="F712" s="22"/>
      <c r="G712" s="22"/>
    </row>
    <row r="713" spans="4:7" ht="13.2" x14ac:dyDescent="0.25">
      <c r="D713" s="22"/>
      <c r="E713" s="22"/>
      <c r="F713" s="22"/>
      <c r="G713" s="22"/>
    </row>
    <row r="714" spans="4:7" ht="13.2" x14ac:dyDescent="0.25">
      <c r="D714" s="22"/>
      <c r="E714" s="22"/>
      <c r="F714" s="22"/>
      <c r="G714" s="22"/>
    </row>
    <row r="715" spans="4:7" ht="13.2" x14ac:dyDescent="0.25">
      <c r="D715" s="22"/>
      <c r="E715" s="22"/>
      <c r="F715" s="22"/>
      <c r="G715" s="22"/>
    </row>
    <row r="716" spans="4:7" ht="13.2" x14ac:dyDescent="0.25">
      <c r="D716" s="22"/>
      <c r="E716" s="22"/>
      <c r="F716" s="22"/>
      <c r="G716" s="22"/>
    </row>
    <row r="717" spans="4:7" ht="13.2" x14ac:dyDescent="0.25">
      <c r="D717" s="22"/>
      <c r="E717" s="22"/>
      <c r="F717" s="22"/>
      <c r="G717" s="22"/>
    </row>
    <row r="718" spans="4:7" ht="13.2" x14ac:dyDescent="0.25">
      <c r="D718" s="22"/>
      <c r="E718" s="22"/>
      <c r="F718" s="22"/>
      <c r="G718" s="22"/>
    </row>
    <row r="719" spans="4:7" ht="13.2" x14ac:dyDescent="0.25">
      <c r="D719" s="22"/>
      <c r="E719" s="22"/>
      <c r="F719" s="22"/>
      <c r="G719" s="22"/>
    </row>
    <row r="720" spans="4:7" ht="13.2" x14ac:dyDescent="0.25">
      <c r="D720" s="22"/>
      <c r="E720" s="22"/>
      <c r="F720" s="22"/>
      <c r="G720" s="22"/>
    </row>
    <row r="721" spans="4:7" ht="13.2" x14ac:dyDescent="0.25">
      <c r="D721" s="22"/>
      <c r="E721" s="22"/>
      <c r="F721" s="22"/>
      <c r="G721" s="22"/>
    </row>
    <row r="722" spans="4:7" ht="13.2" x14ac:dyDescent="0.25">
      <c r="D722" s="22"/>
      <c r="E722" s="22"/>
      <c r="F722" s="22"/>
      <c r="G722" s="22"/>
    </row>
    <row r="723" spans="4:7" ht="13.2" x14ac:dyDescent="0.25">
      <c r="D723" s="22"/>
      <c r="E723" s="22"/>
      <c r="F723" s="22"/>
      <c r="G723" s="22"/>
    </row>
    <row r="724" spans="4:7" ht="13.2" x14ac:dyDescent="0.25">
      <c r="D724" s="22"/>
      <c r="E724" s="22"/>
      <c r="F724" s="22"/>
      <c r="G724" s="22"/>
    </row>
    <row r="725" spans="4:7" ht="13.2" x14ac:dyDescent="0.25">
      <c r="D725" s="22"/>
      <c r="E725" s="22"/>
      <c r="F725" s="22"/>
      <c r="G725" s="22"/>
    </row>
    <row r="726" spans="4:7" ht="13.2" x14ac:dyDescent="0.25">
      <c r="D726" s="22"/>
      <c r="E726" s="22"/>
      <c r="F726" s="22"/>
      <c r="G726" s="22"/>
    </row>
    <row r="727" spans="4:7" ht="13.2" x14ac:dyDescent="0.25">
      <c r="D727" s="22"/>
      <c r="E727" s="22"/>
      <c r="F727" s="22"/>
      <c r="G727" s="22"/>
    </row>
    <row r="728" spans="4:7" ht="13.2" x14ac:dyDescent="0.25">
      <c r="D728" s="22"/>
      <c r="E728" s="22"/>
      <c r="F728" s="22"/>
      <c r="G728" s="22"/>
    </row>
    <row r="729" spans="4:7" ht="13.2" x14ac:dyDescent="0.25">
      <c r="D729" s="22"/>
      <c r="E729" s="22"/>
      <c r="F729" s="22"/>
      <c r="G729" s="22"/>
    </row>
    <row r="730" spans="4:7" ht="13.2" x14ac:dyDescent="0.25">
      <c r="D730" s="22"/>
      <c r="E730" s="22"/>
      <c r="F730" s="22"/>
      <c r="G730" s="22"/>
    </row>
    <row r="731" spans="4:7" ht="13.2" x14ac:dyDescent="0.25">
      <c r="D731" s="22"/>
      <c r="E731" s="22"/>
      <c r="F731" s="22"/>
      <c r="G731" s="22"/>
    </row>
    <row r="732" spans="4:7" ht="13.2" x14ac:dyDescent="0.25">
      <c r="D732" s="22"/>
      <c r="E732" s="22"/>
      <c r="F732" s="22"/>
      <c r="G732" s="22"/>
    </row>
    <row r="733" spans="4:7" ht="13.2" x14ac:dyDescent="0.25">
      <c r="D733" s="22"/>
      <c r="E733" s="22"/>
      <c r="F733" s="22"/>
      <c r="G733" s="22"/>
    </row>
    <row r="734" spans="4:7" ht="13.2" x14ac:dyDescent="0.25">
      <c r="D734" s="22"/>
      <c r="E734" s="22"/>
      <c r="F734" s="22"/>
      <c r="G734" s="22"/>
    </row>
    <row r="735" spans="4:7" ht="13.2" x14ac:dyDescent="0.25">
      <c r="D735" s="22"/>
      <c r="E735" s="22"/>
      <c r="F735" s="22"/>
      <c r="G735" s="22"/>
    </row>
    <row r="736" spans="4:7" ht="13.2" x14ac:dyDescent="0.25">
      <c r="D736" s="22"/>
      <c r="E736" s="22"/>
      <c r="F736" s="22"/>
      <c r="G736" s="22"/>
    </row>
    <row r="737" spans="4:7" ht="13.2" x14ac:dyDescent="0.25">
      <c r="D737" s="22"/>
      <c r="E737" s="22"/>
      <c r="F737" s="22"/>
      <c r="G737" s="22"/>
    </row>
    <row r="738" spans="4:7" ht="13.2" x14ac:dyDescent="0.25">
      <c r="D738" s="22"/>
      <c r="E738" s="22"/>
      <c r="F738" s="22"/>
      <c r="G738" s="22"/>
    </row>
    <row r="739" spans="4:7" ht="13.2" x14ac:dyDescent="0.25">
      <c r="D739" s="22"/>
      <c r="E739" s="22"/>
      <c r="F739" s="22"/>
      <c r="G739" s="22"/>
    </row>
    <row r="740" spans="4:7" ht="13.2" x14ac:dyDescent="0.25">
      <c r="D740" s="22"/>
      <c r="E740" s="22"/>
      <c r="F740" s="22"/>
      <c r="G740" s="22"/>
    </row>
    <row r="741" spans="4:7" ht="13.2" x14ac:dyDescent="0.25">
      <c r="D741" s="22"/>
      <c r="E741" s="22"/>
      <c r="F741" s="22"/>
      <c r="G741" s="22"/>
    </row>
    <row r="742" spans="4:7" ht="13.2" x14ac:dyDescent="0.25">
      <c r="D742" s="22"/>
      <c r="E742" s="22"/>
      <c r="F742" s="22"/>
      <c r="G742" s="22"/>
    </row>
    <row r="743" spans="4:7" ht="13.2" x14ac:dyDescent="0.25">
      <c r="D743" s="22"/>
      <c r="E743" s="22"/>
      <c r="F743" s="22"/>
      <c r="G743" s="22"/>
    </row>
    <row r="744" spans="4:7" ht="13.2" x14ac:dyDescent="0.25">
      <c r="D744" s="22"/>
      <c r="E744" s="22"/>
      <c r="F744" s="22"/>
      <c r="G744" s="22"/>
    </row>
    <row r="745" spans="4:7" ht="13.2" x14ac:dyDescent="0.25">
      <c r="D745" s="22"/>
      <c r="E745" s="22"/>
      <c r="F745" s="22"/>
      <c r="G745" s="22"/>
    </row>
    <row r="746" spans="4:7" ht="13.2" x14ac:dyDescent="0.25">
      <c r="D746" s="22"/>
      <c r="E746" s="22"/>
      <c r="F746" s="22"/>
      <c r="G746" s="22"/>
    </row>
    <row r="747" spans="4:7" ht="13.2" x14ac:dyDescent="0.25">
      <c r="D747" s="22"/>
      <c r="E747" s="22"/>
      <c r="F747" s="22"/>
      <c r="G747" s="22"/>
    </row>
    <row r="748" spans="4:7" ht="13.2" x14ac:dyDescent="0.25">
      <c r="D748" s="22"/>
      <c r="E748" s="22"/>
      <c r="F748" s="22"/>
      <c r="G748" s="22"/>
    </row>
    <row r="749" spans="4:7" ht="13.2" x14ac:dyDescent="0.25">
      <c r="D749" s="22"/>
      <c r="E749" s="22"/>
      <c r="F749" s="22"/>
      <c r="G749" s="22"/>
    </row>
    <row r="750" spans="4:7" ht="13.2" x14ac:dyDescent="0.25">
      <c r="D750" s="22"/>
      <c r="E750" s="22"/>
      <c r="F750" s="22"/>
      <c r="G750" s="22"/>
    </row>
    <row r="751" spans="4:7" ht="13.2" x14ac:dyDescent="0.25">
      <c r="D751" s="22"/>
      <c r="E751" s="22"/>
      <c r="F751" s="22"/>
      <c r="G751" s="22"/>
    </row>
    <row r="752" spans="4:7" ht="13.2" x14ac:dyDescent="0.25">
      <c r="D752" s="22"/>
      <c r="E752" s="22"/>
      <c r="F752" s="22"/>
      <c r="G752" s="22"/>
    </row>
    <row r="753" spans="4:7" ht="13.2" x14ac:dyDescent="0.25">
      <c r="D753" s="22"/>
      <c r="E753" s="22"/>
      <c r="F753" s="22"/>
      <c r="G753" s="22"/>
    </row>
    <row r="754" spans="4:7" ht="13.2" x14ac:dyDescent="0.25">
      <c r="D754" s="22"/>
      <c r="E754" s="22"/>
      <c r="F754" s="22"/>
      <c r="G754" s="22"/>
    </row>
    <row r="755" spans="4:7" ht="13.2" x14ac:dyDescent="0.25">
      <c r="D755" s="22"/>
      <c r="E755" s="22"/>
      <c r="F755" s="22"/>
      <c r="G755" s="22"/>
    </row>
    <row r="756" spans="4:7" ht="13.2" x14ac:dyDescent="0.25">
      <c r="D756" s="22"/>
      <c r="E756" s="22"/>
      <c r="F756" s="22"/>
      <c r="G756" s="22"/>
    </row>
    <row r="757" spans="4:7" ht="13.2" x14ac:dyDescent="0.25">
      <c r="D757" s="22"/>
      <c r="E757" s="22"/>
      <c r="F757" s="22"/>
      <c r="G757" s="22"/>
    </row>
    <row r="758" spans="4:7" ht="13.2" x14ac:dyDescent="0.25">
      <c r="D758" s="22"/>
      <c r="E758" s="22"/>
      <c r="F758" s="22"/>
      <c r="G758" s="22"/>
    </row>
    <row r="759" spans="4:7" ht="13.2" x14ac:dyDescent="0.25">
      <c r="D759" s="22"/>
      <c r="E759" s="22"/>
      <c r="F759" s="22"/>
      <c r="G759" s="22"/>
    </row>
    <row r="760" spans="4:7" ht="13.2" x14ac:dyDescent="0.25">
      <c r="D760" s="22"/>
      <c r="E760" s="22"/>
      <c r="F760" s="22"/>
      <c r="G760" s="22"/>
    </row>
    <row r="761" spans="4:7" ht="13.2" x14ac:dyDescent="0.25">
      <c r="D761" s="22"/>
      <c r="E761" s="22"/>
      <c r="F761" s="22"/>
      <c r="G761" s="22"/>
    </row>
    <row r="762" spans="4:7" ht="13.2" x14ac:dyDescent="0.25">
      <c r="D762" s="22"/>
      <c r="E762" s="22"/>
      <c r="F762" s="22"/>
      <c r="G762" s="22"/>
    </row>
    <row r="763" spans="4:7" ht="13.2" x14ac:dyDescent="0.25">
      <c r="D763" s="22"/>
      <c r="E763" s="22"/>
      <c r="F763" s="22"/>
      <c r="G763" s="22"/>
    </row>
    <row r="764" spans="4:7" ht="13.2" x14ac:dyDescent="0.25">
      <c r="D764" s="22"/>
      <c r="E764" s="22"/>
      <c r="F764" s="22"/>
      <c r="G764" s="22"/>
    </row>
    <row r="765" spans="4:7" ht="13.2" x14ac:dyDescent="0.25">
      <c r="D765" s="22"/>
      <c r="E765" s="22"/>
      <c r="F765" s="22"/>
      <c r="G765" s="22"/>
    </row>
    <row r="766" spans="4:7" ht="13.2" x14ac:dyDescent="0.25">
      <c r="D766" s="22"/>
      <c r="E766" s="22"/>
      <c r="F766" s="22"/>
      <c r="G766" s="22"/>
    </row>
    <row r="767" spans="4:7" ht="13.2" x14ac:dyDescent="0.25">
      <c r="D767" s="22"/>
      <c r="E767" s="22"/>
      <c r="F767" s="22"/>
      <c r="G767" s="22"/>
    </row>
    <row r="768" spans="4:7" ht="13.2" x14ac:dyDescent="0.25">
      <c r="D768" s="22"/>
      <c r="E768" s="22"/>
      <c r="F768" s="22"/>
      <c r="G768" s="22"/>
    </row>
    <row r="769" spans="4:7" ht="13.2" x14ac:dyDescent="0.25">
      <c r="D769" s="22"/>
      <c r="E769" s="22"/>
      <c r="F769" s="22"/>
      <c r="G769" s="22"/>
    </row>
    <row r="770" spans="4:7" ht="13.2" x14ac:dyDescent="0.25">
      <c r="D770" s="22"/>
      <c r="E770" s="22"/>
      <c r="F770" s="22"/>
      <c r="G770" s="22"/>
    </row>
    <row r="771" spans="4:7" ht="13.2" x14ac:dyDescent="0.25">
      <c r="D771" s="22"/>
      <c r="E771" s="22"/>
      <c r="F771" s="22"/>
      <c r="G771" s="22"/>
    </row>
    <row r="772" spans="4:7" ht="13.2" x14ac:dyDescent="0.25">
      <c r="D772" s="22"/>
      <c r="E772" s="22"/>
      <c r="F772" s="22"/>
      <c r="G772" s="22"/>
    </row>
    <row r="773" spans="4:7" ht="13.2" x14ac:dyDescent="0.25">
      <c r="D773" s="22"/>
      <c r="E773" s="22"/>
      <c r="F773" s="22"/>
      <c r="G773" s="22"/>
    </row>
    <row r="774" spans="4:7" ht="13.2" x14ac:dyDescent="0.25">
      <c r="D774" s="22"/>
      <c r="E774" s="22"/>
      <c r="F774" s="22"/>
      <c r="G774" s="22"/>
    </row>
    <row r="775" spans="4:7" ht="13.2" x14ac:dyDescent="0.25">
      <c r="D775" s="22"/>
      <c r="E775" s="22"/>
      <c r="F775" s="22"/>
      <c r="G775" s="22"/>
    </row>
    <row r="776" spans="4:7" ht="13.2" x14ac:dyDescent="0.25">
      <c r="D776" s="22"/>
      <c r="E776" s="22"/>
      <c r="F776" s="22"/>
      <c r="G776" s="22"/>
    </row>
    <row r="777" spans="4:7" ht="13.2" x14ac:dyDescent="0.25">
      <c r="D777" s="22"/>
      <c r="E777" s="22"/>
      <c r="F777" s="22"/>
      <c r="G777" s="22"/>
    </row>
    <row r="778" spans="4:7" ht="13.2" x14ac:dyDescent="0.25">
      <c r="D778" s="22"/>
      <c r="E778" s="22"/>
      <c r="F778" s="22"/>
      <c r="G778" s="22"/>
    </row>
    <row r="779" spans="4:7" ht="13.2" x14ac:dyDescent="0.25">
      <c r="D779" s="22"/>
      <c r="E779" s="22"/>
      <c r="F779" s="22"/>
      <c r="G779" s="22"/>
    </row>
    <row r="780" spans="4:7" ht="13.2" x14ac:dyDescent="0.25">
      <c r="D780" s="22"/>
      <c r="E780" s="22"/>
      <c r="F780" s="22"/>
      <c r="G780" s="22"/>
    </row>
    <row r="781" spans="4:7" ht="13.2" x14ac:dyDescent="0.25">
      <c r="D781" s="22"/>
      <c r="E781" s="22"/>
      <c r="F781" s="22"/>
      <c r="G781" s="22"/>
    </row>
    <row r="782" spans="4:7" ht="13.2" x14ac:dyDescent="0.25">
      <c r="D782" s="22"/>
      <c r="E782" s="22"/>
      <c r="F782" s="22"/>
      <c r="G782" s="22"/>
    </row>
    <row r="783" spans="4:7" ht="13.2" x14ac:dyDescent="0.25">
      <c r="D783" s="22"/>
      <c r="E783" s="22"/>
      <c r="F783" s="22"/>
      <c r="G783" s="22"/>
    </row>
    <row r="784" spans="4:7" ht="13.2" x14ac:dyDescent="0.25">
      <c r="D784" s="22"/>
      <c r="E784" s="22"/>
      <c r="F784" s="22"/>
      <c r="G784" s="22"/>
    </row>
    <row r="785" spans="4:7" ht="13.2" x14ac:dyDescent="0.25">
      <c r="D785" s="22"/>
      <c r="E785" s="22"/>
      <c r="F785" s="22"/>
      <c r="G785" s="22"/>
    </row>
    <row r="786" spans="4:7" ht="13.2" x14ac:dyDescent="0.25">
      <c r="D786" s="22"/>
      <c r="E786" s="22"/>
      <c r="F786" s="22"/>
      <c r="G786" s="22"/>
    </row>
    <row r="787" spans="4:7" ht="13.2" x14ac:dyDescent="0.25">
      <c r="D787" s="22"/>
      <c r="E787" s="22"/>
      <c r="F787" s="22"/>
      <c r="G787" s="22"/>
    </row>
    <row r="788" spans="4:7" ht="13.2" x14ac:dyDescent="0.25">
      <c r="D788" s="22"/>
      <c r="E788" s="22"/>
      <c r="F788" s="22"/>
      <c r="G788" s="22"/>
    </row>
    <row r="789" spans="4:7" ht="13.2" x14ac:dyDescent="0.25">
      <c r="D789" s="22"/>
      <c r="E789" s="22"/>
      <c r="F789" s="22"/>
      <c r="G789" s="22"/>
    </row>
    <row r="790" spans="4:7" ht="13.2" x14ac:dyDescent="0.25">
      <c r="D790" s="22"/>
      <c r="E790" s="22"/>
      <c r="F790" s="22"/>
      <c r="G790" s="22"/>
    </row>
    <row r="791" spans="4:7" ht="13.2" x14ac:dyDescent="0.25">
      <c r="D791" s="22"/>
      <c r="E791" s="22"/>
      <c r="F791" s="22"/>
      <c r="G791" s="22"/>
    </row>
    <row r="792" spans="4:7" ht="13.2" x14ac:dyDescent="0.25">
      <c r="D792" s="22"/>
      <c r="E792" s="22"/>
      <c r="F792" s="22"/>
      <c r="G792" s="22"/>
    </row>
    <row r="793" spans="4:7" ht="13.2" x14ac:dyDescent="0.25">
      <c r="D793" s="22"/>
      <c r="E793" s="22"/>
      <c r="F793" s="22"/>
      <c r="G793" s="22"/>
    </row>
    <row r="794" spans="4:7" ht="13.2" x14ac:dyDescent="0.25">
      <c r="D794" s="22"/>
      <c r="E794" s="22"/>
      <c r="F794" s="22"/>
      <c r="G794" s="22"/>
    </row>
    <row r="795" spans="4:7" ht="13.2" x14ac:dyDescent="0.25">
      <c r="D795" s="22"/>
      <c r="E795" s="22"/>
      <c r="F795" s="22"/>
      <c r="G795" s="22"/>
    </row>
    <row r="796" spans="4:7" ht="13.2" x14ac:dyDescent="0.25">
      <c r="D796" s="22"/>
      <c r="E796" s="22"/>
      <c r="F796" s="22"/>
      <c r="G796" s="22"/>
    </row>
    <row r="797" spans="4:7" ht="13.2" x14ac:dyDescent="0.25">
      <c r="D797" s="22"/>
      <c r="E797" s="22"/>
      <c r="F797" s="22"/>
      <c r="G797" s="22"/>
    </row>
    <row r="798" spans="4:7" ht="13.2" x14ac:dyDescent="0.25">
      <c r="D798" s="22"/>
      <c r="E798" s="22"/>
      <c r="F798" s="22"/>
      <c r="G798" s="22"/>
    </row>
    <row r="799" spans="4:7" ht="13.2" x14ac:dyDescent="0.25">
      <c r="D799" s="22"/>
      <c r="E799" s="22"/>
      <c r="F799" s="22"/>
      <c r="G799" s="22"/>
    </row>
    <row r="800" spans="4:7" ht="13.2" x14ac:dyDescent="0.25">
      <c r="D800" s="22"/>
      <c r="E800" s="22"/>
      <c r="F800" s="22"/>
      <c r="G800" s="22"/>
    </row>
    <row r="801" spans="4:7" ht="13.2" x14ac:dyDescent="0.25">
      <c r="D801" s="22"/>
      <c r="E801" s="22"/>
      <c r="F801" s="22"/>
      <c r="G801" s="22"/>
    </row>
    <row r="802" spans="4:7" ht="13.2" x14ac:dyDescent="0.25">
      <c r="D802" s="22"/>
      <c r="E802" s="22"/>
      <c r="F802" s="22"/>
      <c r="G802" s="22"/>
    </row>
    <row r="803" spans="4:7" ht="13.2" x14ac:dyDescent="0.25">
      <c r="D803" s="22"/>
      <c r="E803" s="22"/>
      <c r="F803" s="22"/>
      <c r="G803" s="22"/>
    </row>
    <row r="804" spans="4:7" ht="13.2" x14ac:dyDescent="0.25">
      <c r="D804" s="22"/>
      <c r="E804" s="22"/>
      <c r="F804" s="22"/>
      <c r="G804" s="22"/>
    </row>
    <row r="805" spans="4:7" ht="13.2" x14ac:dyDescent="0.25">
      <c r="D805" s="22"/>
      <c r="E805" s="22"/>
      <c r="F805" s="22"/>
      <c r="G805" s="22"/>
    </row>
    <row r="806" spans="4:7" ht="13.2" x14ac:dyDescent="0.25">
      <c r="D806" s="22"/>
      <c r="E806" s="22"/>
      <c r="F806" s="22"/>
      <c r="G806" s="22"/>
    </row>
    <row r="807" spans="4:7" ht="13.2" x14ac:dyDescent="0.25">
      <c r="D807" s="22"/>
      <c r="E807" s="22"/>
      <c r="F807" s="22"/>
      <c r="G807" s="22"/>
    </row>
    <row r="808" spans="4:7" ht="13.2" x14ac:dyDescent="0.25">
      <c r="D808" s="22"/>
      <c r="E808" s="22"/>
      <c r="F808" s="22"/>
      <c r="G808" s="22"/>
    </row>
    <row r="809" spans="4:7" ht="13.2" x14ac:dyDescent="0.25">
      <c r="D809" s="22"/>
      <c r="E809" s="22"/>
      <c r="F809" s="22"/>
      <c r="G809" s="22"/>
    </row>
    <row r="810" spans="4:7" ht="13.2" x14ac:dyDescent="0.25">
      <c r="D810" s="22"/>
      <c r="E810" s="22"/>
      <c r="F810" s="22"/>
      <c r="G810" s="22"/>
    </row>
    <row r="811" spans="4:7" ht="13.2" x14ac:dyDescent="0.25">
      <c r="D811" s="22"/>
      <c r="E811" s="22"/>
      <c r="F811" s="22"/>
      <c r="G811" s="22"/>
    </row>
    <row r="812" spans="4:7" ht="13.2" x14ac:dyDescent="0.25">
      <c r="D812" s="22"/>
      <c r="E812" s="22"/>
      <c r="F812" s="22"/>
      <c r="G812" s="22"/>
    </row>
    <row r="813" spans="4:7" ht="13.2" x14ac:dyDescent="0.25">
      <c r="D813" s="22"/>
      <c r="E813" s="22"/>
      <c r="F813" s="22"/>
      <c r="G813" s="22"/>
    </row>
    <row r="814" spans="4:7" ht="13.2" x14ac:dyDescent="0.25">
      <c r="D814" s="22"/>
      <c r="E814" s="22"/>
      <c r="F814" s="22"/>
      <c r="G814" s="22"/>
    </row>
    <row r="815" spans="4:7" ht="13.2" x14ac:dyDescent="0.25">
      <c r="D815" s="22"/>
      <c r="E815" s="22"/>
      <c r="F815" s="22"/>
      <c r="G815" s="22"/>
    </row>
    <row r="816" spans="4:7" ht="13.2" x14ac:dyDescent="0.25">
      <c r="D816" s="22"/>
      <c r="E816" s="22"/>
      <c r="F816" s="22"/>
      <c r="G816" s="22"/>
    </row>
    <row r="817" spans="4:7" ht="13.2" x14ac:dyDescent="0.25">
      <c r="D817" s="22"/>
      <c r="E817" s="22"/>
      <c r="F817" s="22"/>
      <c r="G817" s="22"/>
    </row>
    <row r="818" spans="4:7" ht="13.2" x14ac:dyDescent="0.25">
      <c r="D818" s="22"/>
      <c r="E818" s="22"/>
      <c r="F818" s="22"/>
      <c r="G818" s="22"/>
    </row>
    <row r="819" spans="4:7" ht="13.2" x14ac:dyDescent="0.25">
      <c r="D819" s="22"/>
      <c r="E819" s="22"/>
      <c r="F819" s="22"/>
      <c r="G819" s="22"/>
    </row>
    <row r="820" spans="4:7" ht="13.2" x14ac:dyDescent="0.25">
      <c r="D820" s="22"/>
      <c r="E820" s="22"/>
      <c r="F820" s="22"/>
      <c r="G820" s="22"/>
    </row>
    <row r="821" spans="4:7" ht="13.2" x14ac:dyDescent="0.25">
      <c r="D821" s="22"/>
      <c r="E821" s="22"/>
      <c r="F821" s="22"/>
      <c r="G821" s="22"/>
    </row>
    <row r="822" spans="4:7" ht="13.2" x14ac:dyDescent="0.25">
      <c r="D822" s="22"/>
      <c r="E822" s="22"/>
      <c r="F822" s="22"/>
      <c r="G822" s="22"/>
    </row>
    <row r="823" spans="4:7" ht="13.2" x14ac:dyDescent="0.25">
      <c r="D823" s="22"/>
      <c r="E823" s="22"/>
      <c r="F823" s="22"/>
      <c r="G823" s="22"/>
    </row>
    <row r="824" spans="4:7" ht="13.2" x14ac:dyDescent="0.25">
      <c r="D824" s="22"/>
      <c r="E824" s="22"/>
      <c r="F824" s="22"/>
      <c r="G824" s="22"/>
    </row>
    <row r="825" spans="4:7" ht="13.2" x14ac:dyDescent="0.25">
      <c r="D825" s="22"/>
      <c r="E825" s="22"/>
      <c r="F825" s="22"/>
      <c r="G825" s="22"/>
    </row>
    <row r="826" spans="4:7" ht="13.2" x14ac:dyDescent="0.25">
      <c r="D826" s="22"/>
      <c r="E826" s="22"/>
      <c r="F826" s="22"/>
      <c r="G826" s="22"/>
    </row>
    <row r="827" spans="4:7" ht="13.2" x14ac:dyDescent="0.25">
      <c r="D827" s="22"/>
      <c r="E827" s="22"/>
      <c r="F827" s="22"/>
      <c r="G827" s="22"/>
    </row>
    <row r="828" spans="4:7" ht="13.2" x14ac:dyDescent="0.25">
      <c r="D828" s="22"/>
      <c r="E828" s="22"/>
      <c r="F828" s="22"/>
      <c r="G828" s="22"/>
    </row>
    <row r="829" spans="4:7" ht="13.2" x14ac:dyDescent="0.25">
      <c r="D829" s="22"/>
      <c r="E829" s="22"/>
      <c r="F829" s="22"/>
      <c r="G829" s="22"/>
    </row>
    <row r="830" spans="4:7" ht="13.2" x14ac:dyDescent="0.25">
      <c r="D830" s="22"/>
      <c r="E830" s="22"/>
      <c r="F830" s="22"/>
      <c r="G830" s="22"/>
    </row>
    <row r="831" spans="4:7" ht="13.2" x14ac:dyDescent="0.25">
      <c r="D831" s="22"/>
      <c r="E831" s="22"/>
      <c r="F831" s="22"/>
      <c r="G831" s="22"/>
    </row>
    <row r="832" spans="4:7" ht="13.2" x14ac:dyDescent="0.25">
      <c r="D832" s="22"/>
      <c r="E832" s="22"/>
      <c r="F832" s="22"/>
      <c r="G832" s="22"/>
    </row>
    <row r="833" spans="4:7" ht="13.2" x14ac:dyDescent="0.25">
      <c r="D833" s="22"/>
      <c r="E833" s="22"/>
      <c r="F833" s="22"/>
      <c r="G833" s="22"/>
    </row>
    <row r="834" spans="4:7" ht="13.2" x14ac:dyDescent="0.25">
      <c r="D834" s="22"/>
      <c r="E834" s="22"/>
      <c r="F834" s="22"/>
      <c r="G834" s="22"/>
    </row>
    <row r="835" spans="4:7" ht="13.2" x14ac:dyDescent="0.25">
      <c r="D835" s="22"/>
      <c r="E835" s="22"/>
      <c r="F835" s="22"/>
      <c r="G835" s="22"/>
    </row>
    <row r="836" spans="4:7" ht="13.2" x14ac:dyDescent="0.25">
      <c r="D836" s="22"/>
      <c r="E836" s="22"/>
      <c r="F836" s="22"/>
      <c r="G836" s="22"/>
    </row>
    <row r="837" spans="4:7" ht="13.2" x14ac:dyDescent="0.25">
      <c r="D837" s="22"/>
      <c r="E837" s="22"/>
      <c r="F837" s="22"/>
      <c r="G837" s="22"/>
    </row>
    <row r="838" spans="4:7" ht="13.2" x14ac:dyDescent="0.25">
      <c r="D838" s="22"/>
      <c r="E838" s="22"/>
      <c r="F838" s="22"/>
      <c r="G838" s="22"/>
    </row>
    <row r="839" spans="4:7" ht="13.2" x14ac:dyDescent="0.25">
      <c r="D839" s="22"/>
      <c r="E839" s="22"/>
      <c r="F839" s="22"/>
      <c r="G839" s="22"/>
    </row>
    <row r="840" spans="4:7" ht="13.2" x14ac:dyDescent="0.25">
      <c r="D840" s="22"/>
      <c r="E840" s="22"/>
      <c r="F840" s="22"/>
      <c r="G840" s="22"/>
    </row>
    <row r="841" spans="4:7" ht="13.2" x14ac:dyDescent="0.25">
      <c r="D841" s="22"/>
      <c r="E841" s="22"/>
      <c r="F841" s="22"/>
      <c r="G841" s="22"/>
    </row>
    <row r="842" spans="4:7" ht="13.2" x14ac:dyDescent="0.25">
      <c r="D842" s="22"/>
      <c r="E842" s="22"/>
      <c r="F842" s="22"/>
      <c r="G842" s="22"/>
    </row>
    <row r="843" spans="4:7" ht="13.2" x14ac:dyDescent="0.25">
      <c r="D843" s="22"/>
      <c r="E843" s="22"/>
      <c r="F843" s="22"/>
      <c r="G843" s="22"/>
    </row>
    <row r="844" spans="4:7" ht="13.2" x14ac:dyDescent="0.25">
      <c r="D844" s="22"/>
      <c r="E844" s="22"/>
      <c r="F844" s="22"/>
      <c r="G844" s="22"/>
    </row>
    <row r="845" spans="4:7" ht="13.2" x14ac:dyDescent="0.25">
      <c r="D845" s="22"/>
      <c r="E845" s="22"/>
      <c r="F845" s="22"/>
      <c r="G845" s="22"/>
    </row>
    <row r="846" spans="4:7" ht="13.2" x14ac:dyDescent="0.25">
      <c r="D846" s="22"/>
      <c r="E846" s="22"/>
      <c r="F846" s="22"/>
      <c r="G846" s="22"/>
    </row>
    <row r="847" spans="4:7" ht="13.2" x14ac:dyDescent="0.25">
      <c r="D847" s="22"/>
      <c r="E847" s="22"/>
      <c r="F847" s="22"/>
      <c r="G847" s="22"/>
    </row>
    <row r="848" spans="4:7" ht="13.2" x14ac:dyDescent="0.25">
      <c r="D848" s="22"/>
      <c r="E848" s="22"/>
      <c r="F848" s="22"/>
      <c r="G848" s="22"/>
    </row>
    <row r="849" spans="4:7" ht="13.2" x14ac:dyDescent="0.25">
      <c r="D849" s="22"/>
      <c r="E849" s="22"/>
      <c r="F849" s="22"/>
      <c r="G849" s="22"/>
    </row>
    <row r="850" spans="4:7" ht="13.2" x14ac:dyDescent="0.25">
      <c r="D850" s="22"/>
      <c r="E850" s="22"/>
      <c r="F850" s="22"/>
      <c r="G850" s="22"/>
    </row>
    <row r="851" spans="4:7" ht="13.2" x14ac:dyDescent="0.25">
      <c r="D851" s="22"/>
      <c r="E851" s="22"/>
      <c r="F851" s="22"/>
      <c r="G851" s="22"/>
    </row>
    <row r="852" spans="4:7" ht="13.2" x14ac:dyDescent="0.25">
      <c r="D852" s="22"/>
      <c r="E852" s="22"/>
      <c r="F852" s="22"/>
      <c r="G852" s="22"/>
    </row>
    <row r="853" spans="4:7" ht="13.2" x14ac:dyDescent="0.25">
      <c r="D853" s="22"/>
      <c r="E853" s="22"/>
      <c r="F853" s="22"/>
      <c r="G853" s="22"/>
    </row>
    <row r="854" spans="4:7" ht="13.2" x14ac:dyDescent="0.25">
      <c r="D854" s="22"/>
      <c r="E854" s="22"/>
      <c r="F854" s="22"/>
      <c r="G854" s="22"/>
    </row>
    <row r="855" spans="4:7" ht="13.2" x14ac:dyDescent="0.25">
      <c r="D855" s="22"/>
      <c r="E855" s="22"/>
      <c r="F855" s="22"/>
      <c r="G855" s="22"/>
    </row>
    <row r="856" spans="4:7" ht="13.2" x14ac:dyDescent="0.25">
      <c r="D856" s="22"/>
      <c r="E856" s="22"/>
      <c r="F856" s="22"/>
      <c r="G856" s="22"/>
    </row>
    <row r="857" spans="4:7" ht="13.2" x14ac:dyDescent="0.25">
      <c r="D857" s="22"/>
      <c r="E857" s="22"/>
      <c r="F857" s="22"/>
      <c r="G857" s="22"/>
    </row>
    <row r="858" spans="4:7" ht="13.2" x14ac:dyDescent="0.25">
      <c r="D858" s="22"/>
      <c r="E858" s="22"/>
      <c r="F858" s="22"/>
      <c r="G858" s="22"/>
    </row>
    <row r="859" spans="4:7" ht="13.2" x14ac:dyDescent="0.25">
      <c r="D859" s="22"/>
      <c r="E859" s="22"/>
      <c r="F859" s="22"/>
      <c r="G859" s="22"/>
    </row>
    <row r="860" spans="4:7" ht="13.2" x14ac:dyDescent="0.25">
      <c r="D860" s="22"/>
      <c r="E860" s="22"/>
      <c r="F860" s="22"/>
      <c r="G860" s="22"/>
    </row>
    <row r="861" spans="4:7" ht="13.2" x14ac:dyDescent="0.25">
      <c r="D861" s="22"/>
      <c r="E861" s="22"/>
      <c r="F861" s="22"/>
      <c r="G861" s="22"/>
    </row>
    <row r="862" spans="4:7" ht="13.2" x14ac:dyDescent="0.25">
      <c r="D862" s="22"/>
      <c r="E862" s="22"/>
      <c r="F862" s="22"/>
      <c r="G862" s="22"/>
    </row>
    <row r="863" spans="4:7" ht="13.2" x14ac:dyDescent="0.25">
      <c r="D863" s="22"/>
      <c r="E863" s="22"/>
      <c r="F863" s="22"/>
      <c r="G863" s="22"/>
    </row>
    <row r="864" spans="4:7" ht="13.2" x14ac:dyDescent="0.25">
      <c r="D864" s="22"/>
      <c r="E864" s="22"/>
      <c r="F864" s="22"/>
      <c r="G864" s="22"/>
    </row>
    <row r="865" spans="4:7" ht="13.2" x14ac:dyDescent="0.25">
      <c r="D865" s="22"/>
      <c r="E865" s="22"/>
      <c r="F865" s="22"/>
      <c r="G865" s="22"/>
    </row>
    <row r="866" spans="4:7" ht="13.2" x14ac:dyDescent="0.25">
      <c r="D866" s="22"/>
      <c r="E866" s="22"/>
      <c r="F866" s="22"/>
      <c r="G866" s="22"/>
    </row>
    <row r="867" spans="4:7" ht="13.2" x14ac:dyDescent="0.25">
      <c r="D867" s="22"/>
      <c r="E867" s="22"/>
      <c r="F867" s="22"/>
      <c r="G867" s="22"/>
    </row>
    <row r="868" spans="4:7" ht="13.2" x14ac:dyDescent="0.25">
      <c r="D868" s="22"/>
      <c r="E868" s="22"/>
      <c r="F868" s="22"/>
      <c r="G868" s="22"/>
    </row>
    <row r="869" spans="4:7" ht="13.2" x14ac:dyDescent="0.25">
      <c r="D869" s="22"/>
      <c r="E869" s="22"/>
      <c r="F869" s="22"/>
      <c r="G869" s="22"/>
    </row>
    <row r="870" spans="4:7" ht="13.2" x14ac:dyDescent="0.25">
      <c r="D870" s="22"/>
      <c r="E870" s="22"/>
      <c r="F870" s="22"/>
      <c r="G870" s="22"/>
    </row>
    <row r="871" spans="4:7" ht="13.2" x14ac:dyDescent="0.25">
      <c r="D871" s="22"/>
      <c r="E871" s="22"/>
      <c r="F871" s="22"/>
      <c r="G871" s="22"/>
    </row>
    <row r="872" spans="4:7" ht="13.2" x14ac:dyDescent="0.25">
      <c r="D872" s="22"/>
      <c r="E872" s="22"/>
      <c r="F872" s="22"/>
      <c r="G872" s="22"/>
    </row>
    <row r="873" spans="4:7" ht="13.2" x14ac:dyDescent="0.25">
      <c r="D873" s="22"/>
      <c r="E873" s="22"/>
      <c r="F873" s="22"/>
      <c r="G873" s="22"/>
    </row>
    <row r="874" spans="4:7" ht="13.2" x14ac:dyDescent="0.25">
      <c r="D874" s="22"/>
      <c r="E874" s="22"/>
      <c r="F874" s="22"/>
      <c r="G874" s="22"/>
    </row>
    <row r="875" spans="4:7" ht="13.2" x14ac:dyDescent="0.25">
      <c r="D875" s="22"/>
      <c r="E875" s="22"/>
      <c r="F875" s="22"/>
      <c r="G875" s="22"/>
    </row>
    <row r="876" spans="4:7" ht="13.2" x14ac:dyDescent="0.25">
      <c r="D876" s="22"/>
      <c r="E876" s="22"/>
      <c r="F876" s="22"/>
      <c r="G876" s="22"/>
    </row>
    <row r="877" spans="4:7" ht="13.2" x14ac:dyDescent="0.25">
      <c r="D877" s="22"/>
      <c r="E877" s="22"/>
      <c r="F877" s="22"/>
      <c r="G877" s="22"/>
    </row>
    <row r="878" spans="4:7" ht="13.2" x14ac:dyDescent="0.25">
      <c r="D878" s="22"/>
      <c r="E878" s="22"/>
      <c r="F878" s="22"/>
      <c r="G878" s="22"/>
    </row>
    <row r="879" spans="4:7" ht="13.2" x14ac:dyDescent="0.25">
      <c r="D879" s="22"/>
      <c r="E879" s="22"/>
      <c r="F879" s="22"/>
      <c r="G879" s="22"/>
    </row>
    <row r="880" spans="4:7" ht="13.2" x14ac:dyDescent="0.25">
      <c r="D880" s="22"/>
      <c r="E880" s="22"/>
      <c r="F880" s="22"/>
      <c r="G880" s="22"/>
    </row>
    <row r="881" spans="4:7" ht="13.2" x14ac:dyDescent="0.25">
      <c r="D881" s="22"/>
      <c r="E881" s="22"/>
      <c r="F881" s="22"/>
      <c r="G881" s="22"/>
    </row>
    <row r="882" spans="4:7" ht="13.2" x14ac:dyDescent="0.25">
      <c r="D882" s="22"/>
      <c r="E882" s="22"/>
      <c r="F882" s="22"/>
      <c r="G882" s="22"/>
    </row>
    <row r="883" spans="4:7" ht="13.2" x14ac:dyDescent="0.25">
      <c r="D883" s="22"/>
      <c r="E883" s="22"/>
      <c r="F883" s="22"/>
      <c r="G883" s="22"/>
    </row>
    <row r="884" spans="4:7" ht="13.2" x14ac:dyDescent="0.25">
      <c r="D884" s="22"/>
      <c r="E884" s="22"/>
      <c r="F884" s="22"/>
      <c r="G884" s="22"/>
    </row>
    <row r="885" spans="4:7" ht="13.2" x14ac:dyDescent="0.25">
      <c r="D885" s="22"/>
      <c r="E885" s="22"/>
      <c r="F885" s="22"/>
      <c r="G885" s="22"/>
    </row>
    <row r="886" spans="4:7" ht="13.2" x14ac:dyDescent="0.25">
      <c r="D886" s="22"/>
      <c r="E886" s="22"/>
      <c r="F886" s="22"/>
      <c r="G886" s="22"/>
    </row>
    <row r="887" spans="4:7" ht="13.2" x14ac:dyDescent="0.25">
      <c r="D887" s="22"/>
      <c r="E887" s="22"/>
      <c r="F887" s="22"/>
      <c r="G887" s="22"/>
    </row>
    <row r="888" spans="4:7" ht="13.2" x14ac:dyDescent="0.25">
      <c r="D888" s="22"/>
      <c r="E888" s="22"/>
      <c r="F888" s="22"/>
      <c r="G888" s="22"/>
    </row>
    <row r="889" spans="4:7" ht="13.2" x14ac:dyDescent="0.25">
      <c r="D889" s="22"/>
      <c r="E889" s="22"/>
      <c r="F889" s="22"/>
      <c r="G889" s="22"/>
    </row>
    <row r="890" spans="4:7" ht="13.2" x14ac:dyDescent="0.25">
      <c r="D890" s="22"/>
      <c r="E890" s="22"/>
      <c r="F890" s="22"/>
      <c r="G890" s="22"/>
    </row>
    <row r="891" spans="4:7" ht="13.2" x14ac:dyDescent="0.25">
      <c r="D891" s="22"/>
      <c r="E891" s="22"/>
      <c r="F891" s="22"/>
      <c r="G891" s="22"/>
    </row>
    <row r="892" spans="4:7" ht="13.2" x14ac:dyDescent="0.25">
      <c r="D892" s="22"/>
      <c r="E892" s="22"/>
      <c r="F892" s="22"/>
      <c r="G892" s="22"/>
    </row>
    <row r="893" spans="4:7" ht="13.2" x14ac:dyDescent="0.25">
      <c r="D893" s="22"/>
      <c r="E893" s="22"/>
      <c r="F893" s="22"/>
      <c r="G893" s="22"/>
    </row>
    <row r="894" spans="4:7" ht="13.2" x14ac:dyDescent="0.25">
      <c r="D894" s="22"/>
      <c r="E894" s="22"/>
      <c r="F894" s="22"/>
      <c r="G894" s="22"/>
    </row>
    <row r="895" spans="4:7" ht="13.2" x14ac:dyDescent="0.25">
      <c r="D895" s="22"/>
      <c r="E895" s="22"/>
      <c r="F895" s="22"/>
      <c r="G895" s="22"/>
    </row>
    <row r="896" spans="4:7" ht="13.2" x14ac:dyDescent="0.25">
      <c r="D896" s="22"/>
      <c r="E896" s="22"/>
      <c r="F896" s="22"/>
      <c r="G896" s="22"/>
    </row>
    <row r="897" spans="4:7" ht="13.2" x14ac:dyDescent="0.25">
      <c r="D897" s="22"/>
      <c r="E897" s="22"/>
      <c r="F897" s="22"/>
      <c r="G897" s="22"/>
    </row>
    <row r="898" spans="4:7" ht="13.2" x14ac:dyDescent="0.25">
      <c r="D898" s="22"/>
      <c r="E898" s="22"/>
      <c r="F898" s="22"/>
      <c r="G898" s="22"/>
    </row>
    <row r="899" spans="4:7" ht="13.2" x14ac:dyDescent="0.25">
      <c r="D899" s="22"/>
      <c r="E899" s="22"/>
      <c r="F899" s="22"/>
      <c r="G899" s="22"/>
    </row>
    <row r="900" spans="4:7" ht="13.2" x14ac:dyDescent="0.25">
      <c r="D900" s="22"/>
      <c r="E900" s="22"/>
      <c r="F900" s="22"/>
      <c r="G900" s="22"/>
    </row>
    <row r="901" spans="4:7" ht="13.2" x14ac:dyDescent="0.25">
      <c r="D901" s="22"/>
      <c r="E901" s="22"/>
      <c r="F901" s="22"/>
      <c r="G901" s="22"/>
    </row>
    <row r="902" spans="4:7" ht="13.2" x14ac:dyDescent="0.25">
      <c r="D902" s="22"/>
      <c r="E902" s="22"/>
      <c r="F902" s="22"/>
      <c r="G902" s="22"/>
    </row>
    <row r="903" spans="4:7" ht="13.2" x14ac:dyDescent="0.25">
      <c r="D903" s="22"/>
      <c r="E903" s="22"/>
      <c r="F903" s="22"/>
      <c r="G903" s="22"/>
    </row>
    <row r="904" spans="4:7" ht="13.2" x14ac:dyDescent="0.25">
      <c r="D904" s="22"/>
      <c r="E904" s="22"/>
      <c r="F904" s="22"/>
      <c r="G904" s="22"/>
    </row>
    <row r="905" spans="4:7" ht="13.2" x14ac:dyDescent="0.25">
      <c r="D905" s="22"/>
      <c r="E905" s="22"/>
      <c r="F905" s="22"/>
      <c r="G905" s="22"/>
    </row>
    <row r="906" spans="4:7" ht="13.2" x14ac:dyDescent="0.25">
      <c r="D906" s="22"/>
      <c r="E906" s="22"/>
      <c r="F906" s="22"/>
      <c r="G906" s="22"/>
    </row>
    <row r="907" spans="4:7" ht="13.2" x14ac:dyDescent="0.25">
      <c r="D907" s="22"/>
      <c r="E907" s="22"/>
      <c r="F907" s="22"/>
      <c r="G907" s="22"/>
    </row>
    <row r="908" spans="4:7" ht="13.2" x14ac:dyDescent="0.25">
      <c r="D908" s="22"/>
      <c r="E908" s="22"/>
      <c r="F908" s="22"/>
      <c r="G908" s="22"/>
    </row>
    <row r="909" spans="4:7" ht="13.2" x14ac:dyDescent="0.25">
      <c r="D909" s="22"/>
      <c r="E909" s="22"/>
      <c r="F909" s="22"/>
      <c r="G909" s="22"/>
    </row>
    <row r="910" spans="4:7" ht="13.2" x14ac:dyDescent="0.25">
      <c r="D910" s="22"/>
      <c r="E910" s="22"/>
      <c r="F910" s="22"/>
      <c r="G910" s="22"/>
    </row>
    <row r="911" spans="4:7" ht="13.2" x14ac:dyDescent="0.25">
      <c r="D911" s="22"/>
      <c r="E911" s="22"/>
      <c r="F911" s="22"/>
      <c r="G911" s="22"/>
    </row>
    <row r="912" spans="4:7" ht="13.2" x14ac:dyDescent="0.25">
      <c r="D912" s="22"/>
      <c r="E912" s="22"/>
      <c r="F912" s="22"/>
      <c r="G912" s="22"/>
    </row>
    <row r="913" spans="4:7" ht="13.2" x14ac:dyDescent="0.25">
      <c r="D913" s="22"/>
      <c r="E913" s="22"/>
      <c r="F913" s="22"/>
      <c r="G913" s="22"/>
    </row>
    <row r="914" spans="4:7" ht="13.2" x14ac:dyDescent="0.25">
      <c r="D914" s="22"/>
      <c r="E914" s="22"/>
      <c r="F914" s="22"/>
      <c r="G914" s="22"/>
    </row>
    <row r="915" spans="4:7" ht="13.2" x14ac:dyDescent="0.25">
      <c r="D915" s="22"/>
      <c r="E915" s="22"/>
      <c r="F915" s="22"/>
      <c r="G915" s="22"/>
    </row>
    <row r="916" spans="4:7" ht="13.2" x14ac:dyDescent="0.25">
      <c r="D916" s="22"/>
      <c r="E916" s="22"/>
      <c r="F916" s="22"/>
      <c r="G916" s="22"/>
    </row>
    <row r="917" spans="4:7" ht="13.2" x14ac:dyDescent="0.25">
      <c r="D917" s="22"/>
      <c r="E917" s="22"/>
      <c r="F917" s="22"/>
      <c r="G917" s="22"/>
    </row>
    <row r="918" spans="4:7" ht="13.2" x14ac:dyDescent="0.25">
      <c r="D918" s="22"/>
      <c r="E918" s="22"/>
      <c r="F918" s="22"/>
      <c r="G918" s="22"/>
    </row>
    <row r="919" spans="4:7" ht="13.2" x14ac:dyDescent="0.25">
      <c r="D919" s="22"/>
      <c r="E919" s="22"/>
      <c r="F919" s="22"/>
      <c r="G919" s="22"/>
    </row>
    <row r="920" spans="4:7" ht="13.2" x14ac:dyDescent="0.25">
      <c r="D920" s="22"/>
      <c r="E920" s="22"/>
      <c r="F920" s="22"/>
      <c r="G920" s="22"/>
    </row>
    <row r="921" spans="4:7" ht="13.2" x14ac:dyDescent="0.25">
      <c r="D921" s="22"/>
      <c r="E921" s="22"/>
      <c r="F921" s="22"/>
      <c r="G921" s="22"/>
    </row>
    <row r="922" spans="4:7" ht="13.2" x14ac:dyDescent="0.25">
      <c r="D922" s="22"/>
      <c r="E922" s="22"/>
      <c r="F922" s="22"/>
      <c r="G922" s="22"/>
    </row>
    <row r="923" spans="4:7" ht="13.2" x14ac:dyDescent="0.25">
      <c r="D923" s="22"/>
      <c r="E923" s="22"/>
      <c r="F923" s="22"/>
      <c r="G923" s="22"/>
    </row>
    <row r="924" spans="4:7" ht="13.2" x14ac:dyDescent="0.25">
      <c r="D924" s="22"/>
      <c r="E924" s="22"/>
      <c r="F924" s="22"/>
      <c r="G924" s="22"/>
    </row>
    <row r="925" spans="4:7" ht="13.2" x14ac:dyDescent="0.25">
      <c r="D925" s="22"/>
      <c r="E925" s="22"/>
      <c r="F925" s="22"/>
      <c r="G925" s="22"/>
    </row>
    <row r="926" spans="4:7" ht="13.2" x14ac:dyDescent="0.25">
      <c r="D926" s="22"/>
      <c r="E926" s="22"/>
      <c r="F926" s="22"/>
      <c r="G926" s="22"/>
    </row>
    <row r="927" spans="4:7" ht="13.2" x14ac:dyDescent="0.25">
      <c r="D927" s="22"/>
      <c r="E927" s="22"/>
      <c r="F927" s="22"/>
      <c r="G927" s="22"/>
    </row>
    <row r="928" spans="4:7" ht="13.2" x14ac:dyDescent="0.25">
      <c r="D928" s="22"/>
      <c r="E928" s="22"/>
      <c r="F928" s="22"/>
      <c r="G928" s="22"/>
    </row>
    <row r="929" spans="4:7" ht="13.2" x14ac:dyDescent="0.25">
      <c r="D929" s="22"/>
      <c r="E929" s="22"/>
      <c r="F929" s="22"/>
      <c r="G929" s="22"/>
    </row>
    <row r="930" spans="4:7" ht="13.2" x14ac:dyDescent="0.25">
      <c r="D930" s="22"/>
      <c r="E930" s="22"/>
      <c r="F930" s="22"/>
      <c r="G930" s="22"/>
    </row>
    <row r="931" spans="4:7" ht="13.2" x14ac:dyDescent="0.25">
      <c r="D931" s="22"/>
      <c r="E931" s="22"/>
      <c r="F931" s="22"/>
      <c r="G931" s="22"/>
    </row>
    <row r="932" spans="4:7" ht="13.2" x14ac:dyDescent="0.25">
      <c r="D932" s="22"/>
      <c r="E932" s="22"/>
      <c r="F932" s="22"/>
      <c r="G932" s="22"/>
    </row>
    <row r="933" spans="4:7" ht="13.2" x14ac:dyDescent="0.25">
      <c r="D933" s="22"/>
      <c r="E933" s="22"/>
      <c r="F933" s="22"/>
      <c r="G933" s="22"/>
    </row>
    <row r="934" spans="4:7" ht="13.2" x14ac:dyDescent="0.25">
      <c r="D934" s="22"/>
      <c r="E934" s="22"/>
      <c r="F934" s="22"/>
      <c r="G934" s="22"/>
    </row>
    <row r="935" spans="4:7" ht="13.2" x14ac:dyDescent="0.25">
      <c r="D935" s="22"/>
      <c r="E935" s="22"/>
      <c r="F935" s="22"/>
      <c r="G935" s="22"/>
    </row>
    <row r="936" spans="4:7" ht="13.2" x14ac:dyDescent="0.25">
      <c r="D936" s="22"/>
      <c r="E936" s="22"/>
      <c r="F936" s="22"/>
      <c r="G936" s="22"/>
    </row>
    <row r="937" spans="4:7" ht="13.2" x14ac:dyDescent="0.25">
      <c r="D937" s="22"/>
      <c r="E937" s="22"/>
      <c r="F937" s="22"/>
      <c r="G937" s="22"/>
    </row>
    <row r="938" spans="4:7" ht="13.2" x14ac:dyDescent="0.25">
      <c r="D938" s="22"/>
      <c r="E938" s="22"/>
      <c r="F938" s="22"/>
      <c r="G938" s="22"/>
    </row>
    <row r="939" spans="4:7" ht="13.2" x14ac:dyDescent="0.25">
      <c r="D939" s="22"/>
      <c r="E939" s="22"/>
      <c r="F939" s="22"/>
      <c r="G939" s="22"/>
    </row>
    <row r="940" spans="4:7" ht="13.2" x14ac:dyDescent="0.25">
      <c r="D940" s="22"/>
      <c r="E940" s="22"/>
      <c r="F940" s="22"/>
      <c r="G940" s="22"/>
    </row>
    <row r="941" spans="4:7" ht="13.2" x14ac:dyDescent="0.25">
      <c r="D941" s="22"/>
      <c r="E941" s="22"/>
      <c r="F941" s="22"/>
      <c r="G941" s="22"/>
    </row>
    <row r="942" spans="4:7" ht="13.2" x14ac:dyDescent="0.25">
      <c r="D942" s="22"/>
      <c r="E942" s="22"/>
      <c r="F942" s="22"/>
      <c r="G942" s="22"/>
    </row>
    <row r="943" spans="4:7" ht="13.2" x14ac:dyDescent="0.25">
      <c r="D943" s="22"/>
      <c r="E943" s="22"/>
      <c r="F943" s="22"/>
      <c r="G943" s="22"/>
    </row>
    <row r="944" spans="4:7" ht="13.2" x14ac:dyDescent="0.25">
      <c r="D944" s="22"/>
      <c r="E944" s="22"/>
      <c r="F944" s="22"/>
      <c r="G944" s="22"/>
    </row>
    <row r="945" spans="4:7" ht="13.2" x14ac:dyDescent="0.25">
      <c r="D945" s="22"/>
      <c r="E945" s="22"/>
      <c r="F945" s="22"/>
      <c r="G945" s="22"/>
    </row>
    <row r="946" spans="4:7" ht="13.2" x14ac:dyDescent="0.25">
      <c r="D946" s="22"/>
      <c r="E946" s="22"/>
      <c r="F946" s="22"/>
      <c r="G946" s="22"/>
    </row>
    <row r="947" spans="4:7" ht="13.2" x14ac:dyDescent="0.25">
      <c r="D947" s="22"/>
      <c r="E947" s="22"/>
      <c r="F947" s="22"/>
      <c r="G947" s="22"/>
    </row>
    <row r="948" spans="4:7" ht="13.2" x14ac:dyDescent="0.25">
      <c r="D948" s="22"/>
      <c r="E948" s="22"/>
      <c r="F948" s="22"/>
      <c r="G948" s="22"/>
    </row>
    <row r="949" spans="4:7" ht="13.2" x14ac:dyDescent="0.25">
      <c r="D949" s="22"/>
      <c r="E949" s="22"/>
      <c r="F949" s="22"/>
      <c r="G949" s="22"/>
    </row>
    <row r="950" spans="4:7" ht="13.2" x14ac:dyDescent="0.25">
      <c r="D950" s="22"/>
      <c r="E950" s="22"/>
      <c r="F950" s="22"/>
      <c r="G950" s="22"/>
    </row>
    <row r="951" spans="4:7" ht="13.2" x14ac:dyDescent="0.25">
      <c r="D951" s="22"/>
      <c r="E951" s="22"/>
      <c r="F951" s="22"/>
      <c r="G951" s="22"/>
    </row>
    <row r="952" spans="4:7" ht="13.2" x14ac:dyDescent="0.25">
      <c r="D952" s="22"/>
      <c r="E952" s="22"/>
      <c r="F952" s="22"/>
      <c r="G952" s="22"/>
    </row>
    <row r="953" spans="4:7" ht="13.2" x14ac:dyDescent="0.25">
      <c r="D953" s="22"/>
      <c r="E953" s="22"/>
      <c r="F953" s="22"/>
      <c r="G953" s="22"/>
    </row>
    <row r="954" spans="4:7" ht="13.2" x14ac:dyDescent="0.25">
      <c r="D954" s="22"/>
      <c r="E954" s="22"/>
      <c r="F954" s="22"/>
      <c r="G954" s="22"/>
    </row>
    <row r="955" spans="4:7" ht="13.2" x14ac:dyDescent="0.25">
      <c r="D955" s="22"/>
      <c r="E955" s="22"/>
      <c r="F955" s="22"/>
      <c r="G955" s="22"/>
    </row>
    <row r="956" spans="4:7" ht="13.2" x14ac:dyDescent="0.25">
      <c r="D956" s="22"/>
      <c r="E956" s="22"/>
      <c r="F956" s="22"/>
      <c r="G956" s="22"/>
    </row>
    <row r="957" spans="4:7" ht="13.2" x14ac:dyDescent="0.25">
      <c r="D957" s="22"/>
      <c r="E957" s="22"/>
      <c r="F957" s="22"/>
      <c r="G957" s="22"/>
    </row>
    <row r="958" spans="4:7" ht="13.2" x14ac:dyDescent="0.25">
      <c r="D958" s="22"/>
      <c r="E958" s="22"/>
      <c r="F958" s="22"/>
      <c r="G958" s="22"/>
    </row>
    <row r="959" spans="4:7" ht="13.2" x14ac:dyDescent="0.25">
      <c r="D959" s="22"/>
      <c r="E959" s="22"/>
      <c r="F959" s="22"/>
      <c r="G959" s="22"/>
    </row>
    <row r="960" spans="4:7" ht="13.2" x14ac:dyDescent="0.25">
      <c r="D960" s="22"/>
      <c r="E960" s="22"/>
      <c r="F960" s="22"/>
      <c r="G960" s="22"/>
    </row>
    <row r="961" spans="4:7" ht="13.2" x14ac:dyDescent="0.25">
      <c r="D961" s="22"/>
      <c r="E961" s="22"/>
      <c r="F961" s="22"/>
      <c r="G961" s="22"/>
    </row>
    <row r="962" spans="4:7" ht="13.2" x14ac:dyDescent="0.25">
      <c r="D962" s="22"/>
      <c r="E962" s="22"/>
      <c r="F962" s="22"/>
      <c r="G962" s="22"/>
    </row>
    <row r="963" spans="4:7" ht="13.2" x14ac:dyDescent="0.25">
      <c r="D963" s="22"/>
      <c r="E963" s="22"/>
      <c r="F963" s="22"/>
      <c r="G963" s="22"/>
    </row>
    <row r="964" spans="4:7" ht="13.2" x14ac:dyDescent="0.25">
      <c r="D964" s="22"/>
      <c r="E964" s="22"/>
      <c r="F964" s="22"/>
      <c r="G964" s="22"/>
    </row>
    <row r="965" spans="4:7" ht="13.2" x14ac:dyDescent="0.25">
      <c r="D965" s="22"/>
      <c r="E965" s="22"/>
      <c r="F965" s="22"/>
      <c r="G965" s="22"/>
    </row>
    <row r="966" spans="4:7" ht="13.2" x14ac:dyDescent="0.25">
      <c r="D966" s="22"/>
      <c r="E966" s="22"/>
      <c r="F966" s="22"/>
      <c r="G966" s="22"/>
    </row>
    <row r="967" spans="4:7" ht="13.2" x14ac:dyDescent="0.25">
      <c r="D967" s="22"/>
      <c r="E967" s="22"/>
      <c r="F967" s="22"/>
      <c r="G967" s="22"/>
    </row>
    <row r="968" spans="4:7" ht="13.2" x14ac:dyDescent="0.25">
      <c r="D968" s="22"/>
      <c r="E968" s="22"/>
      <c r="F968" s="22"/>
      <c r="G968" s="22"/>
    </row>
    <row r="969" spans="4:7" ht="13.2" x14ac:dyDescent="0.25">
      <c r="D969" s="22"/>
      <c r="E969" s="22"/>
      <c r="F969" s="22"/>
      <c r="G969" s="22"/>
    </row>
    <row r="970" spans="4:7" ht="13.2" x14ac:dyDescent="0.25">
      <c r="D970" s="22"/>
      <c r="E970" s="22"/>
      <c r="F970" s="22"/>
      <c r="G970" s="22"/>
    </row>
    <row r="971" spans="4:7" ht="13.2" x14ac:dyDescent="0.25">
      <c r="D971" s="22"/>
      <c r="E971" s="22"/>
      <c r="F971" s="22"/>
      <c r="G971" s="22"/>
    </row>
    <row r="972" spans="4:7" ht="13.2" x14ac:dyDescent="0.25">
      <c r="D972" s="22"/>
      <c r="E972" s="22"/>
      <c r="F972" s="22"/>
      <c r="G972" s="22"/>
    </row>
    <row r="973" spans="4:7" ht="13.2" x14ac:dyDescent="0.25">
      <c r="D973" s="22"/>
      <c r="E973" s="22"/>
      <c r="F973" s="22"/>
      <c r="G973" s="22"/>
    </row>
    <row r="974" spans="4:7" ht="13.2" x14ac:dyDescent="0.25">
      <c r="D974" s="22"/>
      <c r="E974" s="22"/>
      <c r="F974" s="22"/>
      <c r="G974" s="22"/>
    </row>
    <row r="975" spans="4:7" ht="13.2" x14ac:dyDescent="0.25">
      <c r="D975" s="22"/>
      <c r="E975" s="22"/>
      <c r="F975" s="22"/>
      <c r="G975" s="22"/>
    </row>
    <row r="976" spans="4:7" ht="13.2" x14ac:dyDescent="0.25">
      <c r="D976" s="22"/>
      <c r="E976" s="22"/>
      <c r="F976" s="22"/>
      <c r="G976" s="22"/>
    </row>
    <row r="977" spans="4:7" ht="13.2" x14ac:dyDescent="0.25">
      <c r="D977" s="22"/>
      <c r="E977" s="22"/>
      <c r="F977" s="22"/>
      <c r="G977" s="22"/>
    </row>
    <row r="978" spans="4:7" ht="13.2" x14ac:dyDescent="0.25">
      <c r="D978" s="22"/>
      <c r="E978" s="22"/>
      <c r="F978" s="22"/>
      <c r="G978" s="22"/>
    </row>
    <row r="979" spans="4:7" ht="13.2" x14ac:dyDescent="0.25">
      <c r="D979" s="22"/>
      <c r="E979" s="22"/>
      <c r="F979" s="22"/>
      <c r="G979" s="22"/>
    </row>
    <row r="980" spans="4:7" ht="13.2" x14ac:dyDescent="0.25">
      <c r="D980" s="22"/>
      <c r="E980" s="22"/>
      <c r="F980" s="22"/>
      <c r="G980" s="22"/>
    </row>
    <row r="981" spans="4:7" ht="13.2" x14ac:dyDescent="0.25">
      <c r="D981" s="22"/>
      <c r="E981" s="22"/>
      <c r="F981" s="22"/>
      <c r="G981" s="22"/>
    </row>
    <row r="982" spans="4:7" ht="13.2" x14ac:dyDescent="0.25">
      <c r="D982" s="22"/>
      <c r="E982" s="22"/>
      <c r="F982" s="22"/>
      <c r="G982" s="22"/>
    </row>
    <row r="983" spans="4:7" ht="13.2" x14ac:dyDescent="0.25">
      <c r="D983" s="22"/>
      <c r="E983" s="22"/>
      <c r="F983" s="22"/>
      <c r="G983" s="22"/>
    </row>
    <row r="984" spans="4:7" ht="13.2" x14ac:dyDescent="0.25">
      <c r="D984" s="22"/>
      <c r="E984" s="22"/>
      <c r="F984" s="22"/>
      <c r="G984" s="22"/>
    </row>
    <row r="985" spans="4:7" ht="13.2" x14ac:dyDescent="0.25">
      <c r="D985" s="22"/>
      <c r="E985" s="22"/>
      <c r="F985" s="22"/>
      <c r="G985" s="22"/>
    </row>
    <row r="986" spans="4:7" ht="13.2" x14ac:dyDescent="0.25">
      <c r="D986" s="22"/>
      <c r="E986" s="22"/>
      <c r="F986" s="22"/>
      <c r="G986" s="22"/>
    </row>
    <row r="987" spans="4:7" ht="13.2" x14ac:dyDescent="0.25">
      <c r="D987" s="22"/>
      <c r="E987" s="22"/>
      <c r="F987" s="22"/>
      <c r="G987" s="22"/>
    </row>
    <row r="988" spans="4:7" ht="13.2" x14ac:dyDescent="0.25">
      <c r="D988" s="22"/>
      <c r="E988" s="22"/>
      <c r="F988" s="22"/>
      <c r="G988" s="22"/>
    </row>
    <row r="989" spans="4:7" ht="13.2" x14ac:dyDescent="0.25">
      <c r="D989" s="22"/>
      <c r="E989" s="22"/>
      <c r="F989" s="22"/>
      <c r="G989" s="22"/>
    </row>
    <row r="990" spans="4:7" ht="13.2" x14ac:dyDescent="0.25">
      <c r="D990" s="22"/>
      <c r="E990" s="22"/>
      <c r="F990" s="22"/>
      <c r="G990" s="22"/>
    </row>
    <row r="991" spans="4:7" ht="13.2" x14ac:dyDescent="0.25">
      <c r="D991" s="22"/>
      <c r="E991" s="22"/>
      <c r="F991" s="22"/>
      <c r="G991" s="22"/>
    </row>
    <row r="992" spans="4:7" ht="13.2" x14ac:dyDescent="0.25">
      <c r="D992" s="22"/>
      <c r="E992" s="22"/>
      <c r="F992" s="22"/>
      <c r="G992" s="22"/>
    </row>
    <row r="993" spans="4:7" ht="13.2" x14ac:dyDescent="0.25">
      <c r="D993" s="22"/>
      <c r="E993" s="22"/>
      <c r="F993" s="22"/>
      <c r="G993" s="22"/>
    </row>
    <row r="994" spans="4:7" ht="13.2" x14ac:dyDescent="0.25">
      <c r="D994" s="22"/>
      <c r="E994" s="22"/>
      <c r="F994" s="22"/>
      <c r="G994" s="22"/>
    </row>
    <row r="995" spans="4:7" ht="13.2" x14ac:dyDescent="0.25">
      <c r="D995" s="22"/>
      <c r="E995" s="22"/>
      <c r="F995" s="22"/>
      <c r="G995" s="22"/>
    </row>
    <row r="996" spans="4:7" ht="13.2" x14ac:dyDescent="0.25">
      <c r="D996" s="22"/>
      <c r="E996" s="22"/>
      <c r="F996" s="22"/>
      <c r="G996" s="22"/>
    </row>
    <row r="997" spans="4:7" ht="13.2" x14ac:dyDescent="0.25">
      <c r="D997" s="22"/>
      <c r="E997" s="22"/>
      <c r="F997" s="22"/>
      <c r="G997" s="22"/>
    </row>
    <row r="998" spans="4:7" ht="13.2" x14ac:dyDescent="0.25">
      <c r="D998" s="22"/>
      <c r="E998" s="22"/>
      <c r="F998" s="22"/>
      <c r="G998" s="22"/>
    </row>
    <row r="999" spans="4:7" ht="13.2" x14ac:dyDescent="0.25">
      <c r="D999" s="22"/>
      <c r="E999" s="22"/>
      <c r="F999" s="22"/>
      <c r="G999" s="22"/>
    </row>
    <row r="1000" spans="4:7" ht="13.2" x14ac:dyDescent="0.25">
      <c r="D1000" s="22"/>
      <c r="E1000" s="22"/>
      <c r="F1000" s="22"/>
      <c r="G1000" s="2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defaultColWidth="12.6640625" defaultRowHeight="15.75" customHeight="1" x14ac:dyDescent="0.25"/>
  <cols>
    <col min="1" max="1" width="54.109375" customWidth="1"/>
    <col min="2" max="2" width="94.109375" customWidth="1"/>
    <col min="3" max="3" width="37.6640625" customWidth="1"/>
    <col min="4" max="5" width="24.109375" customWidth="1"/>
    <col min="6" max="6" width="13" customWidth="1"/>
    <col min="7" max="7" width="15.33203125" customWidth="1"/>
    <col min="8" max="8" width="13.44140625" customWidth="1"/>
  </cols>
  <sheetData>
    <row r="1" spans="1:27" x14ac:dyDescent="0.25">
      <c r="A1" s="26" t="s">
        <v>177</v>
      </c>
      <c r="B1" s="24" t="s">
        <v>178</v>
      </c>
      <c r="C1" s="24" t="s">
        <v>179</v>
      </c>
      <c r="D1" s="24" t="s">
        <v>180</v>
      </c>
      <c r="E1" s="24" t="s">
        <v>181</v>
      </c>
      <c r="F1" s="26" t="s">
        <v>182</v>
      </c>
      <c r="G1" s="26" t="s">
        <v>183</v>
      </c>
      <c r="H1" s="26" t="s">
        <v>184</v>
      </c>
      <c r="I1" s="26" t="s">
        <v>185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x14ac:dyDescent="0.25">
      <c r="A2" s="26" t="s">
        <v>186</v>
      </c>
      <c r="B2" s="26" t="s">
        <v>187</v>
      </c>
      <c r="C2" s="24">
        <v>7.5</v>
      </c>
      <c r="D2" s="24">
        <v>7.5</v>
      </c>
      <c r="E2" s="24">
        <v>5</v>
      </c>
      <c r="F2" s="26">
        <v>1</v>
      </c>
      <c r="G2" s="26">
        <f t="shared" ref="G2:G12" si="0">IF(F2=1,D2,0)</f>
        <v>7.5</v>
      </c>
      <c r="H2" s="26">
        <f t="shared" ref="H2:H12" si="1">SUM($G$2:$G$12)</f>
        <v>15.774999999999999</v>
      </c>
      <c r="I2" s="27">
        <f t="shared" ref="I2:I12" si="2">G2/H2</f>
        <v>0.47543581616481778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x14ac:dyDescent="0.25">
      <c r="A3" s="26" t="s">
        <v>188</v>
      </c>
      <c r="B3" s="26" t="s">
        <v>189</v>
      </c>
      <c r="C3" s="24">
        <v>1.2</v>
      </c>
      <c r="D3" s="24">
        <v>1.2</v>
      </c>
      <c r="E3" s="24" t="s">
        <v>19</v>
      </c>
      <c r="F3" s="26">
        <v>1</v>
      </c>
      <c r="G3" s="26">
        <f t="shared" si="0"/>
        <v>1.2</v>
      </c>
      <c r="H3" s="26">
        <f t="shared" si="1"/>
        <v>15.774999999999999</v>
      </c>
      <c r="I3" s="27">
        <f t="shared" si="2"/>
        <v>7.6069730586370843E-2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x14ac:dyDescent="0.25">
      <c r="A4" s="26" t="s">
        <v>190</v>
      </c>
      <c r="B4" s="26" t="s">
        <v>191</v>
      </c>
      <c r="C4" s="24">
        <v>1</v>
      </c>
      <c r="D4" s="24">
        <v>1</v>
      </c>
      <c r="E4" s="24">
        <v>1</v>
      </c>
      <c r="F4" s="26">
        <v>1</v>
      </c>
      <c r="G4" s="26">
        <f t="shared" si="0"/>
        <v>1</v>
      </c>
      <c r="H4" s="26">
        <f t="shared" si="1"/>
        <v>15.774999999999999</v>
      </c>
      <c r="I4" s="27">
        <f t="shared" si="2"/>
        <v>6.3391442155309036E-2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x14ac:dyDescent="0.25">
      <c r="A5" s="26" t="s">
        <v>192</v>
      </c>
      <c r="B5" s="26" t="s">
        <v>193</v>
      </c>
      <c r="C5" s="24">
        <v>1</v>
      </c>
      <c r="D5" s="24">
        <v>1</v>
      </c>
      <c r="E5" s="24">
        <v>0.5</v>
      </c>
      <c r="F5" s="26">
        <v>1</v>
      </c>
      <c r="G5" s="26">
        <f t="shared" si="0"/>
        <v>1</v>
      </c>
      <c r="H5" s="26">
        <f t="shared" si="1"/>
        <v>15.774999999999999</v>
      </c>
      <c r="I5" s="27">
        <f t="shared" si="2"/>
        <v>6.3391442155309036E-2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x14ac:dyDescent="0.25">
      <c r="A6" s="26" t="s">
        <v>194</v>
      </c>
      <c r="B6" s="26" t="s">
        <v>195</v>
      </c>
      <c r="C6" s="24">
        <v>1.6</v>
      </c>
      <c r="D6" s="24">
        <v>1.6</v>
      </c>
      <c r="E6" s="24">
        <v>1.2</v>
      </c>
      <c r="F6" s="26">
        <v>1</v>
      </c>
      <c r="G6" s="26">
        <f t="shared" si="0"/>
        <v>1.6</v>
      </c>
      <c r="H6" s="26">
        <f t="shared" si="1"/>
        <v>15.774999999999999</v>
      </c>
      <c r="I6" s="27">
        <f t="shared" si="2"/>
        <v>0.10142630744849447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x14ac:dyDescent="0.25">
      <c r="A7" s="26" t="s">
        <v>196</v>
      </c>
      <c r="B7" s="26" t="s">
        <v>197</v>
      </c>
      <c r="C7" s="24" t="s">
        <v>19</v>
      </c>
      <c r="D7" s="24">
        <v>0</v>
      </c>
      <c r="E7" s="24" t="s">
        <v>19</v>
      </c>
      <c r="F7" s="26">
        <v>0</v>
      </c>
      <c r="G7" s="26">
        <f t="shared" si="0"/>
        <v>0</v>
      </c>
      <c r="H7" s="26">
        <f t="shared" si="1"/>
        <v>15.774999999999999</v>
      </c>
      <c r="I7" s="27">
        <f t="shared" si="2"/>
        <v>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x14ac:dyDescent="0.25">
      <c r="A8" s="26" t="s">
        <v>198</v>
      </c>
      <c r="B8" s="26" t="s">
        <v>199</v>
      </c>
      <c r="C8" s="24" t="s">
        <v>19</v>
      </c>
      <c r="D8" s="24">
        <v>0</v>
      </c>
      <c r="E8" s="24" t="s">
        <v>19</v>
      </c>
      <c r="F8" s="26">
        <v>0</v>
      </c>
      <c r="G8" s="26">
        <f t="shared" si="0"/>
        <v>0</v>
      </c>
      <c r="H8" s="26">
        <f t="shared" si="1"/>
        <v>15.774999999999999</v>
      </c>
      <c r="I8" s="27">
        <f t="shared" si="2"/>
        <v>0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x14ac:dyDescent="0.25">
      <c r="A9" s="26" t="s">
        <v>200</v>
      </c>
      <c r="B9" s="26" t="s">
        <v>201</v>
      </c>
      <c r="C9" s="24" t="s">
        <v>202</v>
      </c>
      <c r="D9" s="28">
        <f>(0.7+0.25)/2</f>
        <v>0.47499999999999998</v>
      </c>
      <c r="E9" s="24">
        <v>0.1</v>
      </c>
      <c r="F9" s="26">
        <v>1</v>
      </c>
      <c r="G9" s="29">
        <f t="shared" si="0"/>
        <v>0.47499999999999998</v>
      </c>
      <c r="H9" s="26">
        <f t="shared" si="1"/>
        <v>15.774999999999999</v>
      </c>
      <c r="I9" s="27">
        <f t="shared" si="2"/>
        <v>3.0110935023771792E-2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x14ac:dyDescent="0.25">
      <c r="A10" s="26" t="s">
        <v>203</v>
      </c>
      <c r="B10" s="26" t="s">
        <v>204</v>
      </c>
      <c r="C10" s="24" t="s">
        <v>19</v>
      </c>
      <c r="D10" s="24">
        <v>0</v>
      </c>
      <c r="E10" s="24" t="s">
        <v>19</v>
      </c>
      <c r="F10" s="26">
        <v>0</v>
      </c>
      <c r="G10" s="26">
        <f t="shared" si="0"/>
        <v>0</v>
      </c>
      <c r="H10" s="26">
        <f t="shared" si="1"/>
        <v>15.774999999999999</v>
      </c>
      <c r="I10" s="27">
        <f t="shared" si="2"/>
        <v>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x14ac:dyDescent="0.25">
      <c r="A11" s="26" t="s">
        <v>205</v>
      </c>
      <c r="B11" s="26" t="s">
        <v>206</v>
      </c>
      <c r="C11" s="24" t="s">
        <v>19</v>
      </c>
      <c r="D11" s="24">
        <v>0</v>
      </c>
      <c r="E11" s="24" t="s">
        <v>19</v>
      </c>
      <c r="F11" s="26">
        <v>0</v>
      </c>
      <c r="G11" s="26">
        <f t="shared" si="0"/>
        <v>0</v>
      </c>
      <c r="H11" s="26">
        <f t="shared" si="1"/>
        <v>15.774999999999999</v>
      </c>
      <c r="I11" s="27">
        <f t="shared" si="2"/>
        <v>0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x14ac:dyDescent="0.25">
      <c r="A12" s="26" t="s">
        <v>207</v>
      </c>
      <c r="B12" s="26" t="s">
        <v>208</v>
      </c>
      <c r="C12" s="24">
        <v>3</v>
      </c>
      <c r="D12" s="24">
        <v>3</v>
      </c>
      <c r="E12" s="24">
        <v>2.5</v>
      </c>
      <c r="F12" s="26">
        <v>1</v>
      </c>
      <c r="G12" s="26">
        <f t="shared" si="0"/>
        <v>3</v>
      </c>
      <c r="H12" s="26">
        <f t="shared" si="1"/>
        <v>15.774999999999999</v>
      </c>
      <c r="I12" s="27">
        <f t="shared" si="2"/>
        <v>0.19017432646592711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x14ac:dyDescent="0.25">
      <c r="A14" s="26" t="s">
        <v>209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x14ac:dyDescent="0.25">
      <c r="A15" s="26" t="s">
        <v>210</v>
      </c>
      <c r="B15" s="26" t="s">
        <v>211</v>
      </c>
      <c r="C15" s="24">
        <v>0.09</v>
      </c>
      <c r="D15" s="24"/>
      <c r="E15" s="24" t="s">
        <v>19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x14ac:dyDescent="0.25">
      <c r="A16" s="26" t="s">
        <v>212</v>
      </c>
      <c r="B16" s="26" t="s">
        <v>213</v>
      </c>
      <c r="C16" s="24">
        <v>0.46</v>
      </c>
      <c r="D16" s="24"/>
      <c r="E16" s="24" t="s">
        <v>19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x14ac:dyDescent="0.25">
      <c r="A17" s="26" t="s">
        <v>214</v>
      </c>
      <c r="B17" s="26" t="s">
        <v>215</v>
      </c>
      <c r="C17" s="24">
        <v>0.05</v>
      </c>
      <c r="D17" s="24"/>
      <c r="E17" s="24">
        <v>0.6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x14ac:dyDescent="0.25">
      <c r="A18" s="26" t="s">
        <v>216</v>
      </c>
      <c r="B18" s="26" t="s">
        <v>217</v>
      </c>
      <c r="C18" s="24">
        <v>1.3</v>
      </c>
      <c r="D18" s="24"/>
      <c r="E18" s="24" t="s">
        <v>19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x14ac:dyDescent="0.25">
      <c r="A19" s="26" t="s">
        <v>218</v>
      </c>
      <c r="B19" s="26" t="s">
        <v>219</v>
      </c>
      <c r="C19" s="24" t="s">
        <v>220</v>
      </c>
      <c r="D19" s="24"/>
      <c r="E19" s="24" t="s">
        <v>19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x14ac:dyDescent="0.25">
      <c r="A20" s="26" t="s">
        <v>221</v>
      </c>
      <c r="B20" s="26" t="s">
        <v>222</v>
      </c>
      <c r="C20" s="24" t="s">
        <v>223</v>
      </c>
      <c r="D20" s="24"/>
      <c r="E20" s="24">
        <v>4.8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x14ac:dyDescent="0.25">
      <c r="A21" s="26" t="s">
        <v>224</v>
      </c>
      <c r="B21" s="26" t="s">
        <v>225</v>
      </c>
      <c r="C21" s="24">
        <v>1.9</v>
      </c>
      <c r="D21" s="24"/>
      <c r="E21" s="24" t="s">
        <v>19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x14ac:dyDescent="0.25">
      <c r="A22" s="26" t="s">
        <v>226</v>
      </c>
      <c r="B22" s="26" t="s">
        <v>227</v>
      </c>
      <c r="C22" s="24" t="s">
        <v>19</v>
      </c>
      <c r="D22" s="24"/>
      <c r="E22" s="24" t="s">
        <v>19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x14ac:dyDescent="0.25">
      <c r="A23" s="26" t="s">
        <v>228</v>
      </c>
      <c r="B23" s="26" t="s">
        <v>227</v>
      </c>
      <c r="C23" s="24" t="s">
        <v>19</v>
      </c>
      <c r="D23" s="24"/>
      <c r="E23" s="24" t="s">
        <v>19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x14ac:dyDescent="0.25">
      <c r="A24" s="26" t="s">
        <v>229</v>
      </c>
      <c r="B24" s="26" t="s">
        <v>227</v>
      </c>
      <c r="C24" s="24" t="s">
        <v>19</v>
      </c>
      <c r="D24" s="24"/>
      <c r="E24" s="24" t="s">
        <v>19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x14ac:dyDescent="0.25">
      <c r="A25" s="26" t="s">
        <v>230</v>
      </c>
      <c r="B25" s="26" t="s">
        <v>227</v>
      </c>
      <c r="C25" s="24" t="s">
        <v>19</v>
      </c>
      <c r="D25" s="24"/>
      <c r="E25" s="24" t="s">
        <v>19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x14ac:dyDescent="0.25">
      <c r="A26" s="26" t="s">
        <v>231</v>
      </c>
      <c r="B26" s="26" t="s">
        <v>227</v>
      </c>
      <c r="C26" s="24" t="s">
        <v>19</v>
      </c>
      <c r="D26" s="24"/>
      <c r="E26" s="24" t="s">
        <v>19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x14ac:dyDescent="0.25">
      <c r="A27" s="26" t="s">
        <v>232</v>
      </c>
      <c r="B27" s="26" t="s">
        <v>227</v>
      </c>
      <c r="C27" s="24" t="s">
        <v>19</v>
      </c>
      <c r="D27" s="24"/>
      <c r="E27" s="24" t="s">
        <v>19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25">
      <c r="A28" s="26" t="s">
        <v>233</v>
      </c>
      <c r="B28" s="26" t="s">
        <v>227</v>
      </c>
      <c r="C28" s="24" t="s">
        <v>19</v>
      </c>
      <c r="D28" s="24"/>
      <c r="E28" s="24" t="s">
        <v>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x14ac:dyDescent="0.25">
      <c r="A29" s="26" t="s">
        <v>234</v>
      </c>
      <c r="B29" s="26" t="s">
        <v>227</v>
      </c>
      <c r="C29" s="24" t="s">
        <v>19</v>
      </c>
      <c r="D29" s="24"/>
      <c r="E29" s="24" t="s">
        <v>19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x14ac:dyDescent="0.25">
      <c r="A30" s="26" t="s">
        <v>235</v>
      </c>
      <c r="B30" s="26" t="s">
        <v>227</v>
      </c>
      <c r="C30" s="24" t="s">
        <v>19</v>
      </c>
      <c r="D30" s="24"/>
      <c r="E30" s="24" t="s">
        <v>19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 x14ac:dyDescent="0.25">
      <c r="A31" s="26" t="s">
        <v>236</v>
      </c>
      <c r="B31" s="26" t="s">
        <v>227</v>
      </c>
      <c r="C31" s="24" t="s">
        <v>19</v>
      </c>
      <c r="D31" s="24"/>
      <c r="E31" s="24" t="s">
        <v>19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 x14ac:dyDescent="0.25">
      <c r="A32" s="26" t="s">
        <v>237</v>
      </c>
      <c r="B32" s="26" t="s">
        <v>227</v>
      </c>
      <c r="C32" s="24" t="s">
        <v>19</v>
      </c>
      <c r="D32" s="24"/>
      <c r="E32" s="24" t="s">
        <v>19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x14ac:dyDescent="0.25">
      <c r="A33" s="26" t="s">
        <v>238</v>
      </c>
      <c r="B33" s="26" t="s">
        <v>227</v>
      </c>
      <c r="C33" s="24" t="s">
        <v>19</v>
      </c>
      <c r="D33" s="24"/>
      <c r="E33" s="24" t="s">
        <v>19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x14ac:dyDescent="0.25">
      <c r="A34" s="26" t="s">
        <v>239</v>
      </c>
      <c r="B34" s="26" t="s">
        <v>227</v>
      </c>
      <c r="C34" s="24" t="s">
        <v>19</v>
      </c>
      <c r="D34" s="24"/>
      <c r="E34" s="24" t="s">
        <v>19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x14ac:dyDescent="0.25">
      <c r="A35" s="26" t="s">
        <v>240</v>
      </c>
      <c r="B35" s="26" t="s">
        <v>227</v>
      </c>
      <c r="C35" s="24" t="s">
        <v>19</v>
      </c>
      <c r="D35" s="24"/>
      <c r="E35" s="24" t="s">
        <v>19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 x14ac:dyDescent="0.25">
      <c r="A36" s="26" t="s">
        <v>241</v>
      </c>
      <c r="B36" s="26" t="s">
        <v>227</v>
      </c>
      <c r="C36" s="24" t="s">
        <v>19</v>
      </c>
      <c r="D36" s="24"/>
      <c r="E36" s="24" t="s">
        <v>19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 x14ac:dyDescent="0.25">
      <c r="A38" s="26" t="s">
        <v>242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 x14ac:dyDescent="0.25">
      <c r="A39" s="26" t="s">
        <v>243</v>
      </c>
      <c r="B39" s="26" t="s">
        <v>244</v>
      </c>
      <c r="C39" s="24">
        <v>5</v>
      </c>
      <c r="D39" s="24"/>
      <c r="E39" s="24">
        <v>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 x14ac:dyDescent="0.25">
      <c r="A40" s="26"/>
      <c r="B40" s="26"/>
      <c r="C40" s="24"/>
      <c r="D40" s="24"/>
      <c r="E40" s="24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 x14ac:dyDescent="0.25">
      <c r="A41" s="26" t="s">
        <v>245</v>
      </c>
      <c r="B41" s="26"/>
      <c r="C41" s="24"/>
      <c r="D41" s="24"/>
      <c r="E41" s="24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 x14ac:dyDescent="0.25">
      <c r="A42" s="26" t="s">
        <v>246</v>
      </c>
      <c r="B42" s="26" t="s">
        <v>247</v>
      </c>
      <c r="C42" s="24">
        <v>33</v>
      </c>
      <c r="D42" s="24"/>
      <c r="E42" s="24">
        <v>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 x14ac:dyDescent="0.25">
      <c r="A43" s="26" t="s">
        <v>248</v>
      </c>
      <c r="B43" s="26" t="s">
        <v>249</v>
      </c>
      <c r="C43" s="24">
        <v>1.3</v>
      </c>
      <c r="D43" s="24"/>
      <c r="E43" s="24" t="s">
        <v>19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x14ac:dyDescent="0.25">
      <c r="A45" s="26" t="s">
        <v>250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x14ac:dyDescent="0.25">
      <c r="A46" s="26" t="s">
        <v>251</v>
      </c>
      <c r="B46" s="26" t="s">
        <v>252</v>
      </c>
      <c r="C46" s="24" t="s">
        <v>19</v>
      </c>
      <c r="D46" s="24"/>
      <c r="E46" s="24">
        <v>5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x14ac:dyDescent="0.25">
      <c r="A47" s="26" t="s">
        <v>253</v>
      </c>
      <c r="B47" s="26" t="s">
        <v>19</v>
      </c>
      <c r="C47" s="24" t="s">
        <v>19</v>
      </c>
      <c r="D47" s="24"/>
      <c r="E47" s="24" t="s">
        <v>19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x14ac:dyDescent="0.25">
      <c r="A48" s="26" t="s">
        <v>254</v>
      </c>
      <c r="B48" s="26" t="s">
        <v>255</v>
      </c>
      <c r="C48" s="24" t="s">
        <v>19</v>
      </c>
      <c r="D48" s="24"/>
      <c r="E48" s="24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x14ac:dyDescent="0.25">
      <c r="A49" s="26" t="s">
        <v>256</v>
      </c>
      <c r="B49" s="26" t="s">
        <v>257</v>
      </c>
      <c r="C49" s="24">
        <v>7.5</v>
      </c>
      <c r="D49" s="24"/>
      <c r="E49" s="24">
        <v>0.3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x14ac:dyDescent="0.25">
      <c r="A50" s="26" t="s">
        <v>258</v>
      </c>
      <c r="B50" s="26" t="s">
        <v>259</v>
      </c>
      <c r="C50" s="24">
        <v>1.35</v>
      </c>
      <c r="D50" s="24"/>
      <c r="E50" s="24">
        <v>0.05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x14ac:dyDescent="0.25">
      <c r="A51" s="26" t="s">
        <v>260</v>
      </c>
      <c r="B51" s="26" t="s">
        <v>261</v>
      </c>
      <c r="C51" s="24">
        <v>1.5</v>
      </c>
      <c r="D51" s="24"/>
      <c r="E51" s="24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x14ac:dyDescent="0.25">
      <c r="A52" s="26" t="s">
        <v>262</v>
      </c>
      <c r="B52" s="1" t="s">
        <v>19</v>
      </c>
      <c r="C52" s="24" t="s">
        <v>19</v>
      </c>
      <c r="D52" s="24"/>
      <c r="E52" s="24" t="s">
        <v>19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x14ac:dyDescent="0.25">
      <c r="A53" s="26" t="s">
        <v>263</v>
      </c>
      <c r="B53" s="26" t="s">
        <v>264</v>
      </c>
      <c r="C53" s="24" t="s">
        <v>19</v>
      </c>
      <c r="D53" s="24"/>
      <c r="E53" s="24" t="s">
        <v>19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x14ac:dyDescent="0.25">
      <c r="A54" s="26" t="s">
        <v>265</v>
      </c>
      <c r="B54" s="26" t="s">
        <v>264</v>
      </c>
      <c r="C54" s="24"/>
      <c r="D54" s="24"/>
      <c r="E54" s="24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x14ac:dyDescent="0.25">
      <c r="A55" s="26" t="s">
        <v>266</v>
      </c>
      <c r="B55" s="26" t="s">
        <v>267</v>
      </c>
      <c r="C55" s="24" t="s">
        <v>268</v>
      </c>
      <c r="D55" s="24"/>
      <c r="E55" s="24">
        <v>37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x14ac:dyDescent="0.25">
      <c r="A56" s="26" t="s">
        <v>269</v>
      </c>
      <c r="B56" s="26" t="s">
        <v>270</v>
      </c>
      <c r="C56" s="24" t="s">
        <v>271</v>
      </c>
      <c r="D56" s="24"/>
      <c r="E56" s="24">
        <v>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x14ac:dyDescent="0.25">
      <c r="A57" s="26" t="s">
        <v>272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x14ac:dyDescent="0.25">
      <c r="A58" s="26" t="s">
        <v>273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x14ac:dyDescent="0.25">
      <c r="A59" s="26" t="s">
        <v>274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x14ac:dyDescent="0.25">
      <c r="A60" s="26" t="s">
        <v>275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x14ac:dyDescent="0.25">
      <c r="A61" s="26" t="s">
        <v>276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x14ac:dyDescent="0.25">
      <c r="A62" s="26" t="s">
        <v>277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x14ac:dyDescent="0.25">
      <c r="A63" s="26" t="s">
        <v>278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x14ac:dyDescent="0.25">
      <c r="A64" s="26" t="s">
        <v>279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x14ac:dyDescent="0.25">
      <c r="A65" s="26" t="s">
        <v>280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x14ac:dyDescent="0.25">
      <c r="A66" s="26" t="s">
        <v>281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x14ac:dyDescent="0.25">
      <c r="A67" s="26" t="s">
        <v>282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x14ac:dyDescent="0.25">
      <c r="A69" s="26" t="s">
        <v>283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x14ac:dyDescent="0.25">
      <c r="A70" s="26" t="s">
        <v>284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x14ac:dyDescent="0.25">
      <c r="A71" s="26" t="s">
        <v>285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x14ac:dyDescent="0.25">
      <c r="A72" s="26" t="s">
        <v>286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x14ac:dyDescent="0.25">
      <c r="A73" s="26" t="s">
        <v>287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x14ac:dyDescent="0.25">
      <c r="A74" s="26" t="s">
        <v>288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x14ac:dyDescent="0.25">
      <c r="A75" s="26" t="s">
        <v>289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x14ac:dyDescent="0.25">
      <c r="A76" s="26" t="s">
        <v>290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x14ac:dyDescent="0.25">
      <c r="A77" s="26" t="s">
        <v>291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x14ac:dyDescent="0.25">
      <c r="A78" s="26" t="s">
        <v>292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x14ac:dyDescent="0.25">
      <c r="A79" s="26" t="s">
        <v>293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x14ac:dyDescent="0.25">
      <c r="A80" s="26" t="s">
        <v>294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x14ac:dyDescent="0.25">
      <c r="A81" s="26" t="s">
        <v>295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x14ac:dyDescent="0.25">
      <c r="A82" s="26" t="s">
        <v>296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x14ac:dyDescent="0.25">
      <c r="A83" s="26" t="s">
        <v>297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x14ac:dyDescent="0.25">
      <c r="A84" s="26" t="s">
        <v>298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x14ac:dyDescent="0.25">
      <c r="A85" s="26" t="s">
        <v>299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x14ac:dyDescent="0.25">
      <c r="A86" s="26" t="s">
        <v>300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x14ac:dyDescent="0.25">
      <c r="A87" s="26" t="s">
        <v>301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x14ac:dyDescent="0.25">
      <c r="A88" s="26" t="s">
        <v>302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x14ac:dyDescent="0.25">
      <c r="A89" s="26" t="s">
        <v>303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1:27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1:27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spans="1:27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spans="1:27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C224"/>
  <sheetViews>
    <sheetView showGridLines="0" topLeftCell="A94" workbookViewId="0">
      <selection activeCell="E104" sqref="E104"/>
    </sheetView>
  </sheetViews>
  <sheetFormatPr defaultColWidth="12.6640625" defaultRowHeight="15.75" customHeight="1" x14ac:dyDescent="0.25"/>
  <cols>
    <col min="7" max="7" width="16.44140625" customWidth="1"/>
    <col min="14" max="14" width="6.44140625" customWidth="1"/>
    <col min="15" max="15" width="16.44140625" customWidth="1"/>
    <col min="22" max="22" width="1.88671875" customWidth="1"/>
    <col min="23" max="23" width="16.44140625" customWidth="1"/>
  </cols>
  <sheetData>
    <row r="1" spans="1:13" x14ac:dyDescent="0.25">
      <c r="A1" s="1"/>
      <c r="B1" s="2"/>
      <c r="C1" s="1"/>
      <c r="H1" s="51" t="s">
        <v>304</v>
      </c>
      <c r="I1" s="49"/>
      <c r="J1" s="49"/>
      <c r="K1" s="49"/>
      <c r="L1" s="49"/>
      <c r="M1" s="50"/>
    </row>
    <row r="2" spans="1:13" x14ac:dyDescent="0.25">
      <c r="A2" s="1" t="s">
        <v>4</v>
      </c>
      <c r="B2" s="2">
        <v>0.1</v>
      </c>
      <c r="C2" s="1" t="s">
        <v>5</v>
      </c>
      <c r="H2" s="17">
        <v>2025</v>
      </c>
      <c r="I2" s="17">
        <v>2026</v>
      </c>
      <c r="J2" s="17">
        <v>2027</v>
      </c>
      <c r="K2" s="17">
        <v>2028</v>
      </c>
      <c r="L2" s="17">
        <v>2029</v>
      </c>
      <c r="M2" s="17">
        <v>2030</v>
      </c>
    </row>
    <row r="3" spans="1:13" ht="15.75" customHeight="1" x14ac:dyDescent="0.3">
      <c r="A3" s="1" t="s">
        <v>8</v>
      </c>
      <c r="B3" s="2">
        <v>15</v>
      </c>
      <c r="C3" s="1" t="s">
        <v>5</v>
      </c>
      <c r="G3" s="15" t="s">
        <v>305</v>
      </c>
      <c r="H3" s="19">
        <v>1252184.659</v>
      </c>
      <c r="I3" s="19">
        <v>1242492.4029999999</v>
      </c>
      <c r="J3" s="19">
        <v>1239475.497</v>
      </c>
      <c r="K3" s="19">
        <v>1238880.071</v>
      </c>
      <c r="L3" s="19">
        <v>1238802.736</v>
      </c>
      <c r="M3" s="19">
        <v>1238796.014</v>
      </c>
    </row>
    <row r="4" spans="1:13" ht="15.75" customHeight="1" x14ac:dyDescent="0.3">
      <c r="A4" s="1" t="s">
        <v>11</v>
      </c>
      <c r="B4" s="2">
        <v>7.38</v>
      </c>
      <c r="C4" s="1" t="s">
        <v>5</v>
      </c>
      <c r="G4" s="15" t="s">
        <v>306</v>
      </c>
      <c r="H4" s="19">
        <v>1519019.851</v>
      </c>
      <c r="I4" s="19">
        <v>1519730.0330000001</v>
      </c>
      <c r="J4" s="19">
        <v>1519924.6569999999</v>
      </c>
      <c r="K4" s="19">
        <v>1519972.28</v>
      </c>
      <c r="L4" s="19">
        <v>1519982.635</v>
      </c>
      <c r="M4" s="19">
        <v>1519984.615</v>
      </c>
    </row>
    <row r="5" spans="1:13" ht="15.75" customHeight="1" x14ac:dyDescent="0.3">
      <c r="A5" s="1" t="s">
        <v>18</v>
      </c>
      <c r="B5" s="2">
        <v>4</v>
      </c>
      <c r="C5" s="4" t="s">
        <v>19</v>
      </c>
      <c r="G5" s="15" t="s">
        <v>307</v>
      </c>
      <c r="H5" s="19">
        <v>13340974.68</v>
      </c>
      <c r="I5" s="19">
        <v>13317894.4</v>
      </c>
      <c r="J5" s="19">
        <v>13317618.09</v>
      </c>
      <c r="K5" s="19">
        <v>13319518.810000001</v>
      </c>
      <c r="L5" s="19">
        <v>13319376.18</v>
      </c>
      <c r="M5" s="19">
        <v>13318683.390000001</v>
      </c>
    </row>
    <row r="6" spans="1:13" ht="15.75" customHeight="1" x14ac:dyDescent="0.3">
      <c r="A6" s="1" t="s">
        <v>27</v>
      </c>
      <c r="B6" s="2">
        <v>44.01</v>
      </c>
      <c r="C6" s="1" t="s">
        <v>28</v>
      </c>
      <c r="G6" s="15" t="s">
        <v>308</v>
      </c>
      <c r="H6" s="19">
        <v>2074743.226</v>
      </c>
      <c r="I6" s="19">
        <v>1921092.9890000001</v>
      </c>
      <c r="J6" s="19">
        <v>1776351.196</v>
      </c>
      <c r="K6" s="19">
        <v>1657053.206</v>
      </c>
      <c r="L6" s="19">
        <v>1569027.716</v>
      </c>
      <c r="M6" s="19">
        <v>1510201.067</v>
      </c>
    </row>
    <row r="7" spans="1:13" ht="15.75" customHeight="1" x14ac:dyDescent="0.3">
      <c r="A7" s="1" t="s">
        <v>36</v>
      </c>
      <c r="B7" s="2">
        <v>8.3140000000000001</v>
      </c>
      <c r="C7" s="1" t="s">
        <v>37</v>
      </c>
      <c r="G7" s="15" t="s">
        <v>309</v>
      </c>
      <c r="H7" s="19">
        <v>18060260.719999999</v>
      </c>
      <c r="I7" s="19">
        <v>17756772.359999999</v>
      </c>
      <c r="J7" s="19">
        <v>17540633.699999999</v>
      </c>
      <c r="K7" s="19">
        <v>17448468.670000002</v>
      </c>
      <c r="L7" s="19">
        <v>17423023.75</v>
      </c>
      <c r="M7" s="19">
        <v>17418340.030000001</v>
      </c>
    </row>
    <row r="8" spans="1:13" ht="15.75" customHeight="1" x14ac:dyDescent="0.3">
      <c r="A8" s="1" t="s">
        <v>44</v>
      </c>
      <c r="B8" s="2">
        <v>313.14999999999998</v>
      </c>
      <c r="C8" s="1" t="s">
        <v>45</v>
      </c>
      <c r="G8" s="15" t="s">
        <v>310</v>
      </c>
      <c r="H8" s="19">
        <v>9801580.5170000009</v>
      </c>
      <c r="I8" s="19">
        <v>9772826.2039999999</v>
      </c>
      <c r="J8" s="19">
        <v>9788235.1209999993</v>
      </c>
      <c r="K8" s="19">
        <v>9823698.5</v>
      </c>
      <c r="L8" s="19">
        <v>9856964.2770000007</v>
      </c>
      <c r="M8" s="19">
        <v>9878515.7060000002</v>
      </c>
    </row>
    <row r="9" spans="1:13" x14ac:dyDescent="0.25">
      <c r="A9" s="1" t="s">
        <v>47</v>
      </c>
      <c r="B9" s="2">
        <v>0.82</v>
      </c>
      <c r="C9" s="4" t="s">
        <v>19</v>
      </c>
    </row>
    <row r="10" spans="1:13" x14ac:dyDescent="0.25">
      <c r="A10" s="1" t="s">
        <v>50</v>
      </c>
      <c r="B10" s="2">
        <v>25000</v>
      </c>
      <c r="H10" s="51" t="s">
        <v>311</v>
      </c>
      <c r="I10" s="49"/>
      <c r="J10" s="49"/>
      <c r="K10" s="49"/>
      <c r="L10" s="49"/>
      <c r="M10" s="50"/>
    </row>
    <row r="11" spans="1:13" x14ac:dyDescent="0.25">
      <c r="A11" s="1" t="s">
        <v>51</v>
      </c>
      <c r="B11" s="2">
        <v>630</v>
      </c>
      <c r="H11" s="17">
        <v>2025</v>
      </c>
      <c r="I11" s="17">
        <v>2026</v>
      </c>
      <c r="J11" s="17">
        <v>2027</v>
      </c>
      <c r="K11" s="17">
        <v>2028</v>
      </c>
      <c r="L11" s="17">
        <v>2029</v>
      </c>
      <c r="M11" s="17">
        <v>2030</v>
      </c>
    </row>
    <row r="12" spans="1:13" ht="15.75" customHeight="1" x14ac:dyDescent="0.3">
      <c r="A12" s="1" t="s">
        <v>52</v>
      </c>
      <c r="B12" s="2">
        <v>0.75</v>
      </c>
      <c r="E12" s="1">
        <v>356</v>
      </c>
      <c r="G12" s="15" t="s">
        <v>312</v>
      </c>
      <c r="H12" s="20">
        <v>1.3209801979414839</v>
      </c>
      <c r="I12" s="20">
        <v>1.300378776602809</v>
      </c>
      <c r="J12" s="20">
        <v>1.280098645895011</v>
      </c>
      <c r="K12" s="20">
        <v>1.260134795111898</v>
      </c>
      <c r="L12" s="20">
        <v>1.2404822916920279</v>
      </c>
      <c r="M12" s="20">
        <v>1.2211362800000001</v>
      </c>
    </row>
    <row r="13" spans="1:13" ht="15.75" customHeight="1" x14ac:dyDescent="0.3">
      <c r="G13" s="15" t="s">
        <v>313</v>
      </c>
      <c r="H13" s="20">
        <v>1.554675873546904</v>
      </c>
      <c r="I13" s="20">
        <v>1.530429838090867</v>
      </c>
      <c r="J13" s="20">
        <v>1.506561933051167</v>
      </c>
      <c r="K13" s="20">
        <v>1.4830662612735259</v>
      </c>
      <c r="L13" s="20">
        <v>1.4599370175730659</v>
      </c>
      <c r="M13" s="20">
        <v>1.4371684872999999</v>
      </c>
    </row>
    <row r="14" spans="1:13" ht="15.75" customHeight="1" x14ac:dyDescent="0.3">
      <c r="A14" s="1" t="s">
        <v>54</v>
      </c>
      <c r="G14" s="15" t="s">
        <v>314</v>
      </c>
      <c r="H14" s="20">
        <v>13.30267878641728</v>
      </c>
      <c r="I14" s="20">
        <v>13.09521610753753</v>
      </c>
      <c r="J14" s="20">
        <v>12.890988924592021</v>
      </c>
      <c r="K14" s="20">
        <v>12.68994677822104</v>
      </c>
      <c r="L14" s="20">
        <v>12.492039996006669</v>
      </c>
      <c r="M14" s="20">
        <v>12.2972196802</v>
      </c>
    </row>
    <row r="15" spans="1:13" ht="15.75" customHeight="1" x14ac:dyDescent="0.3">
      <c r="A15" s="1" t="s">
        <v>58</v>
      </c>
      <c r="B15" s="7">
        <f>(B4/B2)^(1/B5)</f>
        <v>2.9309883380808275</v>
      </c>
      <c r="G15" s="15" t="s">
        <v>315</v>
      </c>
      <c r="H15" s="20">
        <v>2.2483675915136541</v>
      </c>
      <c r="I15" s="20">
        <v>2.2133030476626741</v>
      </c>
      <c r="J15" s="20">
        <v>2.1787853548871658</v>
      </c>
      <c r="K15" s="20">
        <v>2.1448059847402758</v>
      </c>
      <c r="L15" s="20">
        <v>2.1113565417810229</v>
      </c>
      <c r="M15" s="20">
        <v>2.0784287615000001</v>
      </c>
    </row>
    <row r="16" spans="1:13" ht="15.75" customHeight="1" x14ac:dyDescent="0.3">
      <c r="A16" s="1"/>
      <c r="G16" s="15" t="s">
        <v>316</v>
      </c>
      <c r="H16" s="20">
        <v>23.264297643018619</v>
      </c>
      <c r="I16" s="20">
        <v>22.901477974230961</v>
      </c>
      <c r="J16" s="20">
        <v>22.544316680094418</v>
      </c>
      <c r="K16" s="20">
        <v>22.192725515107309</v>
      </c>
      <c r="L16" s="20">
        <v>21.846617610005651</v>
      </c>
      <c r="M16" s="20">
        <v>21.505907450300001</v>
      </c>
    </row>
    <row r="17" spans="1:13" ht="15.75" customHeight="1" x14ac:dyDescent="0.3">
      <c r="B17" s="1" t="s">
        <v>61</v>
      </c>
      <c r="C17" s="5">
        <f>(1000/(24*3600))*($B$10*C18*$B$7*$B$8/($B$6*$B$9))*(C19/(C19-1))*($B$15^(((C19-1)/C19))-1)</f>
        <v>25123.83279465956</v>
      </c>
      <c r="D17" s="8">
        <f>((22.26+((5.981*10^-2)*$E$12)+((-3.501*10^-5)*$E$12^2)+((7.469*10^-9)*$E$12^3))/44.01)/D18</f>
        <v>1.2670022094930111</v>
      </c>
      <c r="G17" s="15" t="s">
        <v>317</v>
      </c>
      <c r="H17" s="20">
        <v>8.8010837167810383</v>
      </c>
      <c r="I17" s="20">
        <v>8.6638259182395387</v>
      </c>
      <c r="J17" s="20">
        <v>8.5287087314529924</v>
      </c>
      <c r="K17" s="20">
        <v>8.3956987723897871</v>
      </c>
      <c r="L17" s="20">
        <v>8.2647631776608605</v>
      </c>
      <c r="M17" s="20">
        <v>8.1358695963999992</v>
      </c>
    </row>
    <row r="18" spans="1:13" x14ac:dyDescent="0.25">
      <c r="B18" s="1" t="s">
        <v>63</v>
      </c>
      <c r="C18" s="1">
        <v>0.995</v>
      </c>
      <c r="D18" s="1">
        <f>((22.26+((5.981*10^-2)*$E$12)+((-3.501*10^-5)*$E$12^2)+((7.469*10^-9)*$E$12^3))/44.01)-(8.314/44.01)</f>
        <v>0.70752826860949791</v>
      </c>
    </row>
    <row r="19" spans="1:13" x14ac:dyDescent="0.25">
      <c r="A19" s="9">
        <v>1.2769999999999999</v>
      </c>
      <c r="B19" s="1" t="s">
        <v>64</v>
      </c>
      <c r="C19" s="8">
        <f>D17/C18</f>
        <v>1.2733690547668453</v>
      </c>
      <c r="D19" s="8">
        <f>D17/C18</f>
        <v>1.2733690547668453</v>
      </c>
      <c r="H19" s="51" t="s">
        <v>318</v>
      </c>
      <c r="I19" s="49"/>
      <c r="J19" s="49"/>
      <c r="K19" s="49"/>
      <c r="L19" s="49"/>
      <c r="M19" s="50"/>
    </row>
    <row r="20" spans="1:13" x14ac:dyDescent="0.25">
      <c r="H20" s="17">
        <v>2025</v>
      </c>
      <c r="I20" s="17">
        <v>2026</v>
      </c>
      <c r="J20" s="17">
        <v>2027</v>
      </c>
      <c r="K20" s="17">
        <v>2028</v>
      </c>
      <c r="L20" s="17">
        <v>2029</v>
      </c>
      <c r="M20" s="17">
        <v>2030</v>
      </c>
    </row>
    <row r="21" spans="1:13" ht="15.75" customHeight="1" x14ac:dyDescent="0.3">
      <c r="B21" s="1" t="s">
        <v>65</v>
      </c>
      <c r="C21" s="5">
        <f>(1000/(24*3600))*($B$10*C22*$B$7*$B$8/($B$6*$B$9))*(C23/(C23-1))*($B$15^(((C23-1)/C23))-1)</f>
        <v>24995.58089898419</v>
      </c>
      <c r="D21" s="8">
        <f>((22.26+((5.981*10^-2)*$E$12)+((-3.501*10^-5)*$E$12^2)+((7.469*10^-9)*$E$12^3))/44.01)/D22</f>
        <v>1.2670022094930111</v>
      </c>
      <c r="G21" s="15" t="s">
        <v>312</v>
      </c>
      <c r="H21" s="19">
        <f t="shared" ref="H21:M21" si="0">H12*10^6</f>
        <v>1320980.1979414839</v>
      </c>
      <c r="I21" s="19">
        <f t="shared" si="0"/>
        <v>1300378.7766028091</v>
      </c>
      <c r="J21" s="19">
        <f t="shared" si="0"/>
        <v>1280098.645895011</v>
      </c>
      <c r="K21" s="19">
        <f t="shared" si="0"/>
        <v>1260134.7951118979</v>
      </c>
      <c r="L21" s="19">
        <f t="shared" si="0"/>
        <v>1240482.2916920281</v>
      </c>
      <c r="M21" s="19">
        <f t="shared" si="0"/>
        <v>1221136.28</v>
      </c>
    </row>
    <row r="22" spans="1:13" ht="15.75" customHeight="1" x14ac:dyDescent="0.3">
      <c r="B22" s="1" t="s">
        <v>63</v>
      </c>
      <c r="C22" s="1">
        <v>0.98599999999999999</v>
      </c>
      <c r="D22" s="1">
        <f>((22.26+((5.981*10^-2)*$E$12)+((-3.501*10^-5)*$E$12^2)+((7.469*10^-9)*$E$12^3))/44.01)-(8.314/44.01)</f>
        <v>0.70752826860949791</v>
      </c>
      <c r="G22" s="15" t="s">
        <v>313</v>
      </c>
      <c r="H22" s="19">
        <f t="shared" ref="H22:M22" si="1">H13*10^6</f>
        <v>1554675.873546904</v>
      </c>
      <c r="I22" s="19">
        <f t="shared" si="1"/>
        <v>1530429.838090867</v>
      </c>
      <c r="J22" s="19">
        <f t="shared" si="1"/>
        <v>1506561.9330511671</v>
      </c>
      <c r="K22" s="19">
        <f t="shared" si="1"/>
        <v>1483066.2612735259</v>
      </c>
      <c r="L22" s="19">
        <f t="shared" si="1"/>
        <v>1459937.0175730658</v>
      </c>
      <c r="M22" s="19">
        <f t="shared" si="1"/>
        <v>1437168.4872999999</v>
      </c>
    </row>
    <row r="23" spans="1:13" ht="15.75" customHeight="1" x14ac:dyDescent="0.3">
      <c r="A23" s="9">
        <v>1.286</v>
      </c>
      <c r="B23" s="1" t="s">
        <v>64</v>
      </c>
      <c r="C23" s="8">
        <f>D21/C22</f>
        <v>1.2849920988772932</v>
      </c>
      <c r="D23" s="8">
        <f>D21/C22</f>
        <v>1.2849920988772932</v>
      </c>
      <c r="G23" s="15" t="s">
        <v>314</v>
      </c>
      <c r="H23" s="19">
        <f t="shared" ref="H23:M23" si="2">H14*10^6</f>
        <v>13302678.786417279</v>
      </c>
      <c r="I23" s="19">
        <f t="shared" si="2"/>
        <v>13095216.10753753</v>
      </c>
      <c r="J23" s="19">
        <f t="shared" si="2"/>
        <v>12890988.92459202</v>
      </c>
      <c r="K23" s="19">
        <f t="shared" si="2"/>
        <v>12689946.778221041</v>
      </c>
      <c r="L23" s="19">
        <f t="shared" si="2"/>
        <v>12492039.996006669</v>
      </c>
      <c r="M23" s="19">
        <f t="shared" si="2"/>
        <v>12297219.680199999</v>
      </c>
    </row>
    <row r="24" spans="1:13" ht="15.75" customHeight="1" x14ac:dyDescent="0.3">
      <c r="G24" s="15" t="s">
        <v>315</v>
      </c>
      <c r="H24" s="19">
        <f t="shared" ref="H24:M24" si="3">H15*10^6</f>
        <v>2248367.5915136542</v>
      </c>
      <c r="I24" s="19">
        <f t="shared" si="3"/>
        <v>2213303.047662674</v>
      </c>
      <c r="J24" s="19">
        <f t="shared" si="3"/>
        <v>2178785.3548871661</v>
      </c>
      <c r="K24" s="19">
        <f t="shared" si="3"/>
        <v>2144805.9847402759</v>
      </c>
      <c r="L24" s="19">
        <f t="shared" si="3"/>
        <v>2111356.5417810231</v>
      </c>
      <c r="M24" s="19">
        <f t="shared" si="3"/>
        <v>2078428.7615</v>
      </c>
    </row>
    <row r="25" spans="1:13" ht="14.4" x14ac:dyDescent="0.3">
      <c r="B25" s="1" t="s">
        <v>68</v>
      </c>
      <c r="C25" s="5">
        <f>(1000/(24*3600))*($B$10*C26*$B$7*$B$8/($B$6*$B$9))*(C27/(C27-1))*($B$15^(((C27-1)/C27))-1)</f>
        <v>24603.000522556187</v>
      </c>
      <c r="D25" s="8">
        <f>((22.26+((5.981*10^-2)*$E$12)+((-3.501*10^-5)*$E$12^2)+((7.469*10^-9)*$E$12^3))/44.01)/D26</f>
        <v>1.2670022094930111</v>
      </c>
      <c r="G25" s="15" t="s">
        <v>316</v>
      </c>
      <c r="H25" s="19">
        <f t="shared" ref="H25:M25" si="4">H16*10^6</f>
        <v>23264297.643018618</v>
      </c>
      <c r="I25" s="19">
        <f t="shared" si="4"/>
        <v>22901477.97423096</v>
      </c>
      <c r="J25" s="19">
        <f t="shared" si="4"/>
        <v>22544316.680094417</v>
      </c>
      <c r="K25" s="19">
        <f t="shared" si="4"/>
        <v>22192725.515107308</v>
      </c>
      <c r="L25" s="19">
        <f t="shared" si="4"/>
        <v>21846617.610005651</v>
      </c>
      <c r="M25" s="19">
        <f t="shared" si="4"/>
        <v>21505907.450300001</v>
      </c>
    </row>
    <row r="26" spans="1:13" ht="14.4" x14ac:dyDescent="0.3">
      <c r="B26" s="1" t="s">
        <v>63</v>
      </c>
      <c r="C26" s="1">
        <v>0.95899999999999996</v>
      </c>
      <c r="D26" s="1">
        <f>((22.26+((5.981*10^-2)*$E$12)+((-3.501*10^-5)*$E$12^2)+((7.469*10^-9)*$E$12^3))/44.01)-(8.314/44.01)</f>
        <v>0.70752826860949791</v>
      </c>
      <c r="G26" s="15" t="s">
        <v>317</v>
      </c>
      <c r="H26" s="19">
        <f t="shared" ref="H26:M26" si="5">H17*10^6</f>
        <v>8801083.7167810388</v>
      </c>
      <c r="I26" s="19">
        <f t="shared" si="5"/>
        <v>8663825.9182395395</v>
      </c>
      <c r="J26" s="19">
        <f t="shared" si="5"/>
        <v>8528708.7314529922</v>
      </c>
      <c r="K26" s="19">
        <f t="shared" si="5"/>
        <v>8395698.7723897863</v>
      </c>
      <c r="L26" s="19">
        <f t="shared" si="5"/>
        <v>8264763.1776608601</v>
      </c>
      <c r="M26" s="19">
        <f t="shared" si="5"/>
        <v>8135869.5963999992</v>
      </c>
    </row>
    <row r="27" spans="1:13" ht="13.2" x14ac:dyDescent="0.25">
      <c r="A27" s="9">
        <v>1.379</v>
      </c>
      <c r="B27" s="1" t="s">
        <v>64</v>
      </c>
      <c r="C27" s="8">
        <f>D25/C26</f>
        <v>1.3211701871668522</v>
      </c>
      <c r="D27" s="8">
        <f>D25/C26</f>
        <v>1.3211701871668522</v>
      </c>
    </row>
    <row r="28" spans="1:13" ht="13.2" x14ac:dyDescent="0.25">
      <c r="H28" s="52" t="s">
        <v>319</v>
      </c>
      <c r="I28" s="49"/>
      <c r="J28" s="49"/>
      <c r="K28" s="49"/>
      <c r="L28" s="49"/>
      <c r="M28" s="50"/>
    </row>
    <row r="29" spans="1:13" ht="13.2" x14ac:dyDescent="0.25">
      <c r="B29" s="1" t="s">
        <v>69</v>
      </c>
      <c r="C29" s="5">
        <f>(1000/(24*3600))*($B$10*C30*$B$7*$B$8/($B$6*$B$9))*(C31/(C31-1))*($B$15^(((C31-1)/C31))-1)</f>
        <v>23303.649744855873</v>
      </c>
      <c r="D29" s="8">
        <f>((22.26+((5.981*10^-2)*$E$12)+((-3.501*10^-5)*$E$12^2)+((7.469*10^-9)*$E$12^3))/44.01)/D30</f>
        <v>1.2670022094930111</v>
      </c>
      <c r="H29" s="17">
        <v>2025</v>
      </c>
      <c r="I29" s="17">
        <v>2026</v>
      </c>
      <c r="J29" s="17">
        <v>2027</v>
      </c>
      <c r="K29" s="17">
        <v>2028</v>
      </c>
      <c r="L29" s="17">
        <v>2029</v>
      </c>
      <c r="M29" s="17">
        <v>2030</v>
      </c>
    </row>
    <row r="30" spans="1:13" ht="14.4" x14ac:dyDescent="0.3">
      <c r="B30" s="1" t="s">
        <v>63</v>
      </c>
      <c r="C30" s="1">
        <v>0.875</v>
      </c>
      <c r="D30" s="1">
        <f>((22.26+((5.981*10^-2)*$E$12)+((-3.501*10^-5)*$E$12^2)+((7.469*10^-9)*$E$12^3))/44.01)-(8.314/44.01)</f>
        <v>0.70752826860949791</v>
      </c>
      <c r="G30" s="15" t="s">
        <v>305</v>
      </c>
      <c r="H30" s="19">
        <f t="shared" ref="H30:M30" si="6">H3*0.76</f>
        <v>951660.34083999996</v>
      </c>
      <c r="I30" s="19">
        <f t="shared" si="6"/>
        <v>944294.22627999994</v>
      </c>
      <c r="J30" s="19">
        <f t="shared" si="6"/>
        <v>942001.37771999999</v>
      </c>
      <c r="K30" s="19">
        <f t="shared" si="6"/>
        <v>941548.85395999998</v>
      </c>
      <c r="L30" s="19">
        <f t="shared" si="6"/>
        <v>941490.07936000009</v>
      </c>
      <c r="M30" s="19">
        <f t="shared" si="6"/>
        <v>941484.97063999996</v>
      </c>
    </row>
    <row r="31" spans="1:13" ht="14.4" x14ac:dyDescent="0.3">
      <c r="A31" s="9">
        <v>1.704</v>
      </c>
      <c r="B31" s="1" t="s">
        <v>64</v>
      </c>
      <c r="C31" s="8">
        <f>D29/C30</f>
        <v>1.4480025251348698</v>
      </c>
      <c r="D31" s="8">
        <f>D29/C30</f>
        <v>1.4480025251348698</v>
      </c>
      <c r="G31" s="15" t="s">
        <v>306</v>
      </c>
      <c r="H31" s="19">
        <f t="shared" ref="H31:M31" si="7">H4*0.76</f>
        <v>1154455.0867600001</v>
      </c>
      <c r="I31" s="19">
        <f t="shared" si="7"/>
        <v>1154994.8250800001</v>
      </c>
      <c r="J31" s="19">
        <f t="shared" si="7"/>
        <v>1155142.7393199999</v>
      </c>
      <c r="K31" s="19">
        <f t="shared" si="7"/>
        <v>1155178.9328000001</v>
      </c>
      <c r="L31" s="19">
        <f t="shared" si="7"/>
        <v>1155186.8026000001</v>
      </c>
      <c r="M31" s="19">
        <f t="shared" si="7"/>
        <v>1155188.3074</v>
      </c>
    </row>
    <row r="32" spans="1:13" ht="14.4" x14ac:dyDescent="0.3">
      <c r="G32" s="15" t="s">
        <v>307</v>
      </c>
      <c r="H32" s="19">
        <f t="shared" ref="H32:M32" si="8">H5*0.76</f>
        <v>10139140.7568</v>
      </c>
      <c r="I32" s="19">
        <f t="shared" si="8"/>
        <v>10121599.744000001</v>
      </c>
      <c r="J32" s="19">
        <f t="shared" si="8"/>
        <v>10121389.748400001</v>
      </c>
      <c r="K32" s="19">
        <f t="shared" si="8"/>
        <v>10122834.295600001</v>
      </c>
      <c r="L32" s="19">
        <f t="shared" si="8"/>
        <v>10122725.8968</v>
      </c>
      <c r="M32" s="19">
        <f t="shared" si="8"/>
        <v>10122199.376400001</v>
      </c>
    </row>
    <row r="33" spans="1:15" ht="14.4" x14ac:dyDescent="0.3">
      <c r="G33" s="15" t="s">
        <v>308</v>
      </c>
      <c r="H33" s="19">
        <f t="shared" ref="H33:M33" si="9">H6*0.76</f>
        <v>1576804.85176</v>
      </c>
      <c r="I33" s="19">
        <f t="shared" si="9"/>
        <v>1460030.6716400001</v>
      </c>
      <c r="J33" s="19">
        <f t="shared" si="9"/>
        <v>1350026.9089599999</v>
      </c>
      <c r="K33" s="19">
        <f t="shared" si="9"/>
        <v>1259360.4365600001</v>
      </c>
      <c r="L33" s="19">
        <f t="shared" si="9"/>
        <v>1192461.0641600001</v>
      </c>
      <c r="M33" s="19">
        <f t="shared" si="9"/>
        <v>1147752.8109200001</v>
      </c>
    </row>
    <row r="34" spans="1:15" ht="14.4" x14ac:dyDescent="0.3">
      <c r="G34" s="15" t="s">
        <v>309</v>
      </c>
      <c r="H34" s="19">
        <f t="shared" ref="H34:M34" si="10">H7*0.76</f>
        <v>13725798.1472</v>
      </c>
      <c r="I34" s="19">
        <f t="shared" si="10"/>
        <v>13495146.9936</v>
      </c>
      <c r="J34" s="19">
        <f t="shared" si="10"/>
        <v>13330881.612</v>
      </c>
      <c r="K34" s="19">
        <f t="shared" si="10"/>
        <v>13260836.189200001</v>
      </c>
      <c r="L34" s="19">
        <f t="shared" si="10"/>
        <v>13241498.050000001</v>
      </c>
      <c r="M34" s="19">
        <f t="shared" si="10"/>
        <v>13237938.422800001</v>
      </c>
    </row>
    <row r="35" spans="1:15" ht="14.4" x14ac:dyDescent="0.3">
      <c r="A35" s="1" t="s">
        <v>67</v>
      </c>
      <c r="B35" s="1">
        <f>ROUNDUP(H48/60000,0)</f>
        <v>1</v>
      </c>
      <c r="G35" s="15" t="s">
        <v>310</v>
      </c>
      <c r="H35" s="19">
        <f t="shared" ref="H35:M35" si="11">H8*0.76</f>
        <v>7449201.1929200012</v>
      </c>
      <c r="I35" s="19">
        <f t="shared" si="11"/>
        <v>7427347.9150400003</v>
      </c>
      <c r="J35" s="19">
        <f t="shared" si="11"/>
        <v>7439058.6919599995</v>
      </c>
      <c r="K35" s="19">
        <f t="shared" si="11"/>
        <v>7466010.8600000003</v>
      </c>
      <c r="L35" s="19">
        <f t="shared" si="11"/>
        <v>7491292.8505200008</v>
      </c>
      <c r="M35" s="19">
        <f t="shared" si="11"/>
        <v>7507671.9365600003</v>
      </c>
    </row>
    <row r="37" spans="1:15" ht="13.2" x14ac:dyDescent="0.25">
      <c r="H37" s="52" t="s">
        <v>320</v>
      </c>
      <c r="I37" s="49"/>
      <c r="J37" s="49"/>
      <c r="K37" s="49"/>
      <c r="L37" s="49"/>
      <c r="M37" s="50"/>
    </row>
    <row r="38" spans="1:15" ht="13.2" x14ac:dyDescent="0.25">
      <c r="H38" s="17">
        <v>2025</v>
      </c>
      <c r="I38" s="17">
        <v>2026</v>
      </c>
      <c r="J38" s="17">
        <v>2027</v>
      </c>
      <c r="K38" s="17">
        <v>2028</v>
      </c>
      <c r="L38" s="17">
        <v>2029</v>
      </c>
      <c r="M38" s="17">
        <v>2030</v>
      </c>
    </row>
    <row r="39" spans="1:15" ht="14.4" x14ac:dyDescent="0.3">
      <c r="G39" s="15" t="s">
        <v>312</v>
      </c>
      <c r="H39" s="19">
        <f t="shared" ref="H39:M39" si="12">H21*0.76</f>
        <v>1003944.9504355278</v>
      </c>
      <c r="I39" s="19">
        <f t="shared" si="12"/>
        <v>988287.87021813495</v>
      </c>
      <c r="J39" s="19">
        <f t="shared" si="12"/>
        <v>972874.97088020842</v>
      </c>
      <c r="K39" s="19">
        <f t="shared" si="12"/>
        <v>957702.44428504235</v>
      </c>
      <c r="L39" s="19">
        <f t="shared" si="12"/>
        <v>942766.54168594128</v>
      </c>
      <c r="M39" s="19">
        <f t="shared" si="12"/>
        <v>928063.57280000008</v>
      </c>
      <c r="N39" s="13"/>
      <c r="O39" s="5"/>
    </row>
    <row r="40" spans="1:15" ht="14.4" x14ac:dyDescent="0.3">
      <c r="G40" s="15" t="s">
        <v>313</v>
      </c>
      <c r="H40" s="19">
        <f t="shared" ref="H40:M40" si="13">H22*0.76</f>
        <v>1181553.663895647</v>
      </c>
      <c r="I40" s="19">
        <f t="shared" si="13"/>
        <v>1163126.6769490589</v>
      </c>
      <c r="J40" s="19">
        <f t="shared" si="13"/>
        <v>1144987.069118887</v>
      </c>
      <c r="K40" s="19">
        <f t="shared" si="13"/>
        <v>1127130.3585678798</v>
      </c>
      <c r="L40" s="19">
        <f t="shared" si="13"/>
        <v>1109552.13335553</v>
      </c>
      <c r="M40" s="19">
        <f t="shared" si="13"/>
        <v>1092248.0503479999</v>
      </c>
      <c r="N40" s="13"/>
      <c r="O40" s="5"/>
    </row>
    <row r="41" spans="1:15" ht="14.4" x14ac:dyDescent="0.3">
      <c r="G41" s="15" t="s">
        <v>314</v>
      </c>
      <c r="H41" s="19">
        <f t="shared" ref="H41:M41" si="14">H23*0.76</f>
        <v>10110035.877677133</v>
      </c>
      <c r="I41" s="19">
        <f t="shared" si="14"/>
        <v>9952364.2417285237</v>
      </c>
      <c r="J41" s="19">
        <f t="shared" si="14"/>
        <v>9797151.5826899353</v>
      </c>
      <c r="K41" s="19">
        <f t="shared" si="14"/>
        <v>9644359.5514479913</v>
      </c>
      <c r="L41" s="19">
        <f t="shared" si="14"/>
        <v>9493950.3969650697</v>
      </c>
      <c r="M41" s="19">
        <f t="shared" si="14"/>
        <v>9345886.956952</v>
      </c>
      <c r="N41" s="13"/>
      <c r="O41" s="5"/>
    </row>
    <row r="42" spans="1:15" ht="14.4" x14ac:dyDescent="0.3">
      <c r="G42" s="15" t="s">
        <v>315</v>
      </c>
      <c r="H42" s="19">
        <f t="shared" ref="H42:M42" si="15">H24*0.76</f>
        <v>1708759.3695503771</v>
      </c>
      <c r="I42" s="19">
        <f t="shared" si="15"/>
        <v>1682110.3162236323</v>
      </c>
      <c r="J42" s="19">
        <f t="shared" si="15"/>
        <v>1655876.8697142461</v>
      </c>
      <c r="K42" s="19">
        <f t="shared" si="15"/>
        <v>1630052.5484026098</v>
      </c>
      <c r="L42" s="19">
        <f t="shared" si="15"/>
        <v>1604630.9717535777</v>
      </c>
      <c r="M42" s="19">
        <f t="shared" si="15"/>
        <v>1579605.8587400001</v>
      </c>
      <c r="N42" s="13"/>
      <c r="O42" s="5"/>
    </row>
    <row r="43" spans="1:15" ht="14.4" x14ac:dyDescent="0.3">
      <c r="G43" s="15" t="s">
        <v>316</v>
      </c>
      <c r="H43" s="19">
        <f t="shared" ref="H43:M43" si="16">H25*0.76</f>
        <v>17680866.208694149</v>
      </c>
      <c r="I43" s="19">
        <f t="shared" si="16"/>
        <v>17405123.260415528</v>
      </c>
      <c r="J43" s="19">
        <f t="shared" si="16"/>
        <v>17133680.676871758</v>
      </c>
      <c r="K43" s="19">
        <f t="shared" si="16"/>
        <v>16866471.391481552</v>
      </c>
      <c r="L43" s="19">
        <f t="shared" si="16"/>
        <v>16603429.383604296</v>
      </c>
      <c r="M43" s="19">
        <f t="shared" si="16"/>
        <v>16344489.662228001</v>
      </c>
      <c r="N43" s="13"/>
      <c r="O43" s="5"/>
    </row>
    <row r="44" spans="1:15" ht="14.4" x14ac:dyDescent="0.3">
      <c r="G44" s="15" t="s">
        <v>317</v>
      </c>
      <c r="H44" s="19">
        <f t="shared" ref="H44:M44" si="17">H26*0.76</f>
        <v>6688823.6247535897</v>
      </c>
      <c r="I44" s="19">
        <f t="shared" si="17"/>
        <v>6584507.6978620505</v>
      </c>
      <c r="J44" s="19">
        <f t="shared" si="17"/>
        <v>6481818.6359042739</v>
      </c>
      <c r="K44" s="19">
        <f t="shared" si="17"/>
        <v>6380731.0670162374</v>
      </c>
      <c r="L44" s="19">
        <f t="shared" si="17"/>
        <v>6281220.0150222536</v>
      </c>
      <c r="M44" s="19">
        <f t="shared" si="17"/>
        <v>6183260.8932639994</v>
      </c>
      <c r="N44" s="13"/>
      <c r="O44" s="5"/>
    </row>
    <row r="46" spans="1:15" ht="13.2" x14ac:dyDescent="0.25">
      <c r="H46" s="53" t="s">
        <v>321</v>
      </c>
      <c r="I46" s="49"/>
      <c r="J46" s="49"/>
      <c r="K46" s="49"/>
      <c r="L46" s="49"/>
      <c r="M46" s="50"/>
    </row>
    <row r="47" spans="1:15" ht="13.2" x14ac:dyDescent="0.25">
      <c r="H47" s="17">
        <v>2025</v>
      </c>
      <c r="I47" s="17">
        <v>2026</v>
      </c>
      <c r="J47" s="17">
        <v>2027</v>
      </c>
      <c r="K47" s="17">
        <v>2028</v>
      </c>
      <c r="L47" s="17">
        <v>2029</v>
      </c>
      <c r="M47" s="17">
        <v>2030</v>
      </c>
    </row>
    <row r="48" spans="1:15" ht="14.4" x14ac:dyDescent="0.25">
      <c r="G48" s="15" t="s">
        <v>305</v>
      </c>
      <c r="H48" s="21">
        <f t="shared" ref="H48:M48" si="18">((1000/(24*3600))*((H30/365)*$C$18*$B$7*$B$8/($B$6*$B$9))*($C$19/($C$19-1))*($B$15^((($C$19-1)/$C$19))-1))+((1000/(24*3600))*((H30/365)*$C$22*$B$7*$B$8/($B$6*$B$9))*($C$23/($C$23-1))*($B$15^((($C$23-1)/$C$23))-1))+((1000/(24*3600))*((H30/365)*$C$26*$B$7*$B$8/($B$6*$B$9))*($C$27/($C$27-1))*($B$15^((($C$27-1)/$C$27))-1))+((1000/(24*3600))*((H30/365)*$C$30*$B$7*$B$8/($B$6*$B$9))*($C$31/($C$31-1))*($B$15^((($C$31-1)/$C$31))-1))</f>
        <v>10223.289582507619</v>
      </c>
      <c r="I48" s="21">
        <f t="shared" si="18"/>
        <v>10144.158490233312</v>
      </c>
      <c r="J48" s="21">
        <f t="shared" si="18"/>
        <v>10119.527375757085</v>
      </c>
      <c r="K48" s="21">
        <f t="shared" si="18"/>
        <v>10114.666101999097</v>
      </c>
      <c r="L48" s="21">
        <f t="shared" si="18"/>
        <v>10114.034711018398</v>
      </c>
      <c r="M48" s="21">
        <f t="shared" si="18"/>
        <v>10113.979830173084</v>
      </c>
    </row>
    <row r="49" spans="7:13" ht="14.4" x14ac:dyDescent="0.25">
      <c r="G49" s="15" t="s">
        <v>306</v>
      </c>
      <c r="H49" s="21">
        <f t="shared" ref="H49:M49" si="19">((1000/(24*3600))*((H31/365)*$C$18*$B$7*$B$8/($B$6*$B$9))*($C$19/($C$19-1))*($B$15^((($C$19-1)/$C$19))-1))+((1000/(24*3600))*((H31/365)*$C$22*$B$7*$B$8/($B$6*$B$9))*($C$23/($C$23-1))*($B$15^((($C$23-1)/$C$23))-1))+((1000/(24*3600))*((H31/365)*$C$26*$B$7*$B$8/($B$6*$B$9))*($C$27/($C$27-1))*($B$15^((($C$27-1)/$C$27))-1))+((1000/(24*3600))*((H31/365)*$C$30*$B$7*$B$8/($B$6*$B$9))*($C$31/($C$31-1))*($B$15^((($C$31-1)/$C$31))-1))</f>
        <v>12401.828841085153</v>
      </c>
      <c r="I49" s="21">
        <f t="shared" si="19"/>
        <v>12407.627024436228</v>
      </c>
      <c r="J49" s="21">
        <f t="shared" si="19"/>
        <v>12409.21600534044</v>
      </c>
      <c r="K49" s="21">
        <f t="shared" si="19"/>
        <v>12409.604816779947</v>
      </c>
      <c r="L49" s="21">
        <f t="shared" si="19"/>
        <v>12409.68935875454</v>
      </c>
      <c r="M49" s="21">
        <f t="shared" si="19"/>
        <v>12409.705524192461</v>
      </c>
    </row>
    <row r="50" spans="7:13" ht="14.4" x14ac:dyDescent="0.25">
      <c r="G50" s="15" t="s">
        <v>307</v>
      </c>
      <c r="H50" s="21">
        <f t="shared" ref="H50:M50" si="20">((1000/(24*3600))*((H32/365)*$C$18*$B$7*$B$8/($B$6*$B$9))*($C$19/($C$19-1))*($B$15^((($C$19-1)/$C$19))-1))+((1000/(24*3600))*((H32/365)*$C$22*$B$7*$B$8/($B$6*$B$9))*($C$23/($C$23-1))*($B$15^((($C$23-1)/$C$23))-1))+((1000/(24*3600))*((H32/365)*$C$26*$B$7*$B$8/($B$6*$B$9))*($C$27/($C$27-1))*($B$15^((($C$27-1)/$C$27))-1))+((1000/(24*3600))*((H32/365)*$C$30*$B$7*$B$8/($B$6*$B$9))*($C$31/($C$31-1))*($B$15^((($C$31-1)/$C$31))-1))</f>
        <v>108920.5545573945</v>
      </c>
      <c r="I50" s="21">
        <f t="shared" si="20"/>
        <v>108732.11878285483</v>
      </c>
      <c r="J50" s="21">
        <f t="shared" si="20"/>
        <v>108729.86288782829</v>
      </c>
      <c r="K50" s="21">
        <f t="shared" si="20"/>
        <v>108745.38105508548</v>
      </c>
      <c r="L50" s="21">
        <f t="shared" si="20"/>
        <v>108744.21657204963</v>
      </c>
      <c r="M50" s="21">
        <f t="shared" si="20"/>
        <v>108738.56038329269</v>
      </c>
    </row>
    <row r="51" spans="7:13" ht="14.4" x14ac:dyDescent="0.25">
      <c r="G51" s="15" t="s">
        <v>308</v>
      </c>
      <c r="H51" s="21">
        <f t="shared" ref="H51:M51" si="21">((1000/(24*3600))*((H33/365)*$C$18*$B$7*$B$8/($B$6*$B$9))*($C$19/($C$19-1))*($B$15^((($C$19-1)/$C$19))-1))+((1000/(24*3600))*((H33/365)*$C$22*$B$7*$B$8/($B$6*$B$9))*($C$23/($C$23-1))*($B$15^((($C$23-1)/$C$23))-1))+((1000/(24*3600))*((H33/365)*$C$26*$B$7*$B$8/($B$6*$B$9))*($C$27/($C$27-1))*($B$15^((($C$27-1)/$C$27))-1))+((1000/(24*3600))*((H33/365)*$C$30*$B$7*$B$8/($B$6*$B$9))*($C$31/($C$31-1))*($B$15^((($C$31-1)/$C$31))-1))</f>
        <v>16938.955972901796</v>
      </c>
      <c r="I51" s="21">
        <f t="shared" si="21"/>
        <v>15684.499726387498</v>
      </c>
      <c r="J51" s="21">
        <f t="shared" si="21"/>
        <v>14502.775246779116</v>
      </c>
      <c r="K51" s="21">
        <f t="shared" si="21"/>
        <v>13528.783200466161</v>
      </c>
      <c r="L51" s="21">
        <f t="shared" si="21"/>
        <v>12810.111183168967</v>
      </c>
      <c r="M51" s="21">
        <f t="shared" si="21"/>
        <v>12329.829090928824</v>
      </c>
    </row>
    <row r="52" spans="7:13" ht="14.4" x14ac:dyDescent="0.25">
      <c r="G52" s="15" t="s">
        <v>309</v>
      </c>
      <c r="H52" s="21">
        <f t="shared" ref="H52:M52" si="22">((1000/(24*3600))*((H34/365)*$C$18*$B$7*$B$8/($B$6*$B$9))*($C$19/($C$19-1))*($B$15^((($C$19-1)/$C$19))-1))+((1000/(24*3600))*((H34/365)*$C$22*$B$7*$B$8/($B$6*$B$9))*($C$23/($C$23-1))*($B$15^((($C$23-1)/$C$23))-1))+((1000/(24*3600))*((H34/365)*$C$26*$B$7*$B$8/($B$6*$B$9))*($C$27/($C$27-1))*($B$15^((($C$27-1)/$C$27))-1))+((1000/(24*3600))*((H34/365)*$C$30*$B$7*$B$8/($B$6*$B$9))*($C$31/($C$31-1))*($B$15^((($C$31-1)/$C$31))-1))</f>
        <v>147450.51694180479</v>
      </c>
      <c r="I52" s="21">
        <f t="shared" si="22"/>
        <v>144972.72792969682</v>
      </c>
      <c r="J52" s="21">
        <f t="shared" si="22"/>
        <v>143208.09354029314</v>
      </c>
      <c r="K52" s="21">
        <f t="shared" si="22"/>
        <v>142455.62481749072</v>
      </c>
      <c r="L52" s="21">
        <f t="shared" si="22"/>
        <v>142247.88326460228</v>
      </c>
      <c r="M52" s="21">
        <f t="shared" si="22"/>
        <v>142209.64367626424</v>
      </c>
    </row>
    <row r="53" spans="7:13" ht="14.4" x14ac:dyDescent="0.25">
      <c r="G53" s="15" t="s">
        <v>310</v>
      </c>
      <c r="H53" s="21">
        <f t="shared" ref="H53:M53" si="23">((1000/(24*3600))*((H35/365)*$C$18*$B$7*$B$8/($B$6*$B$9))*($C$19/($C$19-1))*($B$15^((($C$19-1)/$C$19))-1))+((1000/(24*3600))*((H35/365)*$C$22*$B$7*$B$8/($B$6*$B$9))*($C$23/($C$23-1))*($B$15^((($C$23-1)/$C$23))-1))+((1000/(24*3600))*((H35/365)*$C$26*$B$7*$B$8/($B$6*$B$9))*($C$27/($C$27-1))*($B$15^((($C$27-1)/$C$27))-1))+((1000/(24*3600))*((H35/365)*$C$30*$B$7*$B$8/($B$6*$B$9))*($C$31/($C$31-1))*($B$15^((($C$31-1)/$C$31))-1))</f>
        <v>80023.657270788957</v>
      </c>
      <c r="I53" s="21">
        <f t="shared" si="23"/>
        <v>79788.896633504162</v>
      </c>
      <c r="J53" s="21">
        <f t="shared" si="23"/>
        <v>79914.700618971969</v>
      </c>
      <c r="K53" s="21">
        <f t="shared" si="23"/>
        <v>80204.236503703825</v>
      </c>
      <c r="L53" s="21">
        <f t="shared" si="23"/>
        <v>80475.830368884781</v>
      </c>
      <c r="M53" s="21">
        <f t="shared" si="23"/>
        <v>80651.78404951829</v>
      </c>
    </row>
    <row r="55" spans="7:13" ht="13.2" x14ac:dyDescent="0.25">
      <c r="H55" s="53" t="s">
        <v>322</v>
      </c>
      <c r="I55" s="49"/>
      <c r="J55" s="49"/>
      <c r="K55" s="49"/>
      <c r="L55" s="49"/>
      <c r="M55" s="50"/>
    </row>
    <row r="56" spans="7:13" ht="13.2" x14ac:dyDescent="0.25">
      <c r="H56" s="17">
        <v>2025</v>
      </c>
      <c r="I56" s="17">
        <v>2026</v>
      </c>
      <c r="J56" s="17">
        <v>2027</v>
      </c>
      <c r="K56" s="17">
        <v>2028</v>
      </c>
      <c r="L56" s="17">
        <v>2029</v>
      </c>
      <c r="M56" s="17">
        <v>2030</v>
      </c>
    </row>
    <row r="57" spans="7:13" ht="14.4" x14ac:dyDescent="0.25">
      <c r="G57" s="15" t="s">
        <v>312</v>
      </c>
      <c r="H57" s="21">
        <f t="shared" ref="H57:M57" si="24">((1000/(24*3600))*((H39/365)*$C$18*$B$7*$B$8/($B$6*$B$9))*($C$19/($C$19-1))*($B$15^((($C$19-1)/$C$19))-1))+((1000/(24*3600))*((H39/365)*$C$22*$B$7*$B$8/($B$6*$B$9))*($C$23/($C$23-1))*($B$15^((($C$23-1)/$C$23))-1))+((1000/(24*3600))*((H39/365)*$C$26*$B$7*$B$8/($B$6*$B$9))*($C$27/($C$27-1))*($B$15^((($C$27-1)/$C$27))-1))+((1000/(24*3600))*((H39/365)*$C$30*$B$7*$B$8/($B$6*$B$9))*($C$31/($C$31-1))*($B$15^((($C$31-1)/$C$31))-1))</f>
        <v>10784.961306824334</v>
      </c>
      <c r="I57" s="21">
        <f t="shared" si="24"/>
        <v>10616.76383319874</v>
      </c>
      <c r="J57" s="21">
        <f t="shared" si="24"/>
        <v>10451.189492779577</v>
      </c>
      <c r="K57" s="21">
        <f t="shared" si="24"/>
        <v>10288.197376344664</v>
      </c>
      <c r="L57" s="21">
        <f t="shared" si="24"/>
        <v>10127.747212673914</v>
      </c>
      <c r="M57" s="21">
        <f t="shared" si="24"/>
        <v>9969.7993585993208</v>
      </c>
    </row>
    <row r="58" spans="7:13" ht="14.4" x14ac:dyDescent="0.25">
      <c r="G58" s="15" t="s">
        <v>313</v>
      </c>
      <c r="H58" s="21">
        <f t="shared" ref="H58:M58" si="25">((1000/(24*3600))*((H40/365)*$C$18*$B$7*$B$8/($B$6*$B$9))*($C$19/($C$19-1))*($B$15^((($C$19-1)/$C$19))-1))+((1000/(24*3600))*((H40/365)*$C$22*$B$7*$B$8/($B$6*$B$9))*($C$23/($C$23-1))*($B$15^((($C$23-1)/$C$23))-1))+((1000/(24*3600))*((H40/365)*$C$26*$B$7*$B$8/($B$6*$B$9))*($C$27/($C$27-1))*($B$15^((($C$27-1)/$C$27))-1))+((1000/(24*3600))*((H40/365)*$C$30*$B$7*$B$8/($B$6*$B$9))*($C$31/($C$31-1))*($B$15^((($C$31-1)/$C$31))-1))</f>
        <v>12692.937537584059</v>
      </c>
      <c r="I58" s="21">
        <f t="shared" si="25"/>
        <v>12494.984112813016</v>
      </c>
      <c r="J58" s="21">
        <f t="shared" si="25"/>
        <v>12300.117881866285</v>
      </c>
      <c r="K58" s="21">
        <f t="shared" si="25"/>
        <v>12108.29069823811</v>
      </c>
      <c r="L58" s="21">
        <f t="shared" si="25"/>
        <v>11919.455166294259</v>
      </c>
      <c r="M58" s="21">
        <f t="shared" si="25"/>
        <v>11733.564629561815</v>
      </c>
    </row>
    <row r="59" spans="7:13" ht="14.4" x14ac:dyDescent="0.25">
      <c r="G59" s="15" t="s">
        <v>314</v>
      </c>
      <c r="H59" s="21">
        <f t="shared" ref="H59:M59" si="26">((1000/(24*3600))*((H41/365)*$C$18*$B$7*$B$8/($B$6*$B$9))*($C$19/($C$19-1))*($B$15^((($C$19-1)/$C$19))-1))+((1000/(24*3600))*((H41/365)*$C$22*$B$7*$B$8/($B$6*$B$9))*($C$23/($C$23-1))*($B$15^((($C$23-1)/$C$23))-1))+((1000/(24*3600))*((H41/365)*$C$26*$B$7*$B$8/($B$6*$B$9))*($C$27/($C$27-1))*($B$15^((($C$27-1)/$C$27))-1))+((1000/(24*3600))*((H41/365)*$C$30*$B$7*$B$8/($B$6*$B$9))*($C$31/($C$31-1))*($B$15^((($C$31-1)/$C$31))-1))</f>
        <v>108607.89299657509</v>
      </c>
      <c r="I59" s="21">
        <f t="shared" si="26"/>
        <v>106914.09246283892</v>
      </c>
      <c r="J59" s="21">
        <f t="shared" si="26"/>
        <v>105246.70769106003</v>
      </c>
      <c r="K59" s="21">
        <f t="shared" si="26"/>
        <v>103605.3267127299</v>
      </c>
      <c r="L59" s="21">
        <f t="shared" si="26"/>
        <v>101989.54398421801</v>
      </c>
      <c r="M59" s="21">
        <f t="shared" si="26"/>
        <v>100398.96028657249</v>
      </c>
    </row>
    <row r="60" spans="7:13" ht="14.4" x14ac:dyDescent="0.25">
      <c r="G60" s="15" t="s">
        <v>315</v>
      </c>
      <c r="H60" s="21">
        <f t="shared" ref="H60:M60" si="27">((1000/(24*3600))*((H42/365)*$C$18*$B$7*$B$8/($B$6*$B$9))*($C$19/($C$19-1))*($B$15^((($C$19-1)/$C$19))-1))+((1000/(24*3600))*((H42/365)*$C$22*$B$7*$B$8/($B$6*$B$9))*($C$23/($C$23-1))*($B$15^((($C$23-1)/$C$23))-1))+((1000/(24*3600))*((H42/365)*$C$26*$B$7*$B$8/($B$6*$B$9))*($C$27/($C$27-1))*($B$15^((($C$27-1)/$C$27))-1))+((1000/(24*3600))*((H42/365)*$C$30*$B$7*$B$8/($B$6*$B$9))*($C$31/($C$31-1))*($B$15^((($C$31-1)/$C$31))-1))</f>
        <v>18356.488246969715</v>
      </c>
      <c r="I60" s="21">
        <f t="shared" si="27"/>
        <v>18070.208597007084</v>
      </c>
      <c r="J60" s="21">
        <f t="shared" si="27"/>
        <v>17788.393637505927</v>
      </c>
      <c r="K60" s="21">
        <f t="shared" si="27"/>
        <v>17510.973739133835</v>
      </c>
      <c r="L60" s="21">
        <f t="shared" si="27"/>
        <v>17237.880358466558</v>
      </c>
      <c r="M60" s="21">
        <f t="shared" si="27"/>
        <v>16969.046021052683</v>
      </c>
    </row>
    <row r="61" spans="7:13" ht="14.4" x14ac:dyDescent="0.25">
      <c r="G61" s="15" t="s">
        <v>316</v>
      </c>
      <c r="H61" s="21">
        <f t="shared" ref="H61:M61" si="28">((1000/(24*3600))*((H43/365)*$C$18*$B$7*$B$8/($B$6*$B$9))*($C$19/($C$19-1))*($B$15^((($C$19-1)/$C$19))-1))+((1000/(24*3600))*((H43/365)*$C$22*$B$7*$B$8/($B$6*$B$9))*($C$23/($C$23-1))*($B$15^((($C$23-1)/$C$23))-1))+((1000/(24*3600))*((H43/365)*$C$26*$B$7*$B$8/($B$6*$B$9))*($C$27/($C$27-1))*($B$15^((($C$27-1)/$C$27))-1))+((1000/(24*3600))*((H43/365)*$C$30*$B$7*$B$8/($B$6*$B$9))*($C$31/($C$31-1))*($B$15^((($C$31-1)/$C$31))-1))</f>
        <v>189938.16129976141</v>
      </c>
      <c r="I61" s="21">
        <f t="shared" si="28"/>
        <v>186975.96996992358</v>
      </c>
      <c r="J61" s="21">
        <f t="shared" si="28"/>
        <v>184059.97566239309</v>
      </c>
      <c r="K61" s="21">
        <f t="shared" si="28"/>
        <v>181189.4579088974</v>
      </c>
      <c r="L61" s="21">
        <f t="shared" si="28"/>
        <v>178363.70747726772</v>
      </c>
      <c r="M61" s="21">
        <f t="shared" si="28"/>
        <v>175582.02619620576</v>
      </c>
    </row>
    <row r="62" spans="7:13" ht="14.4" x14ac:dyDescent="0.25">
      <c r="G62" s="15" t="s">
        <v>317</v>
      </c>
      <c r="H62" s="21">
        <f t="shared" ref="H62:M62" si="29">((1000/(24*3600))*((H44/365)*$C$18*$B$7*$B$8/($B$6*$B$9))*($C$19/($C$19-1))*($B$15^((($C$19-1)/$C$19))-1))+((1000/(24*3600))*((H44/365)*$C$22*$B$7*$B$8/($B$6*$B$9))*($C$23/($C$23-1))*($B$15^((($C$23-1)/$C$23))-1))+((1000/(24*3600))*((H44/365)*$C$26*$B$7*$B$8/($B$6*$B$9))*($C$27/($C$27-1))*($B$15^((($C$27-1)/$C$27))-1))+((1000/(24*3600))*((H44/365)*$C$30*$B$7*$B$8/($B$6*$B$9))*($C$31/($C$31-1))*($B$15^((($C$31-1)/$C$31))-1))</f>
        <v>71855.238626226492</v>
      </c>
      <c r="I62" s="21">
        <f t="shared" si="29"/>
        <v>70734.616190979708</v>
      </c>
      <c r="J62" s="21">
        <f t="shared" si="29"/>
        <v>69631.470486259263</v>
      </c>
      <c r="K62" s="21">
        <f t="shared" si="29"/>
        <v>68545.528952726541</v>
      </c>
      <c r="L62" s="21">
        <f t="shared" si="29"/>
        <v>67476.523281757312</v>
      </c>
      <c r="M62" s="21">
        <f t="shared" si="29"/>
        <v>66424.189349149805</v>
      </c>
    </row>
    <row r="99" spans="1:13" ht="15.75" customHeight="1" x14ac:dyDescent="0.25">
      <c r="H99">
        <f>(((1000*H30/365)/(24*3600*(ROUNDUP(H48/60000,0))))*(ROUNDUP(H48/60000,0)))*(((0.13*(10^6))/(((1000*H30/365)/(24*3600*(ROUNDUP(H48/60000,0))))^0.71))+(((1.4*(10^6))*(LN($B$4/$B$2)))/(((1000*H30/365)/(24*3600*(ROUNDUP(H48/60000,0))))^0.6)))*$B$110</f>
        <v>40800000.39097143</v>
      </c>
    </row>
    <row r="100" spans="1:13" ht="13.2" x14ac:dyDescent="0.25">
      <c r="A100" s="1" t="s">
        <v>77</v>
      </c>
      <c r="B100" s="1">
        <v>0.1275</v>
      </c>
      <c r="H100" s="51" t="s">
        <v>323</v>
      </c>
      <c r="I100" s="49"/>
      <c r="J100" s="49"/>
      <c r="K100" s="49"/>
      <c r="L100" s="49"/>
      <c r="M100" s="50"/>
    </row>
    <row r="101" spans="1:13" ht="13.2" x14ac:dyDescent="0.25">
      <c r="A101" s="1" t="s">
        <v>92</v>
      </c>
      <c r="B101" s="1">
        <v>0.05</v>
      </c>
      <c r="H101" s="17">
        <v>2025</v>
      </c>
      <c r="I101" s="17">
        <v>2026</v>
      </c>
      <c r="J101" s="17">
        <v>2027</v>
      </c>
      <c r="K101" s="17">
        <v>2028</v>
      </c>
      <c r="L101" s="17">
        <v>2029</v>
      </c>
      <c r="M101" s="17">
        <v>2030</v>
      </c>
    </row>
    <row r="102" spans="1:13" ht="14.4" x14ac:dyDescent="0.25">
      <c r="A102" s="1" t="s">
        <v>93</v>
      </c>
      <c r="B102" s="8">
        <v>8.1500000000000003E-2</v>
      </c>
      <c r="G102" s="15" t="s">
        <v>305</v>
      </c>
      <c r="H102" s="21">
        <f t="shared" ref="H102:M102" si="30">(((1000*H30/365)/(24*3600*(ROUNDUP(H48/60000,0))))*(ROUNDUP(H48/60000,0)))*(((0.13*(10^6))/(((1000*H30/365)/(24*3600*(ROUNDUP(H48/60000,0))))^0.71))+(((1.4*(10^6))*(LN($B$4/$B$2)))/(((1000*H30/365)/(24*3600*(ROUNDUP(H48/60000,0))))^0.6)))*2.107</f>
        <v>50311367.882115379</v>
      </c>
      <c r="I102" s="21">
        <f t="shared" si="30"/>
        <v>50155862.273371086</v>
      </c>
      <c r="J102" s="21">
        <f t="shared" si="30"/>
        <v>50107309.335432716</v>
      </c>
      <c r="K102" s="21">
        <f t="shared" si="30"/>
        <v>50097718.383813724</v>
      </c>
      <c r="L102" s="21">
        <f t="shared" si="30"/>
        <v>50096472.490445934</v>
      </c>
      <c r="M102" s="21">
        <f t="shared" si="30"/>
        <v>50096364.194512293</v>
      </c>
    </row>
    <row r="103" spans="1:13" ht="14.4" x14ac:dyDescent="0.25">
      <c r="A103" s="1" t="s">
        <v>71</v>
      </c>
      <c r="B103" s="1">
        <v>0.8</v>
      </c>
      <c r="G103" s="15" t="s">
        <v>306</v>
      </c>
      <c r="H103" s="21">
        <f t="shared" ref="H103:M103" si="31">(((1000*H31/365)/(24*3600*(ROUNDUP(H49/60000,0))))*(ROUNDUP(H49/60000,0)))*(((0.13*(10^6))/(((1000*H31/365)/(24*3600*(ROUNDUP(H49/60000,0))))^0.71))+(((1.4*(10^6))*(LN($B$4/$B$2)))/(((1000*H31/365)/(24*3600*(ROUNDUP(H49/60000,0))))^0.6)))*2.107</f>
        <v>54336367.987476498</v>
      </c>
      <c r="I103" s="21">
        <f t="shared" si="31"/>
        <v>54346488.025004372</v>
      </c>
      <c r="J103" s="21">
        <f t="shared" si="31"/>
        <v>54349260.905340642</v>
      </c>
      <c r="K103" s="21">
        <f t="shared" si="31"/>
        <v>54349939.37538591</v>
      </c>
      <c r="L103" s="21">
        <f t="shared" si="31"/>
        <v>54350086.898153692</v>
      </c>
      <c r="M103" s="21">
        <f t="shared" si="31"/>
        <v>54350115.106204659</v>
      </c>
    </row>
    <row r="104" spans="1:13" ht="14.4" x14ac:dyDescent="0.25">
      <c r="D104" s="5"/>
      <c r="G104" s="15" t="s">
        <v>307</v>
      </c>
      <c r="H104" s="21">
        <f t="shared" ref="H104:M104" si="32">(((1000*H32/365)/(24*3600*(ROUNDUP(H50/60000,0))))*(ROUNDUP(H50/60000,0)))*(((0.13*(10^6))/(((1000*H32/365)/(24*3600*(ROUNDUP(H50/60000,0))))^0.71))+(((1.4*(10^6))*(LN($B$4/$B$2)))/(((1000*H32/365)/(24*3600*(ROUNDUP(H50/60000,0))))^0.6)))*2.107</f>
        <v>195985114.25006837</v>
      </c>
      <c r="I104" s="21">
        <f t="shared" si="32"/>
        <v>195849874.75766951</v>
      </c>
      <c r="J104" s="21">
        <f t="shared" si="32"/>
        <v>195848254.85925728</v>
      </c>
      <c r="K104" s="21">
        <f t="shared" si="32"/>
        <v>195859397.63537464</v>
      </c>
      <c r="L104" s="21">
        <f t="shared" si="32"/>
        <v>195858561.5147889</v>
      </c>
      <c r="M104" s="21">
        <f t="shared" si="32"/>
        <v>195854500.18899283</v>
      </c>
    </row>
    <row r="105" spans="1:13" ht="14.4" x14ac:dyDescent="0.25">
      <c r="G105" s="15" t="s">
        <v>308</v>
      </c>
      <c r="H105" s="21">
        <f t="shared" ref="H105:M105" si="33">(((1000*H33/365)/(24*3600*(ROUNDUP(H51/60000,0))))*(ROUNDUP(H51/60000,0)))*(((0.13*(10^6))/(((1000*H33/365)/(24*3600*(ROUNDUP(H51/60000,0))))^0.71))+(((1.4*(10^6))*(LN($B$4/$B$2)))/(((1000*H33/365)/(24*3600*(ROUNDUP(H51/60000,0))))^0.6)))*2.107</f>
        <v>61523529.865199879</v>
      </c>
      <c r="I105" s="21">
        <f t="shared" si="33"/>
        <v>59665867.375691801</v>
      </c>
      <c r="J105" s="21">
        <f t="shared" si="33"/>
        <v>57832318.108808205</v>
      </c>
      <c r="K105" s="21">
        <f t="shared" si="33"/>
        <v>56252339.001971923</v>
      </c>
      <c r="L105" s="21">
        <f t="shared" si="33"/>
        <v>55042145.188332461</v>
      </c>
      <c r="M105" s="21">
        <f t="shared" si="33"/>
        <v>54210463.350950874</v>
      </c>
    </row>
    <row r="106" spans="1:13" ht="14.4" x14ac:dyDescent="0.25">
      <c r="A106" s="1" t="s">
        <v>73</v>
      </c>
      <c r="B106" s="7">
        <f>(1000*H30/365)/(24*3600*B35)</f>
        <v>30.176951447234902</v>
      </c>
      <c r="C106" s="1" t="s">
        <v>74</v>
      </c>
      <c r="G106" s="15" t="s">
        <v>309</v>
      </c>
      <c r="H106" s="21">
        <f t="shared" ref="H106:M106" si="34">(((1000*H34/365)/(24*3600*(ROUNDUP(H52/60000,0))))*(ROUNDUP(H52/60000,0)))*(((0.13*(10^6))/(((1000*H34/365)/(24*3600*(ROUNDUP(H52/60000,0))))^0.71))+(((1.4*(10^6))*(LN($B$4/$B$2)))/(((1000*H34/365)/(24*3600*(ROUNDUP(H52/60000,0))))^0.6)))*2.107</f>
        <v>282197088.9355728</v>
      </c>
      <c r="I106" s="21">
        <f t="shared" si="34"/>
        <v>280297050.24333727</v>
      </c>
      <c r="J106" s="21">
        <f t="shared" si="34"/>
        <v>278931949.08291036</v>
      </c>
      <c r="K106" s="21">
        <f t="shared" si="34"/>
        <v>278346773.51300389</v>
      </c>
      <c r="L106" s="21">
        <f t="shared" si="34"/>
        <v>278184891.1744054</v>
      </c>
      <c r="M106" s="21">
        <f t="shared" si="34"/>
        <v>278155077.5432989</v>
      </c>
    </row>
    <row r="107" spans="1:13" ht="14.4" x14ac:dyDescent="0.25">
      <c r="A107" s="1" t="s">
        <v>88</v>
      </c>
      <c r="B107" s="5">
        <f>(B106*B35)*(((0.13*(10^6))/(B106^0.71))+(((1.14*(10^6))*(LN($B$4/$B$2)))/(B106^0.6)))*2.107</f>
        <v>41104462.218526267</v>
      </c>
      <c r="D107" s="5">
        <f>(B107/H48)</f>
        <v>4020.6688744156613</v>
      </c>
      <c r="G107" s="15" t="s">
        <v>310</v>
      </c>
      <c r="H107" s="21">
        <f t="shared" ref="H107:M107" si="35">(((1000*H35/365)/(24*3600*(ROUNDUP(H53/60000,0))))*(ROUNDUP(H53/60000,0)))*(((0.13*(10^6))/(((1000*H35/365)/(24*3600*(ROUNDUP(H53/60000,0))))^0.71))+(((1.4*(10^6))*(LN($B$4/$B$2)))/(((1000*H35/365)/(24*3600*(ROUNDUP(H53/60000,0))))^0.6)))*2.107</f>
        <v>173320193.97489327</v>
      </c>
      <c r="I107" s="21">
        <f t="shared" si="35"/>
        <v>173117336.70376167</v>
      </c>
      <c r="J107" s="21">
        <f t="shared" si="35"/>
        <v>173226088.79247788</v>
      </c>
      <c r="K107" s="21">
        <f t="shared" si="35"/>
        <v>173475989.70987159</v>
      </c>
      <c r="L107" s="21">
        <f t="shared" si="35"/>
        <v>173709912.35384843</v>
      </c>
      <c r="M107" s="21">
        <f t="shared" si="35"/>
        <v>173861207.34343833</v>
      </c>
    </row>
    <row r="109" spans="1:13" ht="13.2" x14ac:dyDescent="0.25">
      <c r="A109" s="1" t="s">
        <v>324</v>
      </c>
      <c r="B109" s="1">
        <v>1.0323</v>
      </c>
      <c r="H109" s="51" t="s">
        <v>325</v>
      </c>
      <c r="I109" s="49"/>
      <c r="J109" s="49"/>
      <c r="K109" s="49"/>
      <c r="L109" s="49"/>
      <c r="M109" s="50"/>
    </row>
    <row r="110" spans="1:13" ht="13.2" x14ac:dyDescent="0.25">
      <c r="A110" s="1" t="s">
        <v>326</v>
      </c>
      <c r="B110" s="1">
        <f>800/468.2</f>
        <v>1.7086715079026058</v>
      </c>
      <c r="H110" s="17">
        <v>2025</v>
      </c>
      <c r="I110" s="17">
        <v>2026</v>
      </c>
      <c r="J110" s="17">
        <v>2027</v>
      </c>
      <c r="K110" s="17">
        <v>2028</v>
      </c>
      <c r="L110" s="17">
        <v>2029</v>
      </c>
      <c r="M110" s="17">
        <v>2030</v>
      </c>
    </row>
    <row r="111" spans="1:13" ht="14.4" x14ac:dyDescent="0.25">
      <c r="G111" s="15" t="s">
        <v>312</v>
      </c>
      <c r="H111" s="21">
        <f t="shared" ref="H111:M111" si="36">(((1000*H39/365)/(24*3600*(ROUNDUP(H57/60000,0))))*(ROUNDUP(H57/60000,0)))*(((0.13*(10^6))/(((1000*H39/365)/(24*3600*(ROUNDUP(H57/60000,0))))^0.71))+(((1.4*(10^6))*(LN($B$4/$B$2)))/(((1000*H39/365)/(24*3600*(ROUNDUP(H57/60000,0))))^0.6)))*2.107</f>
        <v>51394901.848329186</v>
      </c>
      <c r="I111" s="21">
        <f t="shared" si="36"/>
        <v>51074061.34641397</v>
      </c>
      <c r="J111" s="21">
        <f t="shared" si="36"/>
        <v>50755225.917822674</v>
      </c>
      <c r="K111" s="21">
        <f t="shared" si="36"/>
        <v>50438383.022027358</v>
      </c>
      <c r="L111" s="21">
        <f t="shared" si="36"/>
        <v>50123520.196978845</v>
      </c>
      <c r="M111" s="21">
        <f t="shared" si="36"/>
        <v>49810625.058615372</v>
      </c>
    </row>
    <row r="112" spans="1:13" ht="14.4" x14ac:dyDescent="0.25">
      <c r="A112" s="5">
        <v>2026</v>
      </c>
      <c r="B112" s="1">
        <v>2027</v>
      </c>
      <c r="C112" s="1">
        <v>2028</v>
      </c>
      <c r="D112" s="1">
        <v>2029</v>
      </c>
      <c r="E112" s="1">
        <v>2030</v>
      </c>
      <c r="G112" s="15" t="s">
        <v>313</v>
      </c>
      <c r="H112" s="21">
        <f t="shared" ref="H112:M112" si="37">(((1000*H40/365)/(24*3600*(ROUNDUP(H58/60000,0))))*(ROUNDUP(H58/60000,0)))*(((0.13*(10^6))/(((1000*H40/365)/(24*3600*(ROUNDUP(H58/60000,0))))^0.71))+(((1.4*(10^6))*(LN($B$4/$B$2)))/(((1000*H40/365)/(24*3600*(ROUNDUP(H58/60000,0))))^0.6)))*2.107</f>
        <v>54840993.833578296</v>
      </c>
      <c r="I112" s="21">
        <f t="shared" si="37"/>
        <v>54498616.575807102</v>
      </c>
      <c r="J112" s="21">
        <f t="shared" si="37"/>
        <v>54158379.093610711</v>
      </c>
      <c r="K112" s="21">
        <f t="shared" si="37"/>
        <v>53820268.003479607</v>
      </c>
      <c r="L112" s="21">
        <f t="shared" si="37"/>
        <v>53484270.005660899</v>
      </c>
      <c r="M112" s="21">
        <f t="shared" si="37"/>
        <v>53150371.883633606</v>
      </c>
    </row>
    <row r="113" spans="2:13" ht="14.4" x14ac:dyDescent="0.25">
      <c r="B113" s="7"/>
      <c r="C113" s="5"/>
      <c r="G113" s="15" t="s">
        <v>314</v>
      </c>
      <c r="H113" s="21">
        <f t="shared" ref="H113:M113" si="38">(((1000*H41/365)/(24*3600*(ROUNDUP(H59/60000,0))))*(ROUNDUP(H59/60000,0)))*(((0.13*(10^6))/(((1000*H41/365)/(24*3600*(ROUNDUP(H59/60000,0))))^0.71))+(((1.4*(10^6))*(LN($B$4/$B$2)))/(((1000*H41/365)/(24*3600*(ROUNDUP(H59/60000,0))))^0.6)))*2.107</f>
        <v>195760641.427551</v>
      </c>
      <c r="I113" s="21">
        <f t="shared" si="38"/>
        <v>194537788.2453593</v>
      </c>
      <c r="J113" s="21">
        <f t="shared" si="38"/>
        <v>193322580.80638781</v>
      </c>
      <c r="K113" s="21">
        <f t="shared" si="38"/>
        <v>192114971.27470717</v>
      </c>
      <c r="L113" s="21">
        <f t="shared" si="38"/>
        <v>190914912.11382076</v>
      </c>
      <c r="M113" s="21">
        <f t="shared" si="38"/>
        <v>189722356.08478928</v>
      </c>
    </row>
    <row r="114" spans="2:13" ht="14.4" x14ac:dyDescent="0.25">
      <c r="B114" s="7"/>
      <c r="G114" s="15" t="s">
        <v>315</v>
      </c>
      <c r="H114" s="21">
        <f t="shared" ref="H114:M114" si="39">(((1000*H42/365)/(24*3600*(ROUNDUP(H60/60000,0))))*(ROUNDUP(H60/60000,0)))*(((0.13*(10^6))/(((1000*H42/365)/(24*3600*(ROUNDUP(H60/60000,0))))^0.71))+(((1.4*(10^6))*(LN($B$4/$B$2)))/(((1000*H42/365)/(24*3600*(ROUNDUP(H60/60000,0))))^0.6)))*2.107</f>
        <v>63525707.112832889</v>
      </c>
      <c r="I114" s="21">
        <f t="shared" si="39"/>
        <v>63129049.199440919</v>
      </c>
      <c r="J114" s="21">
        <f t="shared" si="39"/>
        <v>62734870.582149796</v>
      </c>
      <c r="K114" s="21">
        <f t="shared" si="39"/>
        <v>62343155.752599359</v>
      </c>
      <c r="L114" s="21">
        <f t="shared" si="39"/>
        <v>61953889.299489267</v>
      </c>
      <c r="M114" s="21">
        <f t="shared" si="39"/>
        <v>61567055.90797168</v>
      </c>
    </row>
    <row r="115" spans="2:13" ht="14.4" x14ac:dyDescent="0.25">
      <c r="B115" s="7"/>
      <c r="G115" s="15" t="s">
        <v>316</v>
      </c>
      <c r="H115" s="21">
        <f t="shared" ref="H115:M115" si="40">(((1000*H43/365)/(24*3600*(ROUNDUP(H61/60000,0))))*(ROUNDUP(H61/60000,0)))*(((0.13*(10^6))/(((1000*H43/365)/(24*3600*(ROUNDUP(H61/60000,0))))^0.71))+(((1.4*(10^6))*(LN($B$4/$B$2)))/(((1000*H43/365)/(24*3600*(ROUNDUP(H61/60000,0))))^0.6)))*2.107</f>
        <v>371126950.26542586</v>
      </c>
      <c r="I115" s="21">
        <f t="shared" si="40"/>
        <v>368808755.02483529</v>
      </c>
      <c r="J115" s="21">
        <f t="shared" si="40"/>
        <v>366505053.50083965</v>
      </c>
      <c r="K115" s="21">
        <f t="shared" si="40"/>
        <v>364215755.01524127</v>
      </c>
      <c r="L115" s="21">
        <f t="shared" si="40"/>
        <v>304442741.95913702</v>
      </c>
      <c r="M115" s="21">
        <f t="shared" si="40"/>
        <v>302540924.39216727</v>
      </c>
    </row>
    <row r="116" spans="2:13" ht="14.4" x14ac:dyDescent="0.25">
      <c r="B116" s="7"/>
      <c r="G116" s="15" t="s">
        <v>317</v>
      </c>
      <c r="H116" s="21">
        <f t="shared" ref="H116:M116" si="41">(((1000*H44/365)/(24*3600*(ROUNDUP(H62/60000,0))))*(ROUNDUP(H62/60000,0)))*(((0.13*(10^6))/(((1000*H44/365)/(24*3600*(ROUNDUP(H62/60000,0))))^0.71))+(((1.4*(10^6))*(LN($B$4/$B$2)))/(((1000*H44/365)/(24*3600*(ROUNDUP(H62/60000,0))))^0.6)))*2.107</f>
        <v>166039122.25764024</v>
      </c>
      <c r="I116" s="21">
        <f t="shared" si="41"/>
        <v>165002089.62590387</v>
      </c>
      <c r="J116" s="21">
        <f t="shared" si="41"/>
        <v>163971540.18711025</v>
      </c>
      <c r="K116" s="21">
        <f t="shared" si="41"/>
        <v>162947433.38220271</v>
      </c>
      <c r="L116" s="21">
        <f t="shared" si="41"/>
        <v>161929728.90599227</v>
      </c>
      <c r="M116" s="21">
        <f t="shared" si="41"/>
        <v>160918386.70556763</v>
      </c>
    </row>
    <row r="118" spans="2:13" ht="13.2" x14ac:dyDescent="0.25">
      <c r="H118" s="55" t="s">
        <v>327</v>
      </c>
      <c r="I118" s="49"/>
      <c r="J118" s="49"/>
      <c r="K118" s="49"/>
      <c r="L118" s="49"/>
      <c r="M118" s="50"/>
    </row>
    <row r="119" spans="2:13" ht="13.2" x14ac:dyDescent="0.25">
      <c r="H119" s="17">
        <v>2025</v>
      </c>
      <c r="I119" s="17">
        <v>2026</v>
      </c>
      <c r="J119" s="17">
        <v>2027</v>
      </c>
      <c r="K119" s="17">
        <v>2028</v>
      </c>
      <c r="L119" s="17">
        <v>2029</v>
      </c>
      <c r="M119" s="17">
        <v>2030</v>
      </c>
    </row>
    <row r="120" spans="2:13" ht="14.4" x14ac:dyDescent="0.25">
      <c r="G120" s="15" t="s">
        <v>305</v>
      </c>
      <c r="H120" s="21">
        <f t="shared" ref="H120:M120" si="42">H102/H48</f>
        <v>4921.2503936306139</v>
      </c>
      <c r="I120" s="21">
        <f t="shared" si="42"/>
        <v>4944.3098036826432</v>
      </c>
      <c r="J120" s="21">
        <f t="shared" si="42"/>
        <v>4951.5463988439451</v>
      </c>
      <c r="K120" s="21">
        <f t="shared" si="42"/>
        <v>4952.9779706630397</v>
      </c>
      <c r="L120" s="21">
        <f t="shared" si="42"/>
        <v>4953.1639866600426</v>
      </c>
      <c r="M120" s="21">
        <f t="shared" si="42"/>
        <v>4953.180156149765</v>
      </c>
    </row>
    <row r="121" spans="2:13" ht="14.4" x14ac:dyDescent="0.25">
      <c r="G121" s="15" t="s">
        <v>306</v>
      </c>
      <c r="H121" s="21">
        <f t="shared" ref="H121:M121" si="43">H103/H49</f>
        <v>4381.3189718817384</v>
      </c>
      <c r="I121" s="21">
        <f t="shared" si="43"/>
        <v>4380.0871768607776</v>
      </c>
      <c r="J121" s="21">
        <f t="shared" si="43"/>
        <v>4379.7497667822727</v>
      </c>
      <c r="K121" s="21">
        <f t="shared" si="43"/>
        <v>4379.6672156630912</v>
      </c>
      <c r="L121" s="21">
        <f t="shared" si="43"/>
        <v>4379.6492665476653</v>
      </c>
      <c r="M121" s="21">
        <f t="shared" si="43"/>
        <v>4379.6458344841667</v>
      </c>
    </row>
    <row r="122" spans="2:13" ht="14.4" x14ac:dyDescent="0.25">
      <c r="G122" s="15" t="s">
        <v>307</v>
      </c>
      <c r="H122" s="21">
        <f t="shared" ref="H122:M122" si="44">H104/H50</f>
        <v>1799.340033168819</v>
      </c>
      <c r="I122" s="21">
        <f t="shared" si="44"/>
        <v>1801.2145532526092</v>
      </c>
      <c r="J122" s="21">
        <f t="shared" si="44"/>
        <v>1801.2370259429565</v>
      </c>
      <c r="K122" s="21">
        <f t="shared" si="44"/>
        <v>1801.0824527449229</v>
      </c>
      <c r="L122" s="21">
        <f t="shared" si="44"/>
        <v>1801.0940506893141</v>
      </c>
      <c r="M122" s="21">
        <f t="shared" si="44"/>
        <v>1801.1503876695172</v>
      </c>
    </row>
    <row r="123" spans="2:13" ht="14.4" x14ac:dyDescent="0.25">
      <c r="G123" s="15" t="s">
        <v>308</v>
      </c>
      <c r="H123" s="21">
        <f t="shared" ref="H123:M123" si="45">H105/H51</f>
        <v>3632.0733086279074</v>
      </c>
      <c r="I123" s="21">
        <f t="shared" si="45"/>
        <v>3804.1294536994601</v>
      </c>
      <c r="J123" s="21">
        <f t="shared" si="45"/>
        <v>3987.6725057607186</v>
      </c>
      <c r="K123" s="21">
        <f t="shared" si="45"/>
        <v>4157.9747541548031</v>
      </c>
      <c r="L123" s="21">
        <f t="shared" si="45"/>
        <v>4296.7734160380742</v>
      </c>
      <c r="M123" s="21">
        <f t="shared" si="45"/>
        <v>4396.6921967177987</v>
      </c>
    </row>
    <row r="124" spans="2:13" ht="14.4" x14ac:dyDescent="0.25">
      <c r="G124" s="15" t="s">
        <v>309</v>
      </c>
      <c r="H124" s="21">
        <f t="shared" ref="H124:M124" si="46">H106/H52</f>
        <v>1913.8426557497203</v>
      </c>
      <c r="I124" s="21">
        <f t="shared" si="46"/>
        <v>1933.4467540630451</v>
      </c>
      <c r="J124" s="21">
        <f t="shared" si="46"/>
        <v>1947.7387219349432</v>
      </c>
      <c r="K124" s="21">
        <f t="shared" si="46"/>
        <v>1953.9191511013501</v>
      </c>
      <c r="L124" s="21">
        <f t="shared" si="46"/>
        <v>1955.6346624641155</v>
      </c>
      <c r="M124" s="21">
        <f t="shared" si="46"/>
        <v>1955.9508789467902</v>
      </c>
    </row>
    <row r="125" spans="2:13" ht="14.4" x14ac:dyDescent="0.25">
      <c r="G125" s="15" t="s">
        <v>310</v>
      </c>
      <c r="H125" s="21">
        <f t="shared" ref="H125:M125" si="47">H107/H53</f>
        <v>2165.8619449046396</v>
      </c>
      <c r="I125" s="21">
        <f t="shared" si="47"/>
        <v>2169.6920750633358</v>
      </c>
      <c r="J125" s="21">
        <f t="shared" si="47"/>
        <v>2167.6373364446231</v>
      </c>
      <c r="K125" s="21">
        <f t="shared" si="47"/>
        <v>2162.9280106900646</v>
      </c>
      <c r="L125" s="21">
        <f t="shared" si="47"/>
        <v>2158.5351969354979</v>
      </c>
      <c r="M125" s="21">
        <f t="shared" si="47"/>
        <v>2155.701940042537</v>
      </c>
    </row>
    <row r="127" spans="2:13" ht="13.2" x14ac:dyDescent="0.25">
      <c r="H127" s="55" t="s">
        <v>328</v>
      </c>
      <c r="I127" s="49"/>
      <c r="J127" s="49"/>
      <c r="K127" s="49"/>
      <c r="L127" s="49"/>
      <c r="M127" s="50"/>
    </row>
    <row r="128" spans="2:13" ht="13.2" x14ac:dyDescent="0.25">
      <c r="H128" s="17">
        <v>2025</v>
      </c>
      <c r="I128" s="17">
        <v>2026</v>
      </c>
      <c r="J128" s="17">
        <v>2027</v>
      </c>
      <c r="K128" s="17">
        <v>2028</v>
      </c>
      <c r="L128" s="17">
        <v>2029</v>
      </c>
      <c r="M128" s="17">
        <v>2030</v>
      </c>
    </row>
    <row r="129" spans="7:13" ht="14.4" x14ac:dyDescent="0.25">
      <c r="G129" s="15" t="s">
        <v>312</v>
      </c>
      <c r="H129" s="21">
        <f t="shared" ref="H129:M129" si="48">H111/H57</f>
        <v>4765.422924216552</v>
      </c>
      <c r="I129" s="21">
        <f t="shared" si="48"/>
        <v>4810.6995831163549</v>
      </c>
      <c r="J129" s="21">
        <f t="shared" si="48"/>
        <v>4856.4066274836932</v>
      </c>
      <c r="K129" s="21">
        <f t="shared" si="48"/>
        <v>4902.5481507575641</v>
      </c>
      <c r="L129" s="21">
        <f t="shared" si="48"/>
        <v>4949.1282853361527</v>
      </c>
      <c r="M129" s="21">
        <f t="shared" si="48"/>
        <v>4996.1512029479172</v>
      </c>
    </row>
    <row r="130" spans="7:13" ht="14.4" x14ac:dyDescent="0.25">
      <c r="G130" s="15" t="s">
        <v>313</v>
      </c>
      <c r="H130" s="21">
        <f t="shared" ref="H130:M130" si="49">H112/H58</f>
        <v>4320.5911690018911</v>
      </c>
      <c r="I130" s="21">
        <f t="shared" si="49"/>
        <v>4361.6395254093477</v>
      </c>
      <c r="J130" s="21">
        <f t="shared" si="49"/>
        <v>4403.0780528904425</v>
      </c>
      <c r="K130" s="21">
        <f t="shared" si="49"/>
        <v>4444.9104621605302</v>
      </c>
      <c r="L130" s="21">
        <f t="shared" si="49"/>
        <v>4487.1404992489333</v>
      </c>
      <c r="M130" s="21">
        <f t="shared" si="49"/>
        <v>4529.7719458352258</v>
      </c>
    </row>
    <row r="131" spans="7:13" ht="14.4" x14ac:dyDescent="0.25">
      <c r="G131" s="15" t="s">
        <v>314</v>
      </c>
      <c r="H131" s="21">
        <f t="shared" ref="H131:M131" si="50">H113/H59</f>
        <v>1802.4531737644911</v>
      </c>
      <c r="I131" s="21">
        <f t="shared" si="50"/>
        <v>1819.5710571361444</v>
      </c>
      <c r="J131" s="21">
        <f t="shared" si="50"/>
        <v>1836.8515751947764</v>
      </c>
      <c r="K131" s="21">
        <f t="shared" si="50"/>
        <v>1854.2962738527049</v>
      </c>
      <c r="L131" s="21">
        <f t="shared" si="50"/>
        <v>1871.9067137251166</v>
      </c>
      <c r="M131" s="21">
        <f t="shared" si="50"/>
        <v>1889.6844702699877</v>
      </c>
    </row>
    <row r="132" spans="7:13" ht="14.4" x14ac:dyDescent="0.25">
      <c r="G132" s="15" t="s">
        <v>315</v>
      </c>
      <c r="H132" s="21">
        <f t="shared" ref="H132:M132" si="51">H114/H60</f>
        <v>3460.6677627088993</v>
      </c>
      <c r="I132" s="21">
        <f t="shared" si="51"/>
        <v>3493.5429140478655</v>
      </c>
      <c r="J132" s="21">
        <f t="shared" si="51"/>
        <v>3526.7305109482454</v>
      </c>
      <c r="K132" s="21">
        <f t="shared" si="51"/>
        <v>3560.2335244940587</v>
      </c>
      <c r="L132" s="21">
        <f t="shared" si="51"/>
        <v>3594.054954039636</v>
      </c>
      <c r="M132" s="21">
        <f t="shared" si="51"/>
        <v>3628.197827478833</v>
      </c>
    </row>
    <row r="133" spans="7:13" ht="14.4" x14ac:dyDescent="0.25">
      <c r="G133" s="15" t="s">
        <v>316</v>
      </c>
      <c r="H133" s="21">
        <f t="shared" ref="H133:M133" si="52">H115/H61</f>
        <v>1953.9356795168262</v>
      </c>
      <c r="I133" s="21">
        <f t="shared" si="52"/>
        <v>1972.4928026000389</v>
      </c>
      <c r="J133" s="21">
        <f t="shared" si="52"/>
        <v>1991.226241239385</v>
      </c>
      <c r="K133" s="21">
        <f t="shared" si="52"/>
        <v>2010.1376714663502</v>
      </c>
      <c r="L133" s="21">
        <f t="shared" si="52"/>
        <v>1706.8648452372968</v>
      </c>
      <c r="M133" s="21">
        <f t="shared" si="52"/>
        <v>1723.0745705946583</v>
      </c>
    </row>
    <row r="134" spans="7:13" ht="14.4" x14ac:dyDescent="0.25">
      <c r="G134" s="15" t="s">
        <v>317</v>
      </c>
      <c r="H134" s="21">
        <f t="shared" ref="H134:M134" si="53">H116/H62</f>
        <v>2310.7448452204781</v>
      </c>
      <c r="I134" s="21">
        <f t="shared" si="53"/>
        <v>2332.6922306386309</v>
      </c>
      <c r="J134" s="21">
        <f t="shared" si="53"/>
        <v>2354.8481604947233</v>
      </c>
      <c r="K134" s="21">
        <f t="shared" si="53"/>
        <v>2377.2146173761657</v>
      </c>
      <c r="L134" s="21">
        <f t="shared" si="53"/>
        <v>2399.7936027295432</v>
      </c>
      <c r="M134" s="21">
        <f t="shared" si="53"/>
        <v>2422.5871370401196</v>
      </c>
    </row>
    <row r="168" spans="7:29" ht="13.2" x14ac:dyDescent="0.25">
      <c r="H168" s="51" t="s">
        <v>329</v>
      </c>
      <c r="I168" s="49"/>
      <c r="J168" s="49"/>
      <c r="K168" s="49"/>
      <c r="L168" s="49"/>
      <c r="M168" s="50"/>
      <c r="P168" s="51" t="s">
        <v>330</v>
      </c>
      <c r="Q168" s="49"/>
      <c r="R168" s="49"/>
      <c r="S168" s="49"/>
      <c r="T168" s="49"/>
      <c r="U168" s="50"/>
      <c r="X168" s="51" t="s">
        <v>331</v>
      </c>
      <c r="Y168" s="49"/>
      <c r="Z168" s="49"/>
      <c r="AA168" s="49"/>
      <c r="AB168" s="49"/>
      <c r="AC168" s="50"/>
    </row>
    <row r="169" spans="7:29" ht="13.2" x14ac:dyDescent="0.25">
      <c r="H169" s="17">
        <v>2025</v>
      </c>
      <c r="I169" s="17">
        <v>2026</v>
      </c>
      <c r="J169" s="17">
        <v>2027</v>
      </c>
      <c r="K169" s="17">
        <v>2028</v>
      </c>
      <c r="L169" s="17">
        <v>2029</v>
      </c>
      <c r="M169" s="17">
        <v>2030</v>
      </c>
      <c r="P169" s="17">
        <v>2025</v>
      </c>
      <c r="Q169" s="17">
        <v>2026</v>
      </c>
      <c r="R169" s="17">
        <v>2027</v>
      </c>
      <c r="S169" s="17">
        <v>2028</v>
      </c>
      <c r="T169" s="17">
        <v>2029</v>
      </c>
      <c r="U169" s="17">
        <v>2030</v>
      </c>
      <c r="X169" s="17">
        <v>2025</v>
      </c>
      <c r="Y169" s="17">
        <v>2026</v>
      </c>
      <c r="Z169" s="17">
        <v>2027</v>
      </c>
      <c r="AA169" s="17">
        <v>2028</v>
      </c>
      <c r="AB169" s="17">
        <v>2029</v>
      </c>
      <c r="AC169" s="17">
        <v>2030</v>
      </c>
    </row>
    <row r="170" spans="7:29" ht="14.4" x14ac:dyDescent="0.25">
      <c r="G170" s="15" t="s">
        <v>305</v>
      </c>
      <c r="H170" s="21">
        <f t="shared" ref="H170:M170" si="54">H102*$B$100</f>
        <v>6414699.4049697109</v>
      </c>
      <c r="I170" s="21">
        <f t="shared" si="54"/>
        <v>6394872.4398548137</v>
      </c>
      <c r="J170" s="21">
        <f t="shared" si="54"/>
        <v>6388681.9402676709</v>
      </c>
      <c r="K170" s="21">
        <f t="shared" si="54"/>
        <v>6387459.0939362496</v>
      </c>
      <c r="L170" s="21">
        <f t="shared" si="54"/>
        <v>6387300.2425318565</v>
      </c>
      <c r="M170" s="21">
        <f t="shared" si="54"/>
        <v>6387286.4348003175</v>
      </c>
      <c r="O170" s="15" t="s">
        <v>305</v>
      </c>
      <c r="P170" s="21">
        <f t="shared" ref="P170:U170" si="55">H102*$B$101</f>
        <v>2515568.3941057692</v>
      </c>
      <c r="Q170" s="21">
        <f t="shared" si="55"/>
        <v>2507793.1136685545</v>
      </c>
      <c r="R170" s="21">
        <f t="shared" si="55"/>
        <v>2505365.4667716357</v>
      </c>
      <c r="S170" s="21">
        <f t="shared" si="55"/>
        <v>2504885.9191906862</v>
      </c>
      <c r="T170" s="21">
        <f t="shared" si="55"/>
        <v>2504823.6245222967</v>
      </c>
      <c r="U170" s="21">
        <f t="shared" si="55"/>
        <v>2504818.2097256146</v>
      </c>
      <c r="W170" s="15" t="s">
        <v>305</v>
      </c>
      <c r="X170" s="21">
        <f t="shared" ref="X170:AC170" si="56">H48*$B$102*$B$103*24*365</f>
        <v>5839052.2916283924</v>
      </c>
      <c r="Y170" s="21">
        <f t="shared" si="56"/>
        <v>5793856.4100137381</v>
      </c>
      <c r="Z170" s="21">
        <f t="shared" si="56"/>
        <v>5779788.2997184107</v>
      </c>
      <c r="AA170" s="21">
        <f t="shared" si="56"/>
        <v>5777011.7734889891</v>
      </c>
      <c r="AB170" s="21">
        <f t="shared" si="56"/>
        <v>5776651.1532675801</v>
      </c>
      <c r="AC170" s="21">
        <f t="shared" si="56"/>
        <v>5776619.8079630183</v>
      </c>
    </row>
    <row r="171" spans="7:29" ht="14.4" x14ac:dyDescent="0.25">
      <c r="G171" s="15" t="s">
        <v>306</v>
      </c>
      <c r="H171" s="21">
        <f t="shared" ref="H171:M171" si="57">H103*$B$100</f>
        <v>6927886.9184032539</v>
      </c>
      <c r="I171" s="21">
        <f t="shared" si="57"/>
        <v>6929177.2231880575</v>
      </c>
      <c r="J171" s="21">
        <f t="shared" si="57"/>
        <v>6929530.7654309319</v>
      </c>
      <c r="K171" s="21">
        <f t="shared" si="57"/>
        <v>6929617.2703617038</v>
      </c>
      <c r="L171" s="21">
        <f t="shared" si="57"/>
        <v>6929636.0795145957</v>
      </c>
      <c r="M171" s="21">
        <f t="shared" si="57"/>
        <v>6929639.6760410937</v>
      </c>
      <c r="O171" s="15" t="s">
        <v>306</v>
      </c>
      <c r="P171" s="21">
        <f t="shared" ref="P171:U171" si="58">H103*$B$101</f>
        <v>2716818.3993738252</v>
      </c>
      <c r="Q171" s="21">
        <f t="shared" si="58"/>
        <v>2717324.401250219</v>
      </c>
      <c r="R171" s="21">
        <f t="shared" si="58"/>
        <v>2717463.0452670325</v>
      </c>
      <c r="S171" s="21">
        <f t="shared" si="58"/>
        <v>2717496.9687692956</v>
      </c>
      <c r="T171" s="21">
        <f t="shared" si="58"/>
        <v>2717504.3449076847</v>
      </c>
      <c r="U171" s="21">
        <f t="shared" si="58"/>
        <v>2717505.7553102332</v>
      </c>
      <c r="W171" s="15" t="s">
        <v>306</v>
      </c>
      <c r="X171" s="21">
        <f t="shared" ref="X171:AC171" si="59">H49*$B$102*$B$103*24*365</f>
        <v>7083329.3462434681</v>
      </c>
      <c r="Y171" s="21">
        <f t="shared" si="59"/>
        <v>7086640.9902608013</v>
      </c>
      <c r="Z171" s="21">
        <f t="shared" si="59"/>
        <v>7087548.5398822036</v>
      </c>
      <c r="AA171" s="21">
        <f t="shared" si="59"/>
        <v>7087770.6103135012</v>
      </c>
      <c r="AB171" s="21">
        <f t="shared" si="59"/>
        <v>7087818.896631374</v>
      </c>
      <c r="AC171" s="21">
        <f t="shared" si="59"/>
        <v>7087828.1295535723</v>
      </c>
    </row>
    <row r="172" spans="7:29" ht="14.4" x14ac:dyDescent="0.25">
      <c r="G172" s="15" t="s">
        <v>307</v>
      </c>
      <c r="H172" s="21">
        <f t="shared" ref="H172:M172" si="60">H104*$B$100</f>
        <v>24988102.066883717</v>
      </c>
      <c r="I172" s="21">
        <f t="shared" si="60"/>
        <v>24970859.031602863</v>
      </c>
      <c r="J172" s="21">
        <f t="shared" si="60"/>
        <v>24970652.494555302</v>
      </c>
      <c r="K172" s="21">
        <f t="shared" si="60"/>
        <v>24972073.198510267</v>
      </c>
      <c r="L172" s="21">
        <f t="shared" si="60"/>
        <v>24971966.593135584</v>
      </c>
      <c r="M172" s="21">
        <f t="shared" si="60"/>
        <v>24971448.774096586</v>
      </c>
      <c r="O172" s="15" t="s">
        <v>307</v>
      </c>
      <c r="P172" s="21">
        <f t="shared" ref="P172:U172" si="61">H104*$B$101</f>
        <v>9799255.7125034183</v>
      </c>
      <c r="Q172" s="21">
        <f t="shared" si="61"/>
        <v>9792493.7378834765</v>
      </c>
      <c r="R172" s="21">
        <f t="shared" si="61"/>
        <v>9792412.7429628652</v>
      </c>
      <c r="S172" s="21">
        <f t="shared" si="61"/>
        <v>9792969.8817687314</v>
      </c>
      <c r="T172" s="21">
        <f t="shared" si="61"/>
        <v>9792928.0757394452</v>
      </c>
      <c r="U172" s="21">
        <f t="shared" si="61"/>
        <v>9792725.0094496422</v>
      </c>
      <c r="W172" s="15" t="s">
        <v>307</v>
      </c>
      <c r="X172" s="21">
        <f t="shared" ref="X172:AC172" si="62">H50*$B$102*$B$103*24*365</f>
        <v>62210192.57656499</v>
      </c>
      <c r="Y172" s="21">
        <f t="shared" si="62"/>
        <v>62102567.107065111</v>
      </c>
      <c r="Z172" s="21">
        <f t="shared" si="62"/>
        <v>62101278.648108907</v>
      </c>
      <c r="AA172" s="21">
        <f t="shared" si="62"/>
        <v>62110141.880374193</v>
      </c>
      <c r="AB172" s="21">
        <f t="shared" si="62"/>
        <v>62109476.7835593</v>
      </c>
      <c r="AC172" s="21">
        <f t="shared" si="62"/>
        <v>62106246.24003838</v>
      </c>
    </row>
    <row r="173" spans="7:29" ht="14.4" x14ac:dyDescent="0.25">
      <c r="G173" s="15" t="s">
        <v>308</v>
      </c>
      <c r="H173" s="21">
        <f t="shared" ref="H173:M173" si="63">H105*$B$100</f>
        <v>7844250.057812985</v>
      </c>
      <c r="I173" s="21">
        <f t="shared" si="63"/>
        <v>7607398.0904007051</v>
      </c>
      <c r="J173" s="21">
        <f t="shared" si="63"/>
        <v>7373620.5588730462</v>
      </c>
      <c r="K173" s="21">
        <f t="shared" si="63"/>
        <v>7172173.22275142</v>
      </c>
      <c r="L173" s="21">
        <f t="shared" si="63"/>
        <v>7017873.5115123885</v>
      </c>
      <c r="M173" s="21">
        <f t="shared" si="63"/>
        <v>6911834.0772462366</v>
      </c>
      <c r="O173" s="15" t="s">
        <v>308</v>
      </c>
      <c r="P173" s="21">
        <f t="shared" ref="P173:U173" si="64">H105*$B$101</f>
        <v>3076176.4932599943</v>
      </c>
      <c r="Q173" s="21">
        <f t="shared" si="64"/>
        <v>2983293.3687845902</v>
      </c>
      <c r="R173" s="21">
        <f t="shared" si="64"/>
        <v>2891615.9054404106</v>
      </c>
      <c r="S173" s="21">
        <f t="shared" si="64"/>
        <v>2812616.9500985965</v>
      </c>
      <c r="T173" s="21">
        <f t="shared" si="64"/>
        <v>2752107.259416623</v>
      </c>
      <c r="U173" s="21">
        <f t="shared" si="64"/>
        <v>2710523.167547544</v>
      </c>
      <c r="W173" s="15" t="s">
        <v>308</v>
      </c>
      <c r="X173" s="21">
        <f t="shared" ref="X173:AC173" si="65">H51*$B$102*$B$103*24*365</f>
        <v>9674718.581834808</v>
      </c>
      <c r="Y173" s="21">
        <f t="shared" si="65"/>
        <v>8958233.3877256736</v>
      </c>
      <c r="Z173" s="21">
        <f t="shared" si="65"/>
        <v>8283289.0877483869</v>
      </c>
      <c r="AA173" s="21">
        <f t="shared" si="65"/>
        <v>7726991.5825126506</v>
      </c>
      <c r="AB173" s="21">
        <f t="shared" si="65"/>
        <v>7316520.6224893229</v>
      </c>
      <c r="AC173" s="21">
        <f t="shared" si="65"/>
        <v>7042206.5449421806</v>
      </c>
    </row>
    <row r="174" spans="7:29" ht="14.4" x14ac:dyDescent="0.25">
      <c r="G174" s="15" t="s">
        <v>309</v>
      </c>
      <c r="H174" s="21">
        <f t="shared" ref="H174:M174" si="66">H106*$B$100</f>
        <v>35980128.83928553</v>
      </c>
      <c r="I174" s="21">
        <f t="shared" si="66"/>
        <v>35737873.906025507</v>
      </c>
      <c r="J174" s="21">
        <f t="shared" si="66"/>
        <v>35563823.508071072</v>
      </c>
      <c r="K174" s="21">
        <f t="shared" si="66"/>
        <v>35489213.622907996</v>
      </c>
      <c r="L174" s="21">
        <f t="shared" si="66"/>
        <v>35468573.624736689</v>
      </c>
      <c r="M174" s="21">
        <f t="shared" si="66"/>
        <v>35464772.386770613</v>
      </c>
      <c r="O174" s="15" t="s">
        <v>309</v>
      </c>
      <c r="P174" s="21">
        <f t="shared" ref="P174:U174" si="67">H106*$B$101</f>
        <v>14109854.44677864</v>
      </c>
      <c r="Q174" s="21">
        <f t="shared" si="67"/>
        <v>14014852.512166865</v>
      </c>
      <c r="R174" s="21">
        <f t="shared" si="67"/>
        <v>13946597.454145519</v>
      </c>
      <c r="S174" s="21">
        <f t="shared" si="67"/>
        <v>13917338.675650194</v>
      </c>
      <c r="T174" s="21">
        <f t="shared" si="67"/>
        <v>13909244.55872027</v>
      </c>
      <c r="U174" s="21">
        <f t="shared" si="67"/>
        <v>13907753.877164945</v>
      </c>
      <c r="W174" s="15" t="s">
        <v>309</v>
      </c>
      <c r="X174" s="21">
        <f t="shared" ref="X174:AC174" si="68">H52*$B$102*$B$103*24*365</f>
        <v>84216657.652345687</v>
      </c>
      <c r="Y174" s="21">
        <f t="shared" si="68"/>
        <v>82801463.502502203</v>
      </c>
      <c r="Z174" s="21">
        <f t="shared" si="68"/>
        <v>81793589.041725501</v>
      </c>
      <c r="AA174" s="21">
        <f t="shared" si="68"/>
        <v>81363815.025759473</v>
      </c>
      <c r="AB174" s="21">
        <f t="shared" si="68"/>
        <v>81245163.022344127</v>
      </c>
      <c r="AC174" s="21">
        <f t="shared" si="68"/>
        <v>81223322.404985696</v>
      </c>
    </row>
    <row r="175" spans="7:29" ht="14.4" x14ac:dyDescent="0.25">
      <c r="G175" s="15" t="s">
        <v>310</v>
      </c>
      <c r="H175" s="21">
        <f t="shared" ref="H175:M175" si="69">H107*$B$100</f>
        <v>22098324.731798891</v>
      </c>
      <c r="I175" s="21">
        <f t="shared" si="69"/>
        <v>22072460.429729614</v>
      </c>
      <c r="J175" s="21">
        <f t="shared" si="69"/>
        <v>22086326.321040928</v>
      </c>
      <c r="K175" s="21">
        <f t="shared" si="69"/>
        <v>22118188.688008629</v>
      </c>
      <c r="L175" s="21">
        <f t="shared" si="69"/>
        <v>22148013.825115673</v>
      </c>
      <c r="M175" s="21">
        <f t="shared" si="69"/>
        <v>22167303.936288387</v>
      </c>
      <c r="O175" s="15" t="s">
        <v>310</v>
      </c>
      <c r="P175" s="21">
        <f t="shared" ref="P175:U175" si="70">H107*$B$101</f>
        <v>8666009.698744664</v>
      </c>
      <c r="Q175" s="21">
        <f t="shared" si="70"/>
        <v>8655866.8351880834</v>
      </c>
      <c r="R175" s="21">
        <f t="shared" si="70"/>
        <v>8661304.4396238942</v>
      </c>
      <c r="S175" s="21">
        <f t="shared" si="70"/>
        <v>8673799.4854935799</v>
      </c>
      <c r="T175" s="21">
        <f t="shared" si="70"/>
        <v>8685495.6176924221</v>
      </c>
      <c r="U175" s="21">
        <f t="shared" si="70"/>
        <v>8693060.3671719171</v>
      </c>
      <c r="W175" s="15" t="s">
        <v>310</v>
      </c>
      <c r="X175" s="21">
        <f t="shared" ref="X175:AC175" si="71">H53*$B$102*$B$103*24*365</f>
        <v>45705671.897525653</v>
      </c>
      <c r="Y175" s="21">
        <f t="shared" si="71"/>
        <v>45571587.890019171</v>
      </c>
      <c r="Z175" s="21">
        <f t="shared" si="71"/>
        <v>45643441.087927081</v>
      </c>
      <c r="AA175" s="21">
        <f t="shared" si="71"/>
        <v>45808810.087563455</v>
      </c>
      <c r="AB175" s="21">
        <f t="shared" si="71"/>
        <v>45963931.466849282</v>
      </c>
      <c r="AC175" s="21">
        <f t="shared" si="71"/>
        <v>46064427.763450474</v>
      </c>
    </row>
    <row r="177" spans="7:29" ht="13.2" x14ac:dyDescent="0.25">
      <c r="H177" s="51" t="s">
        <v>332</v>
      </c>
      <c r="I177" s="49"/>
      <c r="J177" s="49"/>
      <c r="K177" s="49"/>
      <c r="L177" s="49"/>
      <c r="M177" s="50"/>
      <c r="P177" s="51" t="s">
        <v>333</v>
      </c>
      <c r="Q177" s="49"/>
      <c r="R177" s="49"/>
      <c r="S177" s="49"/>
      <c r="T177" s="49"/>
      <c r="U177" s="50"/>
      <c r="X177" s="51" t="s">
        <v>334</v>
      </c>
      <c r="Y177" s="49"/>
      <c r="Z177" s="49"/>
      <c r="AA177" s="49"/>
      <c r="AB177" s="49"/>
      <c r="AC177" s="50"/>
    </row>
    <row r="178" spans="7:29" ht="13.2" x14ac:dyDescent="0.25">
      <c r="H178" s="17">
        <v>2025</v>
      </c>
      <c r="I178" s="17">
        <v>2026</v>
      </c>
      <c r="J178" s="17">
        <v>2027</v>
      </c>
      <c r="K178" s="17">
        <v>2028</v>
      </c>
      <c r="L178" s="17">
        <v>2029</v>
      </c>
      <c r="M178" s="17">
        <v>2030</v>
      </c>
      <c r="P178" s="17">
        <v>2025</v>
      </c>
      <c r="Q178" s="17">
        <v>2026</v>
      </c>
      <c r="R178" s="17">
        <v>2027</v>
      </c>
      <c r="S178" s="17">
        <v>2028</v>
      </c>
      <c r="T178" s="17">
        <v>2029</v>
      </c>
      <c r="U178" s="17">
        <v>2030</v>
      </c>
      <c r="X178" s="17">
        <v>2025</v>
      </c>
      <c r="Y178" s="17">
        <v>2026</v>
      </c>
      <c r="Z178" s="17">
        <v>2027</v>
      </c>
      <c r="AA178" s="17">
        <v>2028</v>
      </c>
      <c r="AB178" s="17">
        <v>2029</v>
      </c>
      <c r="AC178" s="17">
        <v>2030</v>
      </c>
    </row>
    <row r="179" spans="7:29" ht="14.4" x14ac:dyDescent="0.25">
      <c r="G179" s="15" t="s">
        <v>312</v>
      </c>
      <c r="H179" s="21">
        <f t="shared" ref="H179:M179" si="72">H111*$B$100</f>
        <v>6552849.9856619714</v>
      </c>
      <c r="I179" s="21">
        <f t="shared" si="72"/>
        <v>6511942.8216677811</v>
      </c>
      <c r="J179" s="21">
        <f t="shared" si="72"/>
        <v>6471291.3045223914</v>
      </c>
      <c r="K179" s="21">
        <f t="shared" si="72"/>
        <v>6430893.8353084885</v>
      </c>
      <c r="L179" s="21">
        <f t="shared" si="72"/>
        <v>6390748.8251148025</v>
      </c>
      <c r="M179" s="21">
        <f t="shared" si="72"/>
        <v>6350854.6949734604</v>
      </c>
      <c r="O179" s="15" t="s">
        <v>312</v>
      </c>
      <c r="P179" s="21">
        <f t="shared" ref="P179:U179" si="73">H111*$B$101</f>
        <v>2569745.0924164597</v>
      </c>
      <c r="Q179" s="21">
        <f t="shared" si="73"/>
        <v>2553703.0673206989</v>
      </c>
      <c r="R179" s="21">
        <f t="shared" si="73"/>
        <v>2537761.2958911341</v>
      </c>
      <c r="S179" s="21">
        <f t="shared" si="73"/>
        <v>2521919.151101368</v>
      </c>
      <c r="T179" s="21">
        <f t="shared" si="73"/>
        <v>2506176.0098489425</v>
      </c>
      <c r="U179" s="21">
        <f t="shared" si="73"/>
        <v>2490531.2529307688</v>
      </c>
      <c r="W179" s="15" t="s">
        <v>312</v>
      </c>
      <c r="X179" s="21">
        <f t="shared" ref="X179:AC179" si="74">H57*$B$102*$B$103*24*365</f>
        <v>6159852.2203153316</v>
      </c>
      <c r="Y179" s="21">
        <f t="shared" si="74"/>
        <v>6063785.896859128</v>
      </c>
      <c r="Z179" s="21">
        <f t="shared" si="74"/>
        <v>5969217.7811800409</v>
      </c>
      <c r="AA179" s="21">
        <f t="shared" si="74"/>
        <v>5876124.5078940075</v>
      </c>
      <c r="AB179" s="21">
        <f t="shared" si="74"/>
        <v>5784483.076013132</v>
      </c>
      <c r="AC179" s="21">
        <f t="shared" si="74"/>
        <v>5694270.8432627199</v>
      </c>
    </row>
    <row r="180" spans="7:29" ht="14.4" x14ac:dyDescent="0.25">
      <c r="G180" s="15" t="s">
        <v>313</v>
      </c>
      <c r="H180" s="21">
        <f t="shared" ref="H180:M180" si="75">H112*$B$100</f>
        <v>6992226.7137812329</v>
      </c>
      <c r="I180" s="21">
        <f t="shared" si="75"/>
        <v>6948573.6134154061</v>
      </c>
      <c r="J180" s="21">
        <f t="shared" si="75"/>
        <v>6905193.3344353661</v>
      </c>
      <c r="K180" s="21">
        <f t="shared" si="75"/>
        <v>6862084.1704436503</v>
      </c>
      <c r="L180" s="21">
        <f t="shared" si="75"/>
        <v>6819244.4257217646</v>
      </c>
      <c r="M180" s="21">
        <f t="shared" si="75"/>
        <v>6776672.4151632851</v>
      </c>
      <c r="O180" s="15" t="s">
        <v>313</v>
      </c>
      <c r="P180" s="21">
        <f t="shared" ref="P180:U180" si="76">H112*$B$101</f>
        <v>2742049.6916789152</v>
      </c>
      <c r="Q180" s="21">
        <f t="shared" si="76"/>
        <v>2724930.8287903555</v>
      </c>
      <c r="R180" s="21">
        <f t="shared" si="76"/>
        <v>2707918.9546805359</v>
      </c>
      <c r="S180" s="21">
        <f t="shared" si="76"/>
        <v>2691013.4001739807</v>
      </c>
      <c r="T180" s="21">
        <f t="shared" si="76"/>
        <v>2674213.5002830452</v>
      </c>
      <c r="U180" s="21">
        <f t="shared" si="76"/>
        <v>2657518.5941816806</v>
      </c>
      <c r="W180" s="15" t="s">
        <v>313</v>
      </c>
      <c r="X180" s="21">
        <f t="shared" ref="X180:AC180" si="77">H58*$B$102*$B$103*24*365</f>
        <v>7249596.66046621</v>
      </c>
      <c r="Y180" s="21">
        <f t="shared" si="77"/>
        <v>7136535.1660013804</v>
      </c>
      <c r="Z180" s="21">
        <f t="shared" si="77"/>
        <v>7025236.9284636928</v>
      </c>
      <c r="AA180" s="21">
        <f t="shared" si="77"/>
        <v>6915674.4488800941</v>
      </c>
      <c r="AB180" s="21">
        <f t="shared" si="77"/>
        <v>6807820.6571392994</v>
      </c>
      <c r="AC180" s="21">
        <f t="shared" si="77"/>
        <v>6701648.9053034913</v>
      </c>
    </row>
    <row r="181" spans="7:29" ht="14.4" x14ac:dyDescent="0.25">
      <c r="G181" s="15" t="s">
        <v>314</v>
      </c>
      <c r="H181" s="21">
        <f t="shared" ref="H181:M181" si="78">H113*$B$100</f>
        <v>24959481.782012753</v>
      </c>
      <c r="I181" s="21">
        <f t="shared" si="78"/>
        <v>24803568.00128331</v>
      </c>
      <c r="J181" s="21">
        <f t="shared" si="78"/>
        <v>24648629.052814446</v>
      </c>
      <c r="K181" s="21">
        <f t="shared" si="78"/>
        <v>24494658.837525163</v>
      </c>
      <c r="L181" s="21">
        <f t="shared" si="78"/>
        <v>24341651.294512149</v>
      </c>
      <c r="M181" s="21">
        <f t="shared" si="78"/>
        <v>24189600.400810633</v>
      </c>
      <c r="O181" s="15" t="s">
        <v>314</v>
      </c>
      <c r="P181" s="21">
        <f t="shared" ref="P181:U181" si="79">H113*$B$101</f>
        <v>9788032.0713775512</v>
      </c>
      <c r="Q181" s="21">
        <f t="shared" si="79"/>
        <v>9726889.4122679662</v>
      </c>
      <c r="R181" s="21">
        <f t="shared" si="79"/>
        <v>9666129.0403193906</v>
      </c>
      <c r="S181" s="21">
        <f t="shared" si="79"/>
        <v>9605748.5637353584</v>
      </c>
      <c r="T181" s="21">
        <f t="shared" si="79"/>
        <v>9545745.6056910381</v>
      </c>
      <c r="U181" s="21">
        <f t="shared" si="79"/>
        <v>9486117.8042394649</v>
      </c>
      <c r="W181" s="15" t="s">
        <v>314</v>
      </c>
      <c r="X181" s="21">
        <f t="shared" ref="X181:AC181" si="80">H59*$B$102*$B$103*24*365</f>
        <v>62031615.300779864</v>
      </c>
      <c r="Y181" s="21">
        <f t="shared" si="80"/>
        <v>61064197.738335378</v>
      </c>
      <c r="Z181" s="21">
        <f t="shared" si="80"/>
        <v>60111867.591164328</v>
      </c>
      <c r="AA181" s="21">
        <f t="shared" si="80"/>
        <v>59174389.562629126</v>
      </c>
      <c r="AB181" s="21">
        <f t="shared" si="80"/>
        <v>58251532.025674082</v>
      </c>
      <c r="AC181" s="21">
        <f t="shared" si="80"/>
        <v>57343066.965596452</v>
      </c>
    </row>
    <row r="182" spans="7:29" ht="14.4" x14ac:dyDescent="0.25">
      <c r="G182" s="15" t="s">
        <v>315</v>
      </c>
      <c r="H182" s="21">
        <f t="shared" ref="H182:M182" si="81">H114*$B$100</f>
        <v>8099527.6568861939</v>
      </c>
      <c r="I182" s="21">
        <f t="shared" si="81"/>
        <v>8048953.7729287175</v>
      </c>
      <c r="J182" s="21">
        <f t="shared" si="81"/>
        <v>7998695.9992240993</v>
      </c>
      <c r="K182" s="21">
        <f t="shared" si="81"/>
        <v>7948752.3584564179</v>
      </c>
      <c r="L182" s="21">
        <f t="shared" si="81"/>
        <v>7899120.8856848814</v>
      </c>
      <c r="M182" s="21">
        <f t="shared" si="81"/>
        <v>7849799.6282663895</v>
      </c>
      <c r="O182" s="15" t="s">
        <v>315</v>
      </c>
      <c r="P182" s="21">
        <f t="shared" ref="P182:U182" si="82">H114*$B$101</f>
        <v>3176285.3556416444</v>
      </c>
      <c r="Q182" s="21">
        <f t="shared" si="82"/>
        <v>3156452.4599720463</v>
      </c>
      <c r="R182" s="21">
        <f t="shared" si="82"/>
        <v>3136743.5291074901</v>
      </c>
      <c r="S182" s="21">
        <f t="shared" si="82"/>
        <v>3117157.787629968</v>
      </c>
      <c r="T182" s="21">
        <f t="shared" si="82"/>
        <v>3097694.4649744635</v>
      </c>
      <c r="U182" s="21">
        <f t="shared" si="82"/>
        <v>3078352.7953985841</v>
      </c>
      <c r="W182" s="15" t="s">
        <v>315</v>
      </c>
      <c r="X182" s="21">
        <f t="shared" ref="X182:AC182" si="83">H60*$B$102*$B$103*24*365</f>
        <v>10484344.975233246</v>
      </c>
      <c r="Y182" s="21">
        <f t="shared" si="83"/>
        <v>10320835.780597789</v>
      </c>
      <c r="Z182" s="21">
        <f t="shared" si="83"/>
        <v>10159876.602848785</v>
      </c>
      <c r="AA182" s="21">
        <f t="shared" si="83"/>
        <v>10001427.673053768</v>
      </c>
      <c r="AB182" s="21">
        <f t="shared" si="83"/>
        <v>9845449.8424988929</v>
      </c>
      <c r="AC182" s="21">
        <f t="shared" si="83"/>
        <v>9691904.5730162822</v>
      </c>
    </row>
    <row r="183" spans="7:29" ht="14.4" x14ac:dyDescent="0.25">
      <c r="G183" s="15" t="s">
        <v>316</v>
      </c>
      <c r="H183" s="21">
        <f t="shared" ref="H183:M183" si="84">H115*$B$100</f>
        <v>47318686.158841796</v>
      </c>
      <c r="I183" s="21">
        <f t="shared" si="84"/>
        <v>47023116.2656665</v>
      </c>
      <c r="J183" s="21">
        <f t="shared" si="84"/>
        <v>46729394.321357056</v>
      </c>
      <c r="K183" s="21">
        <f t="shared" si="84"/>
        <v>46437508.764443263</v>
      </c>
      <c r="L183" s="21">
        <f t="shared" si="84"/>
        <v>38816449.59978997</v>
      </c>
      <c r="M183" s="21">
        <f t="shared" si="84"/>
        <v>38573967.860001326</v>
      </c>
      <c r="O183" s="15" t="s">
        <v>316</v>
      </c>
      <c r="P183" s="21">
        <f t="shared" ref="P183:U183" si="85">H115*$B$101</f>
        <v>18556347.513271295</v>
      </c>
      <c r="Q183" s="21">
        <f t="shared" si="85"/>
        <v>18440437.751241766</v>
      </c>
      <c r="R183" s="21">
        <f t="shared" si="85"/>
        <v>18325252.675041985</v>
      </c>
      <c r="S183" s="21">
        <f t="shared" si="85"/>
        <v>18210787.750762064</v>
      </c>
      <c r="T183" s="21">
        <f t="shared" si="85"/>
        <v>15222137.097956851</v>
      </c>
      <c r="U183" s="21">
        <f t="shared" si="85"/>
        <v>15127046.219608365</v>
      </c>
      <c r="W183" s="15" t="s">
        <v>316</v>
      </c>
      <c r="X183" s="21">
        <f t="shared" ref="X183:AC183" si="86">H61*$B$102*$B$103*24*365</f>
        <v>108483560.70268135</v>
      </c>
      <c r="Y183" s="21">
        <f t="shared" si="86"/>
        <v>106791699.20026179</v>
      </c>
      <c r="Z183" s="21">
        <f t="shared" si="86"/>
        <v>105126223.21952716</v>
      </c>
      <c r="AA183" s="21">
        <f t="shared" si="86"/>
        <v>103486721.26358257</v>
      </c>
      <c r="AB183" s="21">
        <f t="shared" si="86"/>
        <v>101872788.25305641</v>
      </c>
      <c r="AC183" s="21">
        <f t="shared" si="86"/>
        <v>100284025.42601532</v>
      </c>
    </row>
    <row r="184" spans="7:29" ht="14.4" x14ac:dyDescent="0.25">
      <c r="G184" s="15" t="s">
        <v>317</v>
      </c>
      <c r="H184" s="21">
        <f t="shared" ref="H184:M184" si="87">H116*$B$100</f>
        <v>21169988.087849133</v>
      </c>
      <c r="I184" s="21">
        <f t="shared" si="87"/>
        <v>21037766.427302744</v>
      </c>
      <c r="J184" s="21">
        <f t="shared" si="87"/>
        <v>20906371.373856556</v>
      </c>
      <c r="K184" s="21">
        <f t="shared" si="87"/>
        <v>20775797.756230846</v>
      </c>
      <c r="L184" s="21">
        <f t="shared" si="87"/>
        <v>20646040.435514014</v>
      </c>
      <c r="M184" s="21">
        <f t="shared" si="87"/>
        <v>20517094.304959875</v>
      </c>
      <c r="O184" s="15" t="s">
        <v>317</v>
      </c>
      <c r="P184" s="21">
        <f t="shared" ref="P184:U184" si="88">H116*$B$101</f>
        <v>8301956.1128820125</v>
      </c>
      <c r="Q184" s="21">
        <f t="shared" si="88"/>
        <v>8250104.4812951945</v>
      </c>
      <c r="R184" s="21">
        <f t="shared" si="88"/>
        <v>8198577.0093555124</v>
      </c>
      <c r="S184" s="21">
        <f t="shared" si="88"/>
        <v>8147371.6691101361</v>
      </c>
      <c r="T184" s="21">
        <f t="shared" si="88"/>
        <v>8096486.4452996142</v>
      </c>
      <c r="U184" s="21">
        <f t="shared" si="88"/>
        <v>8045919.3352783816</v>
      </c>
      <c r="W184" s="15" t="s">
        <v>317</v>
      </c>
      <c r="X184" s="21">
        <f t="shared" ref="X184:AC184" si="89">H62*$B$102*$B$103*24*365</f>
        <v>41040263.251846507</v>
      </c>
      <c r="Y184" s="21">
        <f t="shared" si="89"/>
        <v>40400217.50671044</v>
      </c>
      <c r="Z184" s="21">
        <f t="shared" si="89"/>
        <v>39770153.631167948</v>
      </c>
      <c r="AA184" s="21">
        <f t="shared" si="89"/>
        <v>39149915.952407673</v>
      </c>
      <c r="AB184" s="21">
        <f t="shared" si="89"/>
        <v>38539351.225422256</v>
      </c>
      <c r="AC184" s="21">
        <f t="shared" si="89"/>
        <v>37938308.595145613</v>
      </c>
    </row>
    <row r="188" spans="7:29" ht="13.2" x14ac:dyDescent="0.25">
      <c r="H188" s="54" t="s">
        <v>335</v>
      </c>
      <c r="I188" s="49"/>
      <c r="J188" s="49"/>
      <c r="K188" s="49"/>
      <c r="L188" s="49"/>
      <c r="M188" s="50"/>
      <c r="Q188" s="1"/>
      <c r="Y188" s="5"/>
      <c r="Z188" s="5"/>
      <c r="AA188" s="5"/>
    </row>
    <row r="189" spans="7:29" ht="13.2" x14ac:dyDescent="0.25">
      <c r="H189" s="17">
        <v>2025</v>
      </c>
      <c r="I189" s="17">
        <v>2026</v>
      </c>
      <c r="J189" s="17">
        <v>2027</v>
      </c>
      <c r="K189" s="17">
        <v>2028</v>
      </c>
      <c r="L189" s="17">
        <v>2029</v>
      </c>
      <c r="M189" s="17">
        <v>2030</v>
      </c>
      <c r="Q189" s="1"/>
      <c r="R189" s="5"/>
      <c r="S189" s="5"/>
      <c r="T189" s="5"/>
      <c r="U189" s="5"/>
      <c r="Y189" s="5"/>
      <c r="Z189" s="5"/>
      <c r="AA189" s="5"/>
    </row>
    <row r="190" spans="7:29" ht="14.4" x14ac:dyDescent="0.25">
      <c r="G190" s="15" t="s">
        <v>305</v>
      </c>
      <c r="H190" s="21">
        <f t="shared" ref="H190:M190" si="90">H170+P170+X170</f>
        <v>14769320.090703873</v>
      </c>
      <c r="I190" s="21">
        <f t="shared" si="90"/>
        <v>14696521.963537108</v>
      </c>
      <c r="J190" s="21">
        <f t="shared" si="90"/>
        <v>14673835.706757717</v>
      </c>
      <c r="K190" s="21">
        <f t="shared" si="90"/>
        <v>14669356.786615925</v>
      </c>
      <c r="L190" s="21">
        <f t="shared" si="90"/>
        <v>14668775.020321734</v>
      </c>
      <c r="M190" s="21">
        <f t="shared" si="90"/>
        <v>14668724.452488951</v>
      </c>
      <c r="Q190" s="1"/>
      <c r="U190" s="5"/>
      <c r="Y190" s="5"/>
      <c r="Z190" s="5"/>
      <c r="AA190" s="5"/>
    </row>
    <row r="191" spans="7:29" ht="14.4" x14ac:dyDescent="0.25">
      <c r="G191" s="15" t="s">
        <v>306</v>
      </c>
      <c r="H191" s="21">
        <f t="shared" ref="H191:M191" si="91">H171+P171+X171</f>
        <v>16728034.664020546</v>
      </c>
      <c r="I191" s="21">
        <f t="shared" si="91"/>
        <v>16733142.614699077</v>
      </c>
      <c r="J191" s="21">
        <f t="shared" si="91"/>
        <v>16734542.350580169</v>
      </c>
      <c r="K191" s="21">
        <f t="shared" si="91"/>
        <v>16734884.849444501</v>
      </c>
      <c r="L191" s="21">
        <f t="shared" si="91"/>
        <v>16734959.321053654</v>
      </c>
      <c r="M191" s="21">
        <f t="shared" si="91"/>
        <v>16734973.560904898</v>
      </c>
      <c r="Q191" s="1"/>
      <c r="R191" s="5"/>
      <c r="S191" s="5"/>
      <c r="T191" s="5"/>
      <c r="U191" s="5"/>
      <c r="Y191" s="5"/>
      <c r="Z191" s="5"/>
      <c r="AA191" s="5"/>
    </row>
    <row r="192" spans="7:29" ht="14.4" x14ac:dyDescent="0.25">
      <c r="G192" s="15" t="s">
        <v>307</v>
      </c>
      <c r="H192" s="21">
        <f t="shared" ref="H192:M192" si="92">H172+P172+X172</f>
        <v>96997550.355952114</v>
      </c>
      <c r="I192" s="21">
        <f t="shared" si="92"/>
        <v>96865919.876551449</v>
      </c>
      <c r="J192" s="21">
        <f t="shared" si="92"/>
        <v>96864343.885627076</v>
      </c>
      <c r="K192" s="21">
        <f t="shared" si="92"/>
        <v>96875184.960653186</v>
      </c>
      <c r="L192" s="21">
        <f t="shared" si="92"/>
        <v>96874371.452434331</v>
      </c>
      <c r="M192" s="21">
        <f t="shared" si="92"/>
        <v>96870420.023584604</v>
      </c>
      <c r="Q192" s="1"/>
      <c r="U192" s="5"/>
      <c r="Y192" s="5"/>
      <c r="Z192" s="5"/>
      <c r="AA192" s="5"/>
    </row>
    <row r="193" spans="7:27" ht="14.4" x14ac:dyDescent="0.25">
      <c r="G193" s="15" t="s">
        <v>308</v>
      </c>
      <c r="H193" s="21">
        <f t="shared" ref="H193:M193" si="93">H173+P173+X173</f>
        <v>20595145.132907785</v>
      </c>
      <c r="I193" s="21">
        <f t="shared" si="93"/>
        <v>19548924.846910968</v>
      </c>
      <c r="J193" s="21">
        <f t="shared" si="93"/>
        <v>18548525.552061845</v>
      </c>
      <c r="K193" s="21">
        <f t="shared" si="93"/>
        <v>17711781.755362667</v>
      </c>
      <c r="L193" s="21">
        <f t="shared" si="93"/>
        <v>17086501.393418334</v>
      </c>
      <c r="M193" s="21">
        <f t="shared" si="93"/>
        <v>16664563.789735962</v>
      </c>
      <c r="Q193" s="1"/>
      <c r="R193" s="5"/>
      <c r="S193" s="5"/>
      <c r="T193" s="5"/>
      <c r="U193" s="5"/>
      <c r="Y193" s="5"/>
      <c r="Z193" s="5"/>
      <c r="AA193" s="5"/>
    </row>
    <row r="194" spans="7:27" ht="14.4" x14ac:dyDescent="0.25">
      <c r="G194" s="15" t="s">
        <v>309</v>
      </c>
      <c r="H194" s="21">
        <f t="shared" ref="H194:M194" si="94">H174+P174+X174</f>
        <v>134306640.93840986</v>
      </c>
      <c r="I194" s="21">
        <f t="shared" si="94"/>
        <v>132554189.92069457</v>
      </c>
      <c r="J194" s="21">
        <f t="shared" si="94"/>
        <v>131304010.0039421</v>
      </c>
      <c r="K194" s="21">
        <f t="shared" si="94"/>
        <v>130770367.32431766</v>
      </c>
      <c r="L194" s="21">
        <f t="shared" si="94"/>
        <v>130622981.20580108</v>
      </c>
      <c r="M194" s="21">
        <f t="shared" si="94"/>
        <v>130595848.66892126</v>
      </c>
      <c r="Q194" s="1"/>
      <c r="U194" s="5"/>
      <c r="Y194" s="5"/>
      <c r="Z194" s="5"/>
      <c r="AA194" s="5"/>
    </row>
    <row r="195" spans="7:27" ht="14.4" x14ac:dyDescent="0.25">
      <c r="G195" s="15" t="s">
        <v>310</v>
      </c>
      <c r="H195" s="21">
        <f t="shared" ref="H195:M195" si="95">H175+P175+X175</f>
        <v>76470006.32806921</v>
      </c>
      <c r="I195" s="21">
        <f t="shared" si="95"/>
        <v>76299915.154936865</v>
      </c>
      <c r="J195" s="21">
        <f t="shared" si="95"/>
        <v>76391071.848591894</v>
      </c>
      <c r="K195" s="21">
        <f t="shared" si="95"/>
        <v>76600798.261065662</v>
      </c>
      <c r="L195" s="21">
        <f t="shared" si="95"/>
        <v>76797440.909657374</v>
      </c>
      <c r="M195" s="21">
        <f t="shared" si="95"/>
        <v>76924792.066910774</v>
      </c>
      <c r="Q195" s="1"/>
      <c r="R195" s="5"/>
      <c r="S195" s="5"/>
      <c r="T195" s="5"/>
      <c r="U195" s="5"/>
      <c r="Y195" s="5"/>
      <c r="Z195" s="5"/>
      <c r="AA195" s="5"/>
    </row>
    <row r="196" spans="7:27" ht="13.2" x14ac:dyDescent="0.25">
      <c r="Q196" s="1"/>
      <c r="Y196" s="5"/>
      <c r="Z196" s="5"/>
      <c r="AA196" s="5"/>
    </row>
    <row r="197" spans="7:27" ht="13.2" x14ac:dyDescent="0.25">
      <c r="H197" s="54" t="s">
        <v>336</v>
      </c>
      <c r="I197" s="49"/>
      <c r="J197" s="49"/>
      <c r="K197" s="49"/>
      <c r="L197" s="49"/>
      <c r="M197" s="50"/>
      <c r="Q197" s="1"/>
      <c r="R197" s="5"/>
      <c r="S197" s="5"/>
      <c r="T197" s="5"/>
      <c r="Y197" s="5"/>
      <c r="Z197" s="5"/>
      <c r="AA197" s="5"/>
    </row>
    <row r="198" spans="7:27" ht="13.2" x14ac:dyDescent="0.25">
      <c r="H198" s="17">
        <v>2025</v>
      </c>
      <c r="I198" s="17">
        <v>2026</v>
      </c>
      <c r="J198" s="17">
        <v>2027</v>
      </c>
      <c r="K198" s="17">
        <v>2028</v>
      </c>
      <c r="L198" s="17">
        <v>2029</v>
      </c>
      <c r="M198" s="17">
        <v>2030</v>
      </c>
      <c r="Q198" s="1"/>
      <c r="U198" s="5"/>
      <c r="Y198" s="5"/>
      <c r="Z198" s="5"/>
      <c r="AA198" s="5"/>
    </row>
    <row r="199" spans="7:27" ht="14.4" x14ac:dyDescent="0.25">
      <c r="G199" s="15" t="s">
        <v>312</v>
      </c>
      <c r="H199" s="21">
        <f t="shared" ref="H199:M199" si="96">H179+P179+X179</f>
        <v>15282447.298393762</v>
      </c>
      <c r="I199" s="21">
        <f t="shared" si="96"/>
        <v>15129431.785847608</v>
      </c>
      <c r="J199" s="21">
        <f t="shared" si="96"/>
        <v>14978270.381593566</v>
      </c>
      <c r="K199" s="21">
        <f t="shared" si="96"/>
        <v>14828937.494303863</v>
      </c>
      <c r="L199" s="21">
        <f t="shared" si="96"/>
        <v>14681407.910976876</v>
      </c>
      <c r="M199" s="21">
        <f t="shared" si="96"/>
        <v>14535656.79116695</v>
      </c>
      <c r="Q199" s="1"/>
      <c r="R199" s="5"/>
      <c r="S199" s="5"/>
      <c r="T199" s="5"/>
      <c r="U199" s="5"/>
      <c r="Y199" s="5"/>
      <c r="Z199" s="5"/>
      <c r="AA199" s="5"/>
    </row>
    <row r="200" spans="7:27" ht="14.4" x14ac:dyDescent="0.25">
      <c r="G200" s="15" t="s">
        <v>313</v>
      </c>
      <c r="H200" s="21">
        <f t="shared" ref="H200:M200" si="97">H180+P180+X180</f>
        <v>16983873.065926358</v>
      </c>
      <c r="I200" s="21">
        <f t="shared" si="97"/>
        <v>16810039.60820714</v>
      </c>
      <c r="J200" s="21">
        <f t="shared" si="97"/>
        <v>16638349.217579596</v>
      </c>
      <c r="K200" s="21">
        <f t="shared" si="97"/>
        <v>16468772.019497726</v>
      </c>
      <c r="L200" s="21">
        <f t="shared" si="97"/>
        <v>16301278.58314411</v>
      </c>
      <c r="M200" s="21">
        <f t="shared" si="97"/>
        <v>16135839.914648456</v>
      </c>
      <c r="Q200" s="1"/>
      <c r="U200" s="5"/>
      <c r="Y200" s="5"/>
      <c r="Z200" s="5"/>
      <c r="AA200" s="5"/>
    </row>
    <row r="201" spans="7:27" ht="14.4" x14ac:dyDescent="0.25">
      <c r="G201" s="15" t="s">
        <v>314</v>
      </c>
      <c r="H201" s="21">
        <f t="shared" ref="H201:M201" si="98">H181+P181+X181</f>
        <v>96779129.15417017</v>
      </c>
      <c r="I201" s="21">
        <f t="shared" si="98"/>
        <v>95594655.151886657</v>
      </c>
      <c r="J201" s="21">
        <f t="shared" si="98"/>
        <v>94426625.684298158</v>
      </c>
      <c r="K201" s="21">
        <f t="shared" si="98"/>
        <v>93274796.963889658</v>
      </c>
      <c r="L201" s="21">
        <f t="shared" si="98"/>
        <v>92138928.925877273</v>
      </c>
      <c r="M201" s="21">
        <f t="shared" si="98"/>
        <v>91018785.170646548</v>
      </c>
      <c r="Q201" s="1"/>
      <c r="U201" s="5"/>
      <c r="Y201" s="5"/>
      <c r="Z201" s="5"/>
      <c r="AA201" s="5"/>
    </row>
    <row r="202" spans="7:27" ht="14.4" x14ac:dyDescent="0.25">
      <c r="G202" s="15" t="s">
        <v>315</v>
      </c>
      <c r="H202" s="21">
        <f t="shared" ref="H202:M202" si="99">H182+P182+X182</f>
        <v>21760157.987761084</v>
      </c>
      <c r="I202" s="21">
        <f t="shared" si="99"/>
        <v>21526242.013498552</v>
      </c>
      <c r="J202" s="21">
        <f t="shared" si="99"/>
        <v>21295316.131180376</v>
      </c>
      <c r="K202" s="21">
        <f t="shared" si="99"/>
        <v>21067337.819140151</v>
      </c>
      <c r="L202" s="21">
        <f t="shared" si="99"/>
        <v>20842265.193158239</v>
      </c>
      <c r="M202" s="21">
        <f t="shared" si="99"/>
        <v>20620056.996681258</v>
      </c>
      <c r="Q202" s="1"/>
      <c r="U202" s="5"/>
      <c r="Y202" s="5"/>
      <c r="Z202" s="5"/>
      <c r="AA202" s="5"/>
    </row>
    <row r="203" spans="7:27" ht="14.4" x14ac:dyDescent="0.25">
      <c r="G203" s="15" t="s">
        <v>316</v>
      </c>
      <c r="H203" s="21">
        <f t="shared" ref="H203:M203" si="100">H183+P183+X183</f>
        <v>174358594.37479442</v>
      </c>
      <c r="I203" s="21">
        <f t="shared" si="100"/>
        <v>172255253.21717006</v>
      </c>
      <c r="J203" s="21">
        <f t="shared" si="100"/>
        <v>170180870.2159262</v>
      </c>
      <c r="K203" s="21">
        <f t="shared" si="100"/>
        <v>168135017.77878791</v>
      </c>
      <c r="L203" s="21">
        <f t="shared" si="100"/>
        <v>155911374.95080322</v>
      </c>
      <c r="M203" s="21">
        <f t="shared" si="100"/>
        <v>153985039.50562501</v>
      </c>
      <c r="Q203" s="1"/>
      <c r="U203" s="5"/>
      <c r="Y203" s="5"/>
      <c r="Z203" s="5"/>
      <c r="AA203" s="5"/>
    </row>
    <row r="204" spans="7:27" ht="14.4" x14ac:dyDescent="0.25">
      <c r="G204" s="15" t="s">
        <v>317</v>
      </c>
      <c r="H204" s="21">
        <f t="shared" ref="H204:M204" si="101">H184+P184+X184</f>
        <v>70512207.452577651</v>
      </c>
      <c r="I204" s="21">
        <f t="shared" si="101"/>
        <v>69688088.415308386</v>
      </c>
      <c r="J204" s="21">
        <f t="shared" si="101"/>
        <v>68875102.014380008</v>
      </c>
      <c r="K204" s="21">
        <f t="shared" si="101"/>
        <v>68073085.377748653</v>
      </c>
      <c r="L204" s="21">
        <f t="shared" si="101"/>
        <v>67281878.106235892</v>
      </c>
      <c r="M204" s="21">
        <f t="shared" si="101"/>
        <v>66501322.235383868</v>
      </c>
      <c r="Q204" s="1"/>
      <c r="U204" s="5"/>
      <c r="Y204" s="5"/>
      <c r="Z204" s="5"/>
      <c r="AA204" s="5"/>
    </row>
    <row r="205" spans="7:27" ht="13.2" x14ac:dyDescent="0.25">
      <c r="Q205" s="1"/>
      <c r="Y205" s="5"/>
      <c r="Z205" s="5"/>
      <c r="AA205" s="5"/>
    </row>
    <row r="206" spans="7:27" ht="13.2" x14ac:dyDescent="0.25">
      <c r="Q206" s="1"/>
      <c r="Y206" s="5"/>
      <c r="Z206" s="5"/>
      <c r="AA206" s="5"/>
    </row>
    <row r="207" spans="7:27" ht="13.2" x14ac:dyDescent="0.25">
      <c r="Q207" s="1"/>
      <c r="U207" s="5"/>
      <c r="Y207" s="5"/>
      <c r="Z207" s="5"/>
      <c r="AA207" s="5"/>
    </row>
    <row r="208" spans="7:27" ht="13.2" x14ac:dyDescent="0.25">
      <c r="Q208" s="1"/>
      <c r="U208" s="5"/>
      <c r="Y208" s="5"/>
      <c r="Z208" s="5"/>
      <c r="AA208" s="5"/>
    </row>
    <row r="209" spans="17:27" ht="13.2" x14ac:dyDescent="0.25">
      <c r="Q209" s="1"/>
      <c r="U209" s="5"/>
      <c r="Y209" s="5"/>
      <c r="Z209" s="5"/>
      <c r="AA209" s="5"/>
    </row>
    <row r="210" spans="17:27" ht="13.2" x14ac:dyDescent="0.25">
      <c r="Q210" s="1"/>
      <c r="U210" s="5"/>
      <c r="Y210" s="5"/>
      <c r="Z210" s="5"/>
      <c r="AA210" s="5"/>
    </row>
    <row r="211" spans="17:27" ht="13.2" x14ac:dyDescent="0.25">
      <c r="Q211" s="1"/>
      <c r="U211" s="5"/>
      <c r="Y211" s="5"/>
      <c r="Z211" s="5"/>
      <c r="AA211" s="5"/>
    </row>
    <row r="212" spans="17:27" ht="13.2" x14ac:dyDescent="0.25">
      <c r="U212" s="5"/>
    </row>
    <row r="213" spans="17:27" ht="13.2" x14ac:dyDescent="0.25">
      <c r="Q213" s="1"/>
      <c r="U213" s="5"/>
    </row>
    <row r="214" spans="17:27" ht="13.2" x14ac:dyDescent="0.25">
      <c r="Q214" s="1"/>
    </row>
    <row r="215" spans="17:27" ht="13.2" x14ac:dyDescent="0.25">
      <c r="Q215" s="1"/>
    </row>
    <row r="216" spans="17:27" ht="13.2" x14ac:dyDescent="0.25">
      <c r="Q216" s="1"/>
    </row>
    <row r="217" spans="17:27" ht="13.2" x14ac:dyDescent="0.25">
      <c r="Q217" s="1"/>
    </row>
    <row r="218" spans="17:27" ht="13.2" x14ac:dyDescent="0.25">
      <c r="Q218" s="1"/>
    </row>
    <row r="219" spans="17:27" ht="13.2" x14ac:dyDescent="0.25">
      <c r="Q219" s="1"/>
    </row>
    <row r="220" spans="17:27" ht="13.2" x14ac:dyDescent="0.25">
      <c r="Q220" s="1"/>
    </row>
    <row r="221" spans="17:27" ht="13.2" x14ac:dyDescent="0.25">
      <c r="Q221" s="1"/>
    </row>
    <row r="222" spans="17:27" ht="13.2" x14ac:dyDescent="0.25">
      <c r="Q222" s="1"/>
    </row>
    <row r="223" spans="17:27" ht="13.2" x14ac:dyDescent="0.25">
      <c r="Q223" s="1"/>
    </row>
    <row r="224" spans="17:27" ht="13.2" x14ac:dyDescent="0.25">
      <c r="Q224" s="1"/>
    </row>
  </sheetData>
  <mergeCells count="19">
    <mergeCell ref="H188:M188"/>
    <mergeCell ref="H197:M197"/>
    <mergeCell ref="H100:M100"/>
    <mergeCell ref="H109:M109"/>
    <mergeCell ref="H118:M118"/>
    <mergeCell ref="H127:M127"/>
    <mergeCell ref="H168:M168"/>
    <mergeCell ref="H46:M46"/>
    <mergeCell ref="H55:M55"/>
    <mergeCell ref="H177:M177"/>
    <mergeCell ref="P177:U177"/>
    <mergeCell ref="X177:AC177"/>
    <mergeCell ref="P168:U168"/>
    <mergeCell ref="X168:AC168"/>
    <mergeCell ref="H1:M1"/>
    <mergeCell ref="H10:M10"/>
    <mergeCell ref="H19:M19"/>
    <mergeCell ref="H28:M28"/>
    <mergeCell ref="H37:M37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Custo energia compressão</vt:lpstr>
      <vt:lpstr>Custo O&amp;M compressão</vt:lpstr>
      <vt:lpstr>Forecast</vt:lpstr>
      <vt:lpstr>Avaliação</vt:lpstr>
      <vt:lpstr>Cópia de Custo energia compress</vt:lpstr>
      <vt:lpstr>Cópia de Custo O&amp;M compressão</vt:lpstr>
      <vt:lpstr>Project Maturity Class</vt:lpstr>
      <vt:lpstr>Atividades das plantas</vt:lpstr>
      <vt:lpstr>Avaliação Forecast 14_08</vt:lpstr>
      <vt:lpstr>Avaliação Forecast 27_08</vt:lpstr>
      <vt:lpstr>HTA plants</vt:lpstr>
      <vt:lpstr>Folha7</vt:lpstr>
      <vt:lpstr>Folha8</vt:lpstr>
      <vt:lpstr>Cópia de Folha8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Ney Evaristo Rodrigues</cp:lastModifiedBy>
  <dcterms:modified xsi:type="dcterms:W3CDTF">2025-08-29T05:49:15Z</dcterms:modified>
</cp:coreProperties>
</file>